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mc:AlternateContent xmlns:mc="http://schemas.openxmlformats.org/markup-compatibility/2006">
    <mc:Choice Requires="x15">
      <x15ac:absPath xmlns:x15ac="http://schemas.microsoft.com/office/spreadsheetml/2010/11/ac" url="https://fmpra-my.sharepoint.com/personal/amber_fitzgerald_fastmarkets_com/Documents/Desktop/Changes/Random Lengths/Random Lengths - Excel Add-in templates/Dec 2024/XLS/"/>
    </mc:Choice>
  </mc:AlternateContent>
  <xr:revisionPtr revIDLastSave="9" documentId="8_{609E8F16-AD2E-4618-9A33-D40C41546461}" xr6:coauthVersionLast="47" xr6:coauthVersionMax="47" xr10:uidLastSave="{309A656A-9360-42C9-9234-248814FF23F0}"/>
  <bookViews>
    <workbookView xWindow="-120" yWindow="-120" windowWidth="29040" windowHeight="17520" tabRatio="518" xr2:uid="{00000000-000D-0000-FFFF-FFFF00000000}"/>
  </bookViews>
  <sheets>
    <sheet name="Panel assessments-Latest price" sheetId="9" r:id="rId1"/>
    <sheet name="Panel assessments-Specific date" sheetId="8" r:id="rId2"/>
  </sheets>
  <definedNames>
    <definedName name="__Comp" localSheetId="0">'Panel assessments-Latest price'!$A$301</definedName>
    <definedName name="__Comp">'Panel assessments-Specific date'!$A$301</definedName>
    <definedName name="__RptP12" localSheetId="0">'Panel assessments-Latest price'!$A$101</definedName>
    <definedName name="__RptP12">'Panel assessments-Specific date'!$A$101</definedName>
    <definedName name="__RptP13" localSheetId="0">'Panel assessments-Latest price'!$A$201</definedName>
    <definedName name="__RptP13">'Panel assessments-Specific date'!$A$201</definedName>
    <definedName name="_LATESTvarPrvWk" localSheetId="0">'Panel assessments-Latest price'!$G$22</definedName>
    <definedName name="_LATESTvarPrvYr" localSheetId="0">'Panel assessments-Latest price'!$I$22</definedName>
    <definedName name="_LATESTvarPrvYrWithMid" localSheetId="0">'Panel assessments-Latest price'!$K$22</definedName>
    <definedName name="_LATESTvarPrvYrWithMidPrvDate" localSheetId="0">'Panel assessments-Latest price'!$M$22</definedName>
    <definedName name="_LATESTvarPubDate" localSheetId="0">'Panel assessments-Latest price'!$B$22</definedName>
    <definedName name="_SPECIFICvarPrvWk">'Panel assessments-Specific date'!$G$22</definedName>
    <definedName name="_SPECIFICvarPrvYr">'Panel assessments-Specific date'!$I$22</definedName>
    <definedName name="_SPECIFICvarPrvYrWithMid">'Panel assessments-Specific date'!$K$22</definedName>
    <definedName name="_SPECIFICvarPrvYrWithMidPrvDate">'Panel assessments-Specific date'!$M$22</definedName>
    <definedName name="_SPECIFICvarPubDate">'Panel assessments-Specific date'!$B$22</definedName>
    <definedName name="PAAB" localSheetId="0">'Panel assessments-Latest price'!$L$109</definedName>
    <definedName name="PAAB">'Panel assessments-Specific date'!$L$109</definedName>
    <definedName name="PAAC" localSheetId="0">'Panel assessments-Latest price'!$L$110</definedName>
    <definedName name="PAAC">'Panel assessments-Specific date'!$L$110</definedName>
    <definedName name="PAAD" localSheetId="0">'Panel assessments-Latest price'!$L$111</definedName>
    <definedName name="PAAD">'Panel assessments-Specific date'!$L$111</definedName>
    <definedName name="PAAE" localSheetId="0">'Panel assessments-Latest price'!$L$112</definedName>
    <definedName name="PAAE">'Panel assessments-Specific date'!$L$112</definedName>
    <definedName name="PAAF" localSheetId="0">'Panel assessments-Latest price'!$L$113</definedName>
    <definedName name="PAAF">'Panel assessments-Specific date'!$L$113</definedName>
    <definedName name="PAAG" localSheetId="0">'Panel assessments-Latest price'!$L$119</definedName>
    <definedName name="PAAG">'Panel assessments-Specific date'!$L$119</definedName>
    <definedName name="PAAH" localSheetId="0">'Panel assessments-Latest price'!$L$120</definedName>
    <definedName name="PAAH">'Panel assessments-Specific date'!$L$120</definedName>
    <definedName name="PAAI" localSheetId="0">'Panel assessments-Latest price'!$L$121</definedName>
    <definedName name="PAAI">'Panel assessments-Specific date'!$L$121</definedName>
    <definedName name="PAAJ" localSheetId="0">'Panel assessments-Latest price'!$L$122</definedName>
    <definedName name="PAAJ">'Panel assessments-Specific date'!$L$122</definedName>
    <definedName name="PAAK" localSheetId="0">'Panel assessments-Latest price'!$L$123</definedName>
    <definedName name="PAAK">'Panel assessments-Specific date'!$L$123</definedName>
    <definedName name="PAAL" localSheetId="0">'Panel assessments-Latest price'!$L$127</definedName>
    <definedName name="PAAL">'Panel assessments-Specific date'!$L$127</definedName>
    <definedName name="PAAM" localSheetId="0">'Panel assessments-Latest price'!$L$128</definedName>
    <definedName name="PAAM">'Panel assessments-Specific date'!$L$128</definedName>
    <definedName name="PAAN" localSheetId="0">'Panel assessments-Latest price'!$L$129</definedName>
    <definedName name="PAAN">'Panel assessments-Specific date'!$L$129</definedName>
    <definedName name="PAAO" localSheetId="0">'Panel assessments-Latest price'!$L$131</definedName>
    <definedName name="PAAO">'Panel assessments-Specific date'!$L$131</definedName>
    <definedName name="PAAP" localSheetId="0">'Panel assessments-Latest price'!$L$132</definedName>
    <definedName name="PAAP">'Panel assessments-Specific date'!$L$132</definedName>
    <definedName name="PAAR" localSheetId="0">'Panel assessments-Latest price'!$B$109</definedName>
    <definedName name="PAAR">'Panel assessments-Specific date'!$B$109</definedName>
    <definedName name="PAAS" localSheetId="0">'Panel assessments-Latest price'!$B$110</definedName>
    <definedName name="PAAS">'Panel assessments-Specific date'!$B$110</definedName>
    <definedName name="PAAT" localSheetId="0">'Panel assessments-Latest price'!$B$111</definedName>
    <definedName name="PAAT">'Panel assessments-Specific date'!$B$111</definedName>
    <definedName name="PAAU" localSheetId="0">'Panel assessments-Latest price'!$B$112</definedName>
    <definedName name="PAAU">'Panel assessments-Specific date'!$B$112</definedName>
    <definedName name="PAAV" localSheetId="0">'Panel assessments-Latest price'!$B$113</definedName>
    <definedName name="PAAV">'Panel assessments-Specific date'!$B$113</definedName>
    <definedName name="PAAW" localSheetId="0">'Panel assessments-Latest price'!$B$114</definedName>
    <definedName name="PAAW">'Panel assessments-Specific date'!$B$114</definedName>
    <definedName name="PAAX" localSheetId="0">'Panel assessments-Latest price'!$B$119</definedName>
    <definedName name="PAAX">'Panel assessments-Specific date'!$B$119</definedName>
    <definedName name="PAAY" localSheetId="0">'Panel assessments-Latest price'!$B$120</definedName>
    <definedName name="PAAY">'Panel assessments-Specific date'!$B$120</definedName>
    <definedName name="PAAZ" localSheetId="0">'Panel assessments-Latest price'!$B$121</definedName>
    <definedName name="PAAZ">'Panel assessments-Specific date'!$B$121</definedName>
    <definedName name="PABA" localSheetId="0">'Panel assessments-Latest price'!$B$122</definedName>
    <definedName name="PABA">'Panel assessments-Specific date'!$B$122</definedName>
    <definedName name="PABB" localSheetId="0">'Panel assessments-Latest price'!$B$123</definedName>
    <definedName name="PABB">'Panel assessments-Specific date'!$B$123</definedName>
    <definedName name="PABC" localSheetId="0">'Panel assessments-Latest price'!$B$124</definedName>
    <definedName name="PABC">'Panel assessments-Specific date'!$B$124</definedName>
    <definedName name="PABD" localSheetId="0">'Panel assessments-Latest price'!$B$125</definedName>
    <definedName name="PABD">'Panel assessments-Specific date'!$B$125</definedName>
    <definedName name="PABE" localSheetId="0">'Panel assessments-Latest price'!$B$209</definedName>
    <definedName name="PABE">'Panel assessments-Specific date'!$B$209</definedName>
    <definedName name="PABG" localSheetId="0">'Panel assessments-Latest price'!$M$111</definedName>
    <definedName name="PABG">'Panel assessments-Specific date'!$M$111</definedName>
    <definedName name="PABH" localSheetId="0">'Panel assessments-Latest price'!$M$112</definedName>
    <definedName name="PABH">'Panel assessments-Specific date'!$M$112</definedName>
    <definedName name="PABI" localSheetId="0">'Panel assessments-Latest price'!$M$119</definedName>
    <definedName name="PABI">'Panel assessments-Specific date'!$M$119</definedName>
    <definedName name="PABJ" localSheetId="0">'Panel assessments-Latest price'!$M$120</definedName>
    <definedName name="PABJ">'Panel assessments-Specific date'!$M$120</definedName>
    <definedName name="PABK" localSheetId="0">'Panel assessments-Latest price'!$M$121</definedName>
    <definedName name="PABK">'Panel assessments-Specific date'!$M$121</definedName>
    <definedName name="PABL" localSheetId="0">'Panel assessments-Latest price'!$M$122</definedName>
    <definedName name="PABL">'Panel assessments-Specific date'!$M$122</definedName>
    <definedName name="PABM" localSheetId="0">'Panel assessments-Latest price'!$M$123</definedName>
    <definedName name="PABM">'Panel assessments-Specific date'!$M$123</definedName>
    <definedName name="PABW" localSheetId="0">'Panel assessments-Latest price'!$C$119</definedName>
    <definedName name="PABW">'Panel assessments-Specific date'!$C$119</definedName>
    <definedName name="PABX" localSheetId="0">'Panel assessments-Latest price'!$C$120</definedName>
    <definedName name="PABX">'Panel assessments-Specific date'!$C$120</definedName>
    <definedName name="PABY" localSheetId="0">'Panel assessments-Latest price'!$C$121</definedName>
    <definedName name="PABY">'Panel assessments-Specific date'!$C$121</definedName>
    <definedName name="PABZ" localSheetId="0">'Panel assessments-Latest price'!$C$122</definedName>
    <definedName name="PABZ">'Panel assessments-Specific date'!$C$122</definedName>
    <definedName name="PACA" localSheetId="0">'Panel assessments-Latest price'!$C$123</definedName>
    <definedName name="PACA">'Panel assessments-Specific date'!$C$123</definedName>
    <definedName name="PACB" localSheetId="0">'Panel assessments-Latest price'!$C$124</definedName>
    <definedName name="PACB">'Panel assessments-Specific date'!$C$124</definedName>
    <definedName name="PACC" localSheetId="0">'Panel assessments-Latest price'!$C$125</definedName>
    <definedName name="PACC">'Panel assessments-Specific date'!$C$125</definedName>
    <definedName name="PACD" localSheetId="0">'Panel assessments-Latest price'!$C$209</definedName>
    <definedName name="PACD">'Panel assessments-Specific date'!$C$209</definedName>
    <definedName name="PACL" localSheetId="0">'Panel assessments-Latest price'!$N$119</definedName>
    <definedName name="PACL">'Panel assessments-Specific date'!$N$119</definedName>
    <definedName name="PACM" localSheetId="0">'Panel assessments-Latest price'!$N$120</definedName>
    <definedName name="PACM">'Panel assessments-Specific date'!$N$120</definedName>
    <definedName name="PACN" localSheetId="0">'Panel assessments-Latest price'!$N$121</definedName>
    <definedName name="PACN">'Panel assessments-Specific date'!$N$121</definedName>
    <definedName name="PACO" localSheetId="0">'Panel assessments-Latest price'!$N$122</definedName>
    <definedName name="PACO">'Panel assessments-Specific date'!$N$122</definedName>
    <definedName name="PACP" localSheetId="0">'Panel assessments-Latest price'!$N$123</definedName>
    <definedName name="PACP">'Panel assessments-Specific date'!$N$123</definedName>
    <definedName name="PACR" localSheetId="0">'Panel assessments-Latest price'!$E$109</definedName>
    <definedName name="PACR">'Panel assessments-Specific date'!$E$109</definedName>
    <definedName name="PACS" localSheetId="0">'Panel assessments-Latest price'!$E$110</definedName>
    <definedName name="PACS">'Panel assessments-Specific date'!$E$110</definedName>
    <definedName name="PACT" localSheetId="0">'Panel assessments-Latest price'!$E$111</definedName>
    <definedName name="PACT">'Panel assessments-Specific date'!$E$111</definedName>
    <definedName name="PACU" localSheetId="0">'Panel assessments-Latest price'!$E$112</definedName>
    <definedName name="PACU">'Panel assessments-Specific date'!$E$112</definedName>
    <definedName name="PACV" localSheetId="0">'Panel assessments-Latest price'!$E$113</definedName>
    <definedName name="PACV">'Panel assessments-Specific date'!$E$113</definedName>
    <definedName name="PACW" localSheetId="0">'Panel assessments-Latest price'!$E$114</definedName>
    <definedName name="PACW">'Panel assessments-Specific date'!$E$114</definedName>
    <definedName name="PACX" localSheetId="0">'Panel assessments-Latest price'!$D$119</definedName>
    <definedName name="PACX">'Panel assessments-Specific date'!$D$119</definedName>
    <definedName name="PACY" localSheetId="0">'Panel assessments-Latest price'!$D$120</definedName>
    <definedName name="PACY">'Panel assessments-Specific date'!$D$120</definedName>
    <definedName name="PACZ" localSheetId="0">'Panel assessments-Latest price'!$D$121</definedName>
    <definedName name="PACZ">'Panel assessments-Specific date'!$D$121</definedName>
    <definedName name="PADA" localSheetId="0">'Panel assessments-Latest price'!$D$122</definedName>
    <definedName name="PADA">'Panel assessments-Specific date'!$D$122</definedName>
    <definedName name="PADB" localSheetId="0">'Panel assessments-Latest price'!$D$123</definedName>
    <definedName name="PADB">'Panel assessments-Specific date'!$D$123</definedName>
    <definedName name="PADC" localSheetId="0">'Panel assessments-Latest price'!$D$124</definedName>
    <definedName name="PADC">'Panel assessments-Specific date'!$D$124</definedName>
    <definedName name="PADD" localSheetId="0">'Panel assessments-Latest price'!$D$125</definedName>
    <definedName name="PADD">'Panel assessments-Specific date'!$D$125</definedName>
    <definedName name="PADE" localSheetId="0">'Panel assessments-Latest price'!$D$209</definedName>
    <definedName name="PADE">'Panel assessments-Specific date'!$D$209</definedName>
    <definedName name="PADH" localSheetId="0">'Panel assessments-Latest price'!$N$109</definedName>
    <definedName name="PADH">'Panel assessments-Specific date'!$N$109</definedName>
    <definedName name="PADI" localSheetId="0">'Panel assessments-Latest price'!$N$111</definedName>
    <definedName name="PADI">'Panel assessments-Specific date'!$N$111</definedName>
    <definedName name="PADJ" localSheetId="0">'Panel assessments-Latest price'!$N$112</definedName>
    <definedName name="PADJ">'Panel assessments-Specific date'!$N$112</definedName>
    <definedName name="PADK" localSheetId="0">'Panel assessments-Latest price'!$N$113</definedName>
    <definedName name="PADK">'Panel assessments-Specific date'!$N$113</definedName>
    <definedName name="PADL" localSheetId="0">'Panel assessments-Latest price'!$O$119</definedName>
    <definedName name="PADL">'Panel assessments-Specific date'!$O$119</definedName>
    <definedName name="PADM" localSheetId="0">'Panel assessments-Latest price'!$O$120</definedName>
    <definedName name="PADM">'Panel assessments-Specific date'!$O$120</definedName>
    <definedName name="PADN" localSheetId="0">'Panel assessments-Latest price'!$O$121</definedName>
    <definedName name="PADN">'Panel assessments-Specific date'!$O$121</definedName>
    <definedName name="PADO" localSheetId="0">'Panel assessments-Latest price'!$O$122</definedName>
    <definedName name="PADO">'Panel assessments-Specific date'!$O$122</definedName>
    <definedName name="PADP" localSheetId="0">'Panel assessments-Latest price'!$O$123</definedName>
    <definedName name="PADP">'Panel assessments-Specific date'!$O$123</definedName>
    <definedName name="PADR" localSheetId="0">'Panel assessments-Latest price'!$F$109</definedName>
    <definedName name="PADR">'Panel assessments-Specific date'!$F$109</definedName>
    <definedName name="PADS" localSheetId="0">'Panel assessments-Latest price'!$F$110</definedName>
    <definedName name="PADS">'Panel assessments-Specific date'!$F$110</definedName>
    <definedName name="PADT" localSheetId="0">'Panel assessments-Latest price'!$F$111</definedName>
    <definedName name="PADT">'Panel assessments-Specific date'!$F$111</definedName>
    <definedName name="PADU" localSheetId="0">'Panel assessments-Latest price'!$F$112</definedName>
    <definedName name="PADU">'Panel assessments-Specific date'!$F$112</definedName>
    <definedName name="PADV" localSheetId="0">'Panel assessments-Latest price'!$F$113</definedName>
    <definedName name="PADV">'Panel assessments-Specific date'!$F$113</definedName>
    <definedName name="PADW" localSheetId="0">'Panel assessments-Latest price'!$F$114</definedName>
    <definedName name="PADW">'Panel assessments-Specific date'!$F$114</definedName>
    <definedName name="PADX" localSheetId="0">'Panel assessments-Latest price'!$E$119</definedName>
    <definedName name="PADX">'Panel assessments-Specific date'!$E$119</definedName>
    <definedName name="PADY" localSheetId="0">'Panel assessments-Latest price'!$E$120</definedName>
    <definedName name="PADY">'Panel assessments-Specific date'!$E$120</definedName>
    <definedName name="PADZ" localSheetId="0">'Panel assessments-Latest price'!$E$121</definedName>
    <definedName name="PADZ">'Panel assessments-Specific date'!$E$121</definedName>
    <definedName name="PAEA" localSheetId="0">'Panel assessments-Latest price'!$E$122</definedName>
    <definedName name="PAEA">'Panel assessments-Specific date'!$E$122</definedName>
    <definedName name="PAEB" localSheetId="0">'Panel assessments-Latest price'!$E$123</definedName>
    <definedName name="PAEB">'Panel assessments-Specific date'!$E$123</definedName>
    <definedName name="PAEC" localSheetId="0">'Panel assessments-Latest price'!$E$124</definedName>
    <definedName name="PAEC">'Panel assessments-Specific date'!$E$124</definedName>
    <definedName name="PAED" localSheetId="0">'Panel assessments-Latest price'!$E$125</definedName>
    <definedName name="PAED">'Panel assessments-Specific date'!$E$125</definedName>
    <definedName name="PAEE" localSheetId="0">'Panel assessments-Latest price'!$F$209</definedName>
    <definedName name="PAEE">'Panel assessments-Specific date'!$F$209</definedName>
    <definedName name="PAEH" localSheetId="0">'Panel assessments-Latest price'!$O$109</definedName>
    <definedName name="PAEH">'Panel assessments-Specific date'!$O$109</definedName>
    <definedName name="PAEI" localSheetId="0">'Panel assessments-Latest price'!$O$111</definedName>
    <definedName name="PAEI">'Panel assessments-Specific date'!$O$111</definedName>
    <definedName name="PAEJ" localSheetId="0">'Panel assessments-Latest price'!$O$112</definedName>
    <definedName name="PAEJ">'Panel assessments-Specific date'!$O$112</definedName>
    <definedName name="PAEK" localSheetId="0">'Panel assessments-Latest price'!$O$113</definedName>
    <definedName name="PAEK">'Panel assessments-Specific date'!$O$113</definedName>
    <definedName name="PAEQ" localSheetId="0">'Panel assessments-Latest price'!$F$119</definedName>
    <definedName name="PAEQ">'Panel assessments-Specific date'!$F$119</definedName>
    <definedName name="PAER" localSheetId="0">'Panel assessments-Latest price'!$F$120</definedName>
    <definedName name="PAER">'Panel assessments-Specific date'!$F$120</definedName>
    <definedName name="PAES" localSheetId="0">'Panel assessments-Latest price'!$F$121</definedName>
    <definedName name="PAES">'Panel assessments-Specific date'!$F$121</definedName>
    <definedName name="PAET" localSheetId="0">'Panel assessments-Latest price'!$F$122</definedName>
    <definedName name="PAET">'Panel assessments-Specific date'!$F$122</definedName>
    <definedName name="PAEU" localSheetId="0">'Panel assessments-Latest price'!$F$123</definedName>
    <definedName name="PAEU">'Panel assessments-Specific date'!$F$123</definedName>
    <definedName name="PAEV" localSheetId="0">'Panel assessments-Latest price'!$F$124</definedName>
    <definedName name="PAEV">'Panel assessments-Specific date'!$F$124</definedName>
    <definedName name="PAEW" localSheetId="0">'Panel assessments-Latest price'!$F$125</definedName>
    <definedName name="PAEW">'Panel assessments-Specific date'!$F$125</definedName>
    <definedName name="PAEX" localSheetId="0">'Panel assessments-Latest price'!$G$209</definedName>
    <definedName name="PAEX">'Panel assessments-Specific date'!$G$209</definedName>
    <definedName name="PAEZ" localSheetId="0">'Panel assessments-Latest price'!$P$109</definedName>
    <definedName name="PAEZ">'Panel assessments-Specific date'!$P$109</definedName>
    <definedName name="PAFA" localSheetId="0">'Panel assessments-Latest price'!$P$111</definedName>
    <definedName name="PAFA">'Panel assessments-Specific date'!$P$111</definedName>
    <definedName name="PAFB" localSheetId="0">'Panel assessments-Latest price'!$P$112</definedName>
    <definedName name="PAFB">'Panel assessments-Specific date'!$P$112</definedName>
    <definedName name="PAFC" localSheetId="0">'Panel assessments-Latest price'!$P$113</definedName>
    <definedName name="PAFC">'Panel assessments-Specific date'!$P$113</definedName>
    <definedName name="PAFI" localSheetId="0">'Panel assessments-Latest price'!$O$127</definedName>
    <definedName name="PAFI">'Panel assessments-Specific date'!$O$127</definedName>
    <definedName name="PAFJ" localSheetId="0">'Panel assessments-Latest price'!$O$128</definedName>
    <definedName name="PAFJ">'Panel assessments-Specific date'!$O$128</definedName>
    <definedName name="PAFK" localSheetId="0">'Panel assessments-Latest price'!$O$129</definedName>
    <definedName name="PAFK">'Panel assessments-Specific date'!$O$129</definedName>
    <definedName name="PAFO" localSheetId="0">'Panel assessments-Latest price'!$B$214</definedName>
    <definedName name="PAFO">'Panel assessments-Specific date'!$B$214</definedName>
    <definedName name="PAFP" localSheetId="0">'Panel assessments-Latest price'!$C$214</definedName>
    <definedName name="PAFP">'Panel assessments-Specific date'!$C$214</definedName>
    <definedName name="PAFQ" localSheetId="0">'Panel assessments-Latest price'!$D$214</definedName>
    <definedName name="PAFQ">'Panel assessments-Specific date'!$D$214</definedName>
    <definedName name="PAFR" localSheetId="0">'Panel assessments-Latest price'!$E$214</definedName>
    <definedName name="PAFR">'Panel assessments-Specific date'!$E$214</definedName>
    <definedName name="PAFS" localSheetId="0">'Panel assessments-Latest price'!$F$214</definedName>
    <definedName name="PAFS">'Panel assessments-Specific date'!$F$214</definedName>
    <definedName name="PAFT" localSheetId="0">'Panel assessments-Latest price'!$G$214</definedName>
    <definedName name="PAFT">'Panel assessments-Specific date'!$G$214</definedName>
    <definedName name="PAFV" localSheetId="0">'Panel assessments-Latest price'!$Q$109</definedName>
    <definedName name="PAFV">'Panel assessments-Specific date'!$Q$109</definedName>
    <definedName name="PAFX" localSheetId="0">'Panel assessments-Latest price'!$Q$111</definedName>
    <definedName name="PAFX">'Panel assessments-Specific date'!$Q$111</definedName>
    <definedName name="PAFY" localSheetId="0">'Panel assessments-Latest price'!$Q$112</definedName>
    <definedName name="PAFY">'Panel assessments-Specific date'!$Q$112</definedName>
    <definedName name="PAFZ" localSheetId="0">'Panel assessments-Latest price'!$Q$113</definedName>
    <definedName name="PAFZ">'Panel assessments-Specific date'!$Q$113</definedName>
    <definedName name="PAGF" localSheetId="0">'Panel assessments-Latest price'!$O$130</definedName>
    <definedName name="PAGF">'Panel assessments-Specific date'!$O$130</definedName>
    <definedName name="PAGG" localSheetId="0">'Panel assessments-Latest price'!$O$131</definedName>
    <definedName name="PAGG">'Panel assessments-Specific date'!$O$131</definedName>
    <definedName name="PAGH" localSheetId="0">'Panel assessments-Latest price'!$O$132</definedName>
    <definedName name="PAGH">'Panel assessments-Specific date'!$O$132</definedName>
    <definedName name="PAGP" localSheetId="0">'Panel assessments-Latest price'!$B$133</definedName>
    <definedName name="PAGP">'Panel assessments-Specific date'!$B$133</definedName>
    <definedName name="PAGQ" localSheetId="0">'Panel assessments-Latest price'!$B$134</definedName>
    <definedName name="PAGQ">'Panel assessments-Specific date'!$B$134</definedName>
    <definedName name="PAGR" localSheetId="0">'Panel assessments-Latest price'!$B$135</definedName>
    <definedName name="PAGR">'Panel assessments-Specific date'!$B$135</definedName>
    <definedName name="PAGS" localSheetId="0">'Panel assessments-Latest price'!$B$136</definedName>
    <definedName name="PAGS">'Panel assessments-Specific date'!$B$136</definedName>
    <definedName name="PAGT" localSheetId="0">'Panel assessments-Latest price'!$B$137</definedName>
    <definedName name="PAGT">'Panel assessments-Specific date'!$B$137</definedName>
    <definedName name="PAGU" localSheetId="0">'Panel assessments-Latest price'!$B$142</definedName>
    <definedName name="PAGU">'Panel assessments-Specific date'!$B$142</definedName>
    <definedName name="PAGV" localSheetId="0">'Panel assessments-Latest price'!$B$143</definedName>
    <definedName name="PAGV">'Panel assessments-Specific date'!$B$143</definedName>
    <definedName name="PAGW" localSheetId="0">'Panel assessments-Latest price'!$B$144</definedName>
    <definedName name="PAGW">'Panel assessments-Specific date'!$B$144</definedName>
    <definedName name="PAGX" localSheetId="0">'Panel assessments-Latest price'!$B$145</definedName>
    <definedName name="PAGX">'Panel assessments-Specific date'!$B$145</definedName>
    <definedName name="PAGY" localSheetId="0">'Panel assessments-Latest price'!$B$146</definedName>
    <definedName name="PAGY">'Panel assessments-Specific date'!$B$146</definedName>
    <definedName name="PAGZ" localSheetId="0">'Panel assessments-Latest price'!$B$150</definedName>
    <definedName name="PAGZ">'Panel assessments-Specific date'!$B$150</definedName>
    <definedName name="PAHA" localSheetId="0">'Panel assessments-Latest price'!$B$151</definedName>
    <definedName name="PAHA">'Panel assessments-Specific date'!$B$151</definedName>
    <definedName name="PAHB" localSheetId="0">'Panel assessments-Latest price'!$B$152</definedName>
    <definedName name="PAHB">'Panel assessments-Specific date'!$B$152</definedName>
    <definedName name="PAHC" localSheetId="0">'Panel assessments-Latest price'!$L$152</definedName>
    <definedName name="PAHC">'Panel assessments-Specific date'!$L$152</definedName>
    <definedName name="PAHD" localSheetId="0">'Panel assessments-Latest price'!$L$153</definedName>
    <definedName name="PAHD">'Panel assessments-Specific date'!$L$153</definedName>
    <definedName name="PAHE" localSheetId="0">'Panel assessments-Latest price'!$L$154</definedName>
    <definedName name="PAHE">'Panel assessments-Specific date'!$L$154</definedName>
    <definedName name="PAHF" localSheetId="0">'Panel assessments-Latest price'!$L$156</definedName>
    <definedName name="PAHF">'Panel assessments-Specific date'!$L$156</definedName>
    <definedName name="PAHG" localSheetId="0">'Panel assessments-Latest price'!#REF!</definedName>
    <definedName name="PAHG">'Panel assessments-Specific date'!#REF!</definedName>
    <definedName name="PAHI" localSheetId="0">'Panel assessments-Latest price'!$L$144</definedName>
    <definedName name="PAHI">'Panel assessments-Specific date'!$L$144</definedName>
    <definedName name="PAHJ" localSheetId="0">'Panel assessments-Latest price'!$C$133</definedName>
    <definedName name="PAHJ">'Panel assessments-Specific date'!$C$133</definedName>
    <definedName name="PAHK" localSheetId="0">'Panel assessments-Latest price'!$C$134</definedName>
    <definedName name="PAHK">'Panel assessments-Specific date'!$C$134</definedName>
    <definedName name="PAHL" localSheetId="0">'Panel assessments-Latest price'!$C$135</definedName>
    <definedName name="PAHL">'Panel assessments-Specific date'!$C$135</definedName>
    <definedName name="PAHM" localSheetId="0">'Panel assessments-Latest price'!$C$136</definedName>
    <definedName name="PAHM">'Panel assessments-Specific date'!$C$136</definedName>
    <definedName name="PAHN" localSheetId="0">'Panel assessments-Latest price'!$C$137</definedName>
    <definedName name="PAHN">'Panel assessments-Specific date'!$C$137</definedName>
    <definedName name="PAHO" localSheetId="0">'Panel assessments-Latest price'!$C$142</definedName>
    <definedName name="PAHO">'Panel assessments-Specific date'!$C$142</definedName>
    <definedName name="PAHP" localSheetId="0">'Panel assessments-Latest price'!$C$143</definedName>
    <definedName name="PAHP">'Panel assessments-Specific date'!$C$143</definedName>
    <definedName name="PAHQ" localSheetId="0">'Panel assessments-Latest price'!$C$144</definedName>
    <definedName name="PAHQ">'Panel assessments-Specific date'!$C$144</definedName>
    <definedName name="PAHR" localSheetId="0">'Panel assessments-Latest price'!$C$145</definedName>
    <definedName name="PAHR">'Panel assessments-Specific date'!$C$145</definedName>
    <definedName name="PAHS" localSheetId="0">'Panel assessments-Latest price'!$C$146</definedName>
    <definedName name="PAHS">'Panel assessments-Specific date'!$C$146</definedName>
    <definedName name="PAHT" localSheetId="0">'Panel assessments-Latest price'!$C$150</definedName>
    <definedName name="PAHT">'Panel assessments-Specific date'!$C$150</definedName>
    <definedName name="PAHU" localSheetId="0">'Panel assessments-Latest price'!$C$151</definedName>
    <definedName name="PAHU">'Panel assessments-Specific date'!$C$151</definedName>
    <definedName name="PAHV" localSheetId="0">'Panel assessments-Latest price'!$C$152</definedName>
    <definedName name="PAHV">'Panel assessments-Specific date'!$C$152</definedName>
    <definedName name="PAHW" localSheetId="0">'Panel assessments-Latest price'!$M$152</definedName>
    <definedName name="PAHW">'Panel assessments-Specific date'!$M$152</definedName>
    <definedName name="PAHX" localSheetId="0">'Panel assessments-Latest price'!$M$153</definedName>
    <definedName name="PAHX">'Panel assessments-Specific date'!$M$153</definedName>
    <definedName name="PAHY" localSheetId="0">'Panel assessments-Latest price'!$M$154</definedName>
    <definedName name="PAHY">'Panel assessments-Specific date'!$M$154</definedName>
    <definedName name="PAHZ" localSheetId="0">'Panel assessments-Latest price'!$M$156</definedName>
    <definedName name="PAHZ">'Panel assessments-Specific date'!$M$156</definedName>
    <definedName name="PAIA" localSheetId="0">'Panel assessments-Latest price'!#REF!</definedName>
    <definedName name="PAIA">'Panel assessments-Specific date'!#REF!</definedName>
    <definedName name="PAIC" localSheetId="0">'Panel assessments-Latest price'!$M$144</definedName>
    <definedName name="PAIC">'Panel assessments-Specific date'!$M$144</definedName>
    <definedName name="PAID" localSheetId="0">'Panel assessments-Latest price'!$D$133</definedName>
    <definedName name="PAID">'Panel assessments-Specific date'!$D$133</definedName>
    <definedName name="PAIE" localSheetId="0">'Panel assessments-Latest price'!$D$134</definedName>
    <definedName name="PAIE">'Panel assessments-Specific date'!$D$134</definedName>
    <definedName name="PAIF" localSheetId="0">'Panel assessments-Latest price'!$D$135</definedName>
    <definedName name="PAIF">'Panel assessments-Specific date'!$D$135</definedName>
    <definedName name="PAIG" localSheetId="0">'Panel assessments-Latest price'!$D$136</definedName>
    <definedName name="PAIG">'Panel assessments-Specific date'!$D$136</definedName>
    <definedName name="PAIH" localSheetId="0">'Panel assessments-Latest price'!$D$137</definedName>
    <definedName name="PAIH">'Panel assessments-Specific date'!$D$137</definedName>
    <definedName name="PAII" localSheetId="0">'Panel assessments-Latest price'!$D$142</definedName>
    <definedName name="PAII">'Panel assessments-Specific date'!$D$142</definedName>
    <definedName name="PAIJ" localSheetId="0">'Panel assessments-Latest price'!$D$143</definedName>
    <definedName name="PAIJ">'Panel assessments-Specific date'!$D$143</definedName>
    <definedName name="PAIK" localSheetId="0">'Panel assessments-Latest price'!$D$144</definedName>
    <definedName name="PAIK">'Panel assessments-Specific date'!$D$144</definedName>
    <definedName name="PAIL" localSheetId="0">'Panel assessments-Latest price'!$D$145</definedName>
    <definedName name="PAIL">'Panel assessments-Specific date'!$D$145</definedName>
    <definedName name="PAIM" localSheetId="0">'Panel assessments-Latest price'!$D$146</definedName>
    <definedName name="PAIM">'Panel assessments-Specific date'!$D$146</definedName>
    <definedName name="PAIN" localSheetId="0">'Panel assessments-Latest price'!$N$153</definedName>
    <definedName name="PAIN">'Panel assessments-Specific date'!$N$153</definedName>
    <definedName name="PAIO" localSheetId="0">'Panel assessments-Latest price'!$N$154</definedName>
    <definedName name="PAIO">'Panel assessments-Specific date'!$N$154</definedName>
    <definedName name="PAIP" localSheetId="0">'Panel assessments-Latest price'!$N$155</definedName>
    <definedName name="PAIP">'Panel assessments-Specific date'!$N$155</definedName>
    <definedName name="PAIQ" localSheetId="0">'Panel assessments-Latest price'!$N$156</definedName>
    <definedName name="PAIQ">'Panel assessments-Specific date'!$N$156</definedName>
    <definedName name="PAIR" localSheetId="0">'Panel assessments-Latest price'!$N$157</definedName>
    <definedName name="PAIR">'Panel assessments-Specific date'!$N$157</definedName>
    <definedName name="PAIS" localSheetId="0">'Panel assessments-Latest price'!#REF!</definedName>
    <definedName name="PAIS">'Panel assessments-Specific date'!#REF!</definedName>
    <definedName name="PAIW" localSheetId="0">'Panel assessments-Latest price'!$E$133</definedName>
    <definedName name="PAIW">'Panel assessments-Specific date'!$E$133</definedName>
    <definedName name="PAIX" localSheetId="0">'Panel assessments-Latest price'!$E$134</definedName>
    <definedName name="PAIX">'Panel assessments-Specific date'!$E$134</definedName>
    <definedName name="PAIY" localSheetId="0">'Panel assessments-Latest price'!$E$135</definedName>
    <definedName name="PAIY">'Panel assessments-Specific date'!$E$135</definedName>
    <definedName name="PAIZ" localSheetId="0">'Panel assessments-Latest price'!$E$136</definedName>
    <definedName name="PAIZ">'Panel assessments-Specific date'!$E$136</definedName>
    <definedName name="PAJA" localSheetId="0">'Panel assessments-Latest price'!$E$137</definedName>
    <definedName name="PAJA">'Panel assessments-Specific date'!$E$137</definedName>
    <definedName name="PAJB" localSheetId="0">'Panel assessments-Latest price'!$E$142</definedName>
    <definedName name="PAJB">'Panel assessments-Specific date'!$E$142</definedName>
    <definedName name="PAJC" localSheetId="0">'Panel assessments-Latest price'!$E$143</definedName>
    <definedName name="PAJC">'Panel assessments-Specific date'!$E$143</definedName>
    <definedName name="PAJD" localSheetId="0">'Panel assessments-Latest price'!$E$144</definedName>
    <definedName name="PAJD">'Panel assessments-Specific date'!$E$144</definedName>
    <definedName name="PAJE" localSheetId="0">'Panel assessments-Latest price'!$E$145</definedName>
    <definedName name="PAJE">'Panel assessments-Specific date'!$E$145</definedName>
    <definedName name="PAJF" localSheetId="0">'Panel assessments-Latest price'!$E$146</definedName>
    <definedName name="PAJF">'Panel assessments-Specific date'!$E$146</definedName>
    <definedName name="PAJG" localSheetId="0">'Panel assessments-Latest price'!$O$153</definedName>
    <definedName name="PAJG">'Panel assessments-Specific date'!$O$153</definedName>
    <definedName name="PAJH" localSheetId="0">'Panel assessments-Latest price'!$O$154</definedName>
    <definedName name="PAJH">'Panel assessments-Specific date'!$O$154</definedName>
    <definedName name="PAJI" localSheetId="0">'Panel assessments-Latest price'!$O$155</definedName>
    <definedName name="PAJI">'Panel assessments-Specific date'!$O$155</definedName>
    <definedName name="PAJJ" localSheetId="0">'Panel assessments-Latest price'!$O$156</definedName>
    <definedName name="PAJJ">'Panel assessments-Specific date'!$O$156</definedName>
    <definedName name="PAJK" localSheetId="0">'Panel assessments-Latest price'!$O$157</definedName>
    <definedName name="PAJK">'Panel assessments-Specific date'!$O$157</definedName>
    <definedName name="PAJL" localSheetId="0">'Panel assessments-Latest price'!#REF!</definedName>
    <definedName name="PAJL">'Panel assessments-Specific date'!#REF!</definedName>
    <definedName name="PAJP" localSheetId="0">'Panel assessments-Latest price'!$F$133</definedName>
    <definedName name="PAJP">'Panel assessments-Specific date'!$F$133</definedName>
    <definedName name="PAJQ" localSheetId="0">'Panel assessments-Latest price'!$F$134</definedName>
    <definedName name="PAJQ">'Panel assessments-Specific date'!$F$134</definedName>
    <definedName name="PAJR" localSheetId="0">'Panel assessments-Latest price'!$F$135</definedName>
    <definedName name="PAJR">'Panel assessments-Specific date'!$F$135</definedName>
    <definedName name="PAJS" localSheetId="0">'Panel assessments-Latest price'!$F$136</definedName>
    <definedName name="PAJS">'Panel assessments-Specific date'!$F$136</definedName>
    <definedName name="PAJT" localSheetId="0">'Panel assessments-Latest price'!$F$137</definedName>
    <definedName name="PAJT">'Panel assessments-Specific date'!$F$137</definedName>
    <definedName name="PAJU" localSheetId="0">'Panel assessments-Latest price'!$P$152</definedName>
    <definedName name="PAJU">'Panel assessments-Specific date'!$P$152</definedName>
    <definedName name="PAJV" localSheetId="0">'Panel assessments-Latest price'!$P$153</definedName>
    <definedName name="PAJV">'Panel assessments-Specific date'!$P$153</definedName>
    <definedName name="PAJW" localSheetId="0">'Panel assessments-Latest price'!$P$154</definedName>
    <definedName name="PAJW">'Panel assessments-Specific date'!$P$154</definedName>
    <definedName name="PAJX" localSheetId="0">'Panel assessments-Latest price'!$P$156</definedName>
    <definedName name="PAJX">'Panel assessments-Specific date'!$P$156</definedName>
    <definedName name="PAJZ" localSheetId="0">'Panel assessments-Latest price'!$G$133</definedName>
    <definedName name="PAJZ">'Panel assessments-Specific date'!$G$133</definedName>
    <definedName name="PAKA" localSheetId="0">'Panel assessments-Latest price'!$G$134</definedName>
    <definedName name="PAKA">'Panel assessments-Specific date'!$G$134</definedName>
    <definedName name="PAKB" localSheetId="0">'Panel assessments-Latest price'!$G$135</definedName>
    <definedName name="PAKB">'Panel assessments-Specific date'!$G$135</definedName>
    <definedName name="PAKC" localSheetId="0">'Panel assessments-Latest price'!$G$136</definedName>
    <definedName name="PAKC">'Panel assessments-Specific date'!$G$136</definedName>
    <definedName name="PAKD" localSheetId="0">'Panel assessments-Latest price'!$G$137</definedName>
    <definedName name="PAKD">'Panel assessments-Specific date'!$G$137</definedName>
    <definedName name="PAKE" localSheetId="0">'Panel assessments-Latest price'!$G$142</definedName>
    <definedName name="PAKE">'Panel assessments-Specific date'!$G$142</definedName>
    <definedName name="PAKF" localSheetId="0">'Panel assessments-Latest price'!$G$143</definedName>
    <definedName name="PAKF">'Panel assessments-Specific date'!$G$143</definedName>
    <definedName name="PAKG" localSheetId="0">'Panel assessments-Latest price'!$G$145</definedName>
    <definedName name="PAKG">'Panel assessments-Specific date'!$G$145</definedName>
    <definedName name="PAKH" localSheetId="0">'Panel assessments-Latest price'!$G$146</definedName>
    <definedName name="PAKH">'Panel assessments-Specific date'!$G$146</definedName>
    <definedName name="PAKK" localSheetId="0">'Panel assessments-Latest price'!$H$142</definedName>
    <definedName name="PAKK">'Panel assessments-Specific date'!$H$142</definedName>
    <definedName name="PAKL" localSheetId="0">'Panel assessments-Latest price'!$H$143</definedName>
    <definedName name="PAKL">'Panel assessments-Specific date'!$H$143</definedName>
    <definedName name="PAKN" localSheetId="0">'Panel assessments-Latest price'!$I$142</definedName>
    <definedName name="PAKN">'Panel assessments-Specific date'!$I$142</definedName>
    <definedName name="PAKO" localSheetId="0">'Panel assessments-Latest price'!$I$143</definedName>
    <definedName name="PAKO">'Panel assessments-Specific date'!$I$143</definedName>
    <definedName name="PAKP" localSheetId="0">'Panel assessments-Latest price'!$I$145</definedName>
    <definedName name="PAKP">'Panel assessments-Specific date'!$I$145</definedName>
    <definedName name="PAKQ" localSheetId="0">'Panel assessments-Latest price'!$I$146</definedName>
    <definedName name="PAKQ">'Panel assessments-Specific date'!$I$146</definedName>
    <definedName name="PAKT" localSheetId="0">'Panel assessments-Latest price'!$D$109</definedName>
    <definedName name="PAKT">'Panel assessments-Specific date'!$D$109</definedName>
    <definedName name="PAKU" localSheetId="0">'Panel assessments-Latest price'!$D$110</definedName>
    <definedName name="PAKU">'Panel assessments-Specific date'!$D$110</definedName>
    <definedName name="PAKV" localSheetId="0">'Panel assessments-Latest price'!$D$111</definedName>
    <definedName name="PAKV">'Panel assessments-Specific date'!$D$111</definedName>
    <definedName name="PAKW" localSheetId="0">'Panel assessments-Latest price'!$D$112</definedName>
    <definedName name="PAKW">'Panel assessments-Specific date'!$D$112</definedName>
    <definedName name="PAKX" localSheetId="0">'Panel assessments-Latest price'!$D$113</definedName>
    <definedName name="PAKX">'Panel assessments-Specific date'!$D$113</definedName>
    <definedName name="PAKY" localSheetId="0">'Panel assessments-Latest price'!$D$114</definedName>
    <definedName name="PAKY">'Panel assessments-Specific date'!$D$114</definedName>
    <definedName name="PALA" localSheetId="0">'Panel assessments-Latest price'!$G$109</definedName>
    <definedName name="PALA">'Panel assessments-Specific date'!$G$109</definedName>
    <definedName name="PALB" localSheetId="0">'Panel assessments-Latest price'!$G$110</definedName>
    <definedName name="PALB">'Panel assessments-Specific date'!$G$110</definedName>
    <definedName name="PALC" localSheetId="0">'Panel assessments-Latest price'!$G$111</definedName>
    <definedName name="PALC">'Panel assessments-Specific date'!$G$111</definedName>
    <definedName name="PALD" localSheetId="0">'Panel assessments-Latest price'!$G$112</definedName>
    <definedName name="PALD">'Panel assessments-Specific date'!$G$112</definedName>
    <definedName name="PALE" localSheetId="0">'Panel assessments-Latest price'!$G$113</definedName>
    <definedName name="PALE">'Panel assessments-Specific date'!$G$113</definedName>
    <definedName name="PALF" localSheetId="0">'Panel assessments-Latest price'!$G$114</definedName>
    <definedName name="PALF">'Panel assessments-Specific date'!$G$114</definedName>
    <definedName name="PALH" localSheetId="0">'Panel assessments-Latest price'!$C$109</definedName>
    <definedName name="PALH">'Panel assessments-Specific date'!$C$109</definedName>
    <definedName name="PALI" localSheetId="0">'Panel assessments-Latest price'!$C$110</definedName>
    <definedName name="PALI">'Panel assessments-Specific date'!$C$110</definedName>
    <definedName name="PALJ" localSheetId="0">'Panel assessments-Latest price'!$C$111</definedName>
    <definedName name="PALJ">'Panel assessments-Specific date'!$C$111</definedName>
    <definedName name="PALK" localSheetId="0">'Panel assessments-Latest price'!$C$112</definedName>
    <definedName name="PALK">'Panel assessments-Specific date'!$C$112</definedName>
    <definedName name="PALL" localSheetId="0">'Panel assessments-Latest price'!$C$113</definedName>
    <definedName name="PALL">'Panel assessments-Specific date'!$C$113</definedName>
    <definedName name="PALM" localSheetId="0">'Panel assessments-Latest price'!$C$114</definedName>
    <definedName name="PALM">'Panel assessments-Specific date'!$C$114</definedName>
    <definedName name="PALN" localSheetId="0">'Panel assessments-Latest price'!$N$162</definedName>
    <definedName name="PALN">'Panel assessments-Specific date'!$N$162</definedName>
    <definedName name="PALO" localSheetId="0">'Panel assessments-Latest price'!$O$162</definedName>
    <definedName name="PALO">'Panel assessments-Specific date'!$O$162</definedName>
    <definedName name="PALP" localSheetId="0">'Panel assessments-Latest price'!$N$163</definedName>
    <definedName name="PALP">'Panel assessments-Specific date'!$N$163</definedName>
    <definedName name="PALQ" localSheetId="0">'Panel assessments-Latest price'!$O$163</definedName>
    <definedName name="PALQ">'Panel assessments-Specific date'!$O$163</definedName>
    <definedName name="PALS" localSheetId="0">'Panel assessments-Latest price'!$G$304</definedName>
    <definedName name="PALS">'Panel assessments-Specific date'!$G$304</definedName>
    <definedName name="PALT" localSheetId="0">'Panel assessments-Latest price'!$H$304</definedName>
    <definedName name="PALT">'Panel assessments-Specific date'!$H$304</definedName>
    <definedName name="PALU" localSheetId="0">'Panel assessments-Latest price'!#REF!</definedName>
    <definedName name="PALU">'Panel assessments-Specific date'!#REF!</definedName>
    <definedName name="PALV" localSheetId="0">'Panel assessments-Latest price'!$L$138</definedName>
    <definedName name="PALV">'Panel assessments-Specific date'!$L$138</definedName>
    <definedName name="PALW" localSheetId="0">'Panel assessments-Latest price'!$M$138</definedName>
    <definedName name="PALW">'Panel assessments-Specific date'!$M$138</definedName>
    <definedName name="PALX" localSheetId="0">'Panel assessments-Latest price'!$N$138</definedName>
    <definedName name="PALX">'Panel assessments-Specific date'!$N$138</definedName>
    <definedName name="PALY" localSheetId="0">'Panel assessments-Latest price'!$O$138</definedName>
    <definedName name="PALY">'Panel assessments-Specific date'!$O$138</definedName>
    <definedName name="PALZ" localSheetId="0">'Panel assessments-Latest price'!$C$126</definedName>
    <definedName name="PALZ">'Panel assessments-Specific date'!$C$126</definedName>
    <definedName name="PAMA" localSheetId="0">'Panel assessments-Latest price'!$D$126</definedName>
    <definedName name="PAMA">'Panel assessments-Specific date'!$D$126</definedName>
    <definedName name="PAMB" localSheetId="0">'Panel assessments-Latest price'!$P$127</definedName>
    <definedName name="PAMB">'Panel assessments-Specific date'!$P$127</definedName>
    <definedName name="PAMC" localSheetId="0">'Panel assessments-Latest price'!$P$128</definedName>
    <definedName name="PAMC">'Panel assessments-Specific date'!$P$128</definedName>
    <definedName name="PAMD" localSheetId="0">'Panel assessments-Latest price'!$P$129</definedName>
    <definedName name="PAMD">'Panel assessments-Specific date'!$P$129</definedName>
    <definedName name="PAME" localSheetId="0">'Panel assessments-Latest price'!$P$130</definedName>
    <definedName name="PAME">'Panel assessments-Specific date'!$P$130</definedName>
    <definedName name="PAMF" localSheetId="0">'Panel assessments-Latest price'!$P$131</definedName>
    <definedName name="PAMF">'Panel assessments-Specific date'!$P$131</definedName>
    <definedName name="PAMG" localSheetId="0">'Panel assessments-Latest price'!$P$132</definedName>
    <definedName name="PAMG">'Panel assessments-Specific date'!$P$132</definedName>
    <definedName name="PAMH" localSheetId="0">'Panel assessments-Latest price'!$Q$127</definedName>
    <definedName name="PAMH">'Panel assessments-Specific date'!$Q$127</definedName>
    <definedName name="PAMI" localSheetId="0">'Panel assessments-Latest price'!$Q$128</definedName>
    <definedName name="PAMI">'Panel assessments-Specific date'!$Q$128</definedName>
    <definedName name="PAMJ" localSheetId="0">'Panel assessments-Latest price'!$Q$129</definedName>
    <definedName name="PAMJ">'Panel assessments-Specific date'!$Q$129</definedName>
    <definedName name="PAMK" localSheetId="0">'Panel assessments-Latest price'!$Q$130</definedName>
    <definedName name="PAMK">'Panel assessments-Specific date'!$Q$130</definedName>
    <definedName name="PAML" localSheetId="0">'Panel assessments-Latest price'!$Q$131</definedName>
    <definedName name="PAML">'Panel assessments-Specific date'!$Q$131</definedName>
    <definedName name="PAMM" localSheetId="0">'Panel assessments-Latest price'!$Q$132</definedName>
    <definedName name="PAMM">'Panel assessments-Specific date'!$Q$132</definedName>
    <definedName name="PAMN" localSheetId="0">'Panel assessments-Latest price'!$F$304</definedName>
    <definedName name="PAMN">'Panel assessments-Specific date'!$F$304</definedName>
    <definedName name="PAMP" localSheetId="0">'Panel assessments-Latest price'!$L$162</definedName>
    <definedName name="PAMP">'Panel assessments-Specific date'!$L$162</definedName>
    <definedName name="PAMQ" localSheetId="0">'Panel assessments-Latest price'!$M$162</definedName>
    <definedName name="PAMQ">'Panel assessments-Specific date'!$M$162</definedName>
    <definedName name="PAMR" localSheetId="0">'Panel assessments-Latest price'!$L$163</definedName>
    <definedName name="PAMR">'Panel assessments-Specific date'!$L$163</definedName>
    <definedName name="PAMS" localSheetId="0">'Panel assessments-Latest price'!$M$163</definedName>
    <definedName name="PAMS">'Panel assessments-Specific date'!$M$163</definedName>
    <definedName name="PAMT" localSheetId="0">'Panel assessments-Latest price'!$M$113</definedName>
    <definedName name="PAMT">'Panel assessments-Specific date'!$M$113</definedName>
    <definedName name="PAMU" localSheetId="0">'Panel assessments-Latest price'!$L$137</definedName>
    <definedName name="PAMU">'Panel assessments-Specific date'!$L$137</definedName>
    <definedName name="PAMV" localSheetId="0">'Panel assessments-Latest price'!$M$137</definedName>
    <definedName name="PAMV">'Panel assessments-Specific date'!$M$137</definedName>
    <definedName name="PAMW" localSheetId="0">'Panel assessments-Latest price'!$N$137</definedName>
    <definedName name="PAMW">'Panel assessments-Specific date'!$N$137</definedName>
    <definedName name="PAMX" localSheetId="0">'Panel assessments-Latest price'!$O$137</definedName>
    <definedName name="PAMX">'Panel assessments-Specific date'!$O$137</definedName>
    <definedName name="PAMY" localSheetId="0">'Panel assessments-Latest price'!$P$137</definedName>
    <definedName name="PAMY">'Panel assessments-Specific date'!$P$137</definedName>
    <definedName name="PAND" localSheetId="0">'Panel assessments-Latest price'!$F$305</definedName>
    <definedName name="PAND">'Panel assessments-Specific date'!$F$305</definedName>
    <definedName name="PANE" localSheetId="0">'Panel assessments-Latest price'!$F$306</definedName>
    <definedName name="PANE">'Panel assessments-Specific date'!$F$306</definedName>
    <definedName name="PANF" localSheetId="0">'Panel assessments-Latest price'!$F$307</definedName>
    <definedName name="PANF">'Panel assessments-Specific date'!$F$307</definedName>
    <definedName name="PANG" localSheetId="0">'Panel assessments-Latest price'!$G$305</definedName>
    <definedName name="PANG">'Panel assessments-Specific date'!$G$305</definedName>
    <definedName name="PANH" localSheetId="0">'Panel assessments-Latest price'!$G$306</definedName>
    <definedName name="PANH">'Panel assessments-Specific date'!$G$306</definedName>
    <definedName name="PANI" localSheetId="0">'Panel assessments-Latest price'!$G$307</definedName>
    <definedName name="PANI">'Panel assessments-Specific date'!$G$307</definedName>
    <definedName name="PANJ" localSheetId="0">'Panel assessments-Latest price'!$H$305</definedName>
    <definedName name="PANJ">'Panel assessments-Specific date'!$H$305</definedName>
    <definedName name="PANK" localSheetId="0">'Panel assessments-Latest price'!$H$306</definedName>
    <definedName name="PANK">'Panel assessments-Specific date'!$H$306</definedName>
    <definedName name="PANL" localSheetId="0">'Panel assessments-Latest price'!$H$307</definedName>
    <definedName name="PANL">'Panel assessments-Specific date'!$H$307</definedName>
    <definedName name="PANM" localSheetId="0">'Panel assessments-Latest price'!$N$152</definedName>
    <definedName name="PANM">'Panel assessments-Specific date'!$N$152</definedName>
    <definedName name="PANN" localSheetId="0">'Panel assessments-Latest price'!$O$152</definedName>
    <definedName name="PANN">'Panel assessments-Specific date'!$O$152</definedName>
    <definedName name="PANR" localSheetId="0">'Panel assessments-Latest price'!$Q$154</definedName>
    <definedName name="PANR">'Panel assessments-Specific date'!$Q$154</definedName>
    <definedName name="PANS" localSheetId="0">'Panel assessments-Latest price'!$R$154</definedName>
    <definedName name="PANS">'Panel assessments-Specific date'!$R$154</definedName>
    <definedName name="PANT" localSheetId="0">'Panel assessments-Latest price'!$Q$156</definedName>
    <definedName name="PANT">'Panel assessments-Specific date'!$Q$156</definedName>
    <definedName name="PANU" localSheetId="0">'Panel assessments-Latest price'!$R$156</definedName>
    <definedName name="PANU">'Panel assessments-Specific date'!$R$156</definedName>
    <definedName name="PANV" localSheetId="0">'Panel assessments-Latest price'!$B$210</definedName>
    <definedName name="PANV">'Panel assessments-Specific date'!$B$210</definedName>
    <definedName name="PANW" localSheetId="0">'Panel assessments-Latest price'!$C$210</definedName>
    <definedName name="PANW">'Panel assessments-Specific date'!$C$210</definedName>
    <definedName name="PANX" localSheetId="0">'Panel assessments-Latest price'!$D$210</definedName>
    <definedName name="PANX">'Panel assessments-Specific date'!$D$210</definedName>
    <definedName name="PANY" localSheetId="0">'Panel assessments-Latest price'!$F$210</definedName>
    <definedName name="PANY">'Panel assessments-Specific date'!$F$210</definedName>
    <definedName name="PANZ" localSheetId="0">'Panel assessments-Latest price'!$G$210</definedName>
    <definedName name="PANZ">'Panel assessments-Specific date'!$G$210</definedName>
    <definedName name="PAOA" localSheetId="0">'Panel assessments-Latest price'!$M$114</definedName>
    <definedName name="PAOA">'Panel assessments-Specific date'!$M$114</definedName>
    <definedName name="PAOB" localSheetId="0">'Panel assessments-Latest price'!$B$211</definedName>
    <definedName name="PAOB">'Panel assessments-Specific date'!$B$211</definedName>
    <definedName name="PAOC" localSheetId="0">'Panel assessments-Latest price'!$C$211</definedName>
    <definedName name="PAOC">'Panel assessments-Specific date'!$C$211</definedName>
    <definedName name="PAOD" localSheetId="0">'Panel assessments-Latest price'!$D$211</definedName>
    <definedName name="PAOD">'Panel assessments-Specific date'!$D$211</definedName>
    <definedName name="PAOE" localSheetId="0">'Panel assessments-Latest price'!$E$211</definedName>
    <definedName name="PAOE">'Panel assessments-Specific date'!$E$211</definedName>
    <definedName name="PAOF" localSheetId="0">'Panel assessments-Latest price'!$F$211</definedName>
    <definedName name="PAOF">'Panel assessments-Specific date'!$F$211</definedName>
    <definedName name="PAOG" localSheetId="0">'Panel assessments-Latest price'!$G$211</definedName>
    <definedName name="PAOG">'Panel assessments-Specific date'!$G$211</definedName>
    <definedName name="PAOH" localSheetId="0">'Panel assessments-Latest price'!$B$212</definedName>
    <definedName name="PAOH">'Panel assessments-Specific date'!$B$212</definedName>
    <definedName name="PAOI" localSheetId="0">'Panel assessments-Latest price'!$C$212</definedName>
    <definedName name="PAOI">'Panel assessments-Specific date'!$C$212</definedName>
    <definedName name="PAOJ" localSheetId="0">'Panel assessments-Latest price'!$D$212</definedName>
    <definedName name="PAOJ">'Panel assessments-Specific date'!$D$212</definedName>
    <definedName name="PAOK" localSheetId="0">'Panel assessments-Latest price'!$E$212</definedName>
    <definedName name="PAOK">'Panel assessments-Specific date'!$E$212</definedName>
    <definedName name="PAOL" localSheetId="0">'Panel assessments-Latest price'!$F$212</definedName>
    <definedName name="PAOL">'Panel assessments-Specific date'!$F$212</definedName>
    <definedName name="PAOM" localSheetId="0">'Panel assessments-Latest price'!$G$212</definedName>
    <definedName name="PAOM">'Panel assessments-Specific date'!$G$212</definedName>
    <definedName name="PAON" localSheetId="0">'Panel assessments-Latest price'!$B$213</definedName>
    <definedName name="PAON">'Panel assessments-Specific date'!$B$213</definedName>
    <definedName name="PAOO" localSheetId="0">'Panel assessments-Latest price'!$C$213</definedName>
    <definedName name="PAOO">'Panel assessments-Specific date'!$C$213</definedName>
    <definedName name="PAOP" localSheetId="0">'Panel assessments-Latest price'!$D$213</definedName>
    <definedName name="PAOP">'Panel assessments-Specific date'!$D$213</definedName>
    <definedName name="PAOQ" localSheetId="0">'Panel assessments-Latest price'!$E$213</definedName>
    <definedName name="PAOQ">'Panel assessments-Specific date'!$E$213</definedName>
    <definedName name="PAOR" localSheetId="0">'Panel assessments-Latest price'!$F$213</definedName>
    <definedName name="PAOR">'Panel assessments-Specific date'!$F$213</definedName>
    <definedName name="PAOS" localSheetId="0">'Panel assessments-Latest price'!$G$213</definedName>
    <definedName name="PAOS">'Panel assessments-Specific date'!$G$213</definedName>
    <definedName name="PAOT" localSheetId="0">'Panel assessments-Latest price'!$B$215</definedName>
    <definedName name="PAOT">'Panel assessments-Specific date'!$B$215</definedName>
    <definedName name="PAOU" localSheetId="0">'Panel assessments-Latest price'!$C$215</definedName>
    <definedName name="PAOU">'Panel assessments-Specific date'!$C$215</definedName>
    <definedName name="PAOV" localSheetId="0">'Panel assessments-Latest price'!$D$215</definedName>
    <definedName name="PAOV">'Panel assessments-Specific date'!$D$215</definedName>
    <definedName name="PAOW" localSheetId="0">'Panel assessments-Latest price'!$E$215</definedName>
    <definedName name="PAOW">'Panel assessments-Specific date'!$E$215</definedName>
    <definedName name="PAOX" localSheetId="0">'Panel assessments-Latest price'!$F$215</definedName>
    <definedName name="PAOX">'Panel assessments-Specific date'!$F$215</definedName>
    <definedName name="PAOY" localSheetId="0">'Panel assessments-Latest price'!$G$215</definedName>
    <definedName name="PAOY">'Panel assessments-Specific date'!$G$215</definedName>
    <definedName name="PAOZ" localSheetId="0">'Panel assessments-Latest price'!$B$216</definedName>
    <definedName name="PAOZ">'Panel assessments-Specific date'!$B$216</definedName>
    <definedName name="PAPA" localSheetId="0">'Panel assessments-Latest price'!$C$216</definedName>
    <definedName name="PAPA">'Panel assessments-Specific date'!$C$216</definedName>
    <definedName name="PAPB" localSheetId="0">'Panel assessments-Latest price'!$D$216</definedName>
    <definedName name="PAPB">'Panel assessments-Specific date'!$D$216</definedName>
    <definedName name="PAPC" localSheetId="0">'Panel assessments-Latest price'!$E$216</definedName>
    <definedName name="PAPC">'Panel assessments-Specific date'!$E$216</definedName>
    <definedName name="PAPD" localSheetId="0">'Panel assessments-Latest price'!$F$216</definedName>
    <definedName name="PAPD">'Panel assessments-Specific date'!$F$216</definedName>
    <definedName name="PAPE" localSheetId="0">'Panel assessments-Latest price'!$G$216</definedName>
    <definedName name="PAPE">'Panel assessments-Specific date'!$G$216</definedName>
    <definedName name="PAPF" localSheetId="0">'Panel assessments-Latest price'!$L$209</definedName>
    <definedName name="PAPF">'Panel assessments-Specific date'!$L$209</definedName>
    <definedName name="PAPG" localSheetId="0">'Panel assessments-Latest price'!$L$210</definedName>
    <definedName name="PAPG">'Panel assessments-Specific date'!$L$210</definedName>
    <definedName name="PAPH" localSheetId="0">'Panel assessments-Latest price'!$L$211</definedName>
    <definedName name="PAPH">'Panel assessments-Specific date'!$L$211</definedName>
    <definedName name="PAPI" localSheetId="0">'Panel assessments-Latest price'!$L$212</definedName>
    <definedName name="PAPI">'Panel assessments-Specific date'!$L$212</definedName>
    <definedName name="PAPJ" localSheetId="0">'Panel assessments-Latest price'!$L$213</definedName>
    <definedName name="PAPJ">'Panel assessments-Specific date'!$L$213</definedName>
    <definedName name="PAPK" localSheetId="0">'Panel assessments-Latest price'!$M$209</definedName>
    <definedName name="PAPK">'Panel assessments-Specific date'!$M$209</definedName>
    <definedName name="PAPL" localSheetId="0">'Panel assessments-Latest price'!$M$210</definedName>
    <definedName name="PAPL">'Panel assessments-Specific date'!$M$210</definedName>
    <definedName name="PAPM" localSheetId="0">'Panel assessments-Latest price'!$M$211</definedName>
    <definedName name="PAPM">'Panel assessments-Specific date'!$M$211</definedName>
    <definedName name="PAPN" localSheetId="0">'Panel assessments-Latest price'!$M$212</definedName>
    <definedName name="PAPN">'Panel assessments-Specific date'!$M$212</definedName>
    <definedName name="PAPO" localSheetId="0">'Panel assessments-Latest price'!$M$213</definedName>
    <definedName name="PAPO">'Panel assessments-Specific date'!$M$213</definedName>
    <definedName name="PAPP" localSheetId="0">'Panel assessments-Latest price'!$N$209</definedName>
    <definedName name="PAPP">'Panel assessments-Specific date'!$N$209</definedName>
    <definedName name="PAPQ" localSheetId="0">'Panel assessments-Latest price'!$N$210</definedName>
    <definedName name="PAPQ">'Panel assessments-Specific date'!$N$210</definedName>
    <definedName name="PAPR" localSheetId="0">'Panel assessments-Latest price'!$N$211</definedName>
    <definedName name="PAPR">'Panel assessments-Specific date'!$N$211</definedName>
    <definedName name="PAPS" localSheetId="0">'Panel assessments-Latest price'!$N$212</definedName>
    <definedName name="PAPS">'Panel assessments-Specific date'!$N$212</definedName>
    <definedName name="PAPT" localSheetId="0">'Panel assessments-Latest price'!$N$213</definedName>
    <definedName name="PAPT">'Panel assessments-Specific date'!$N$213</definedName>
    <definedName name="PAPU" localSheetId="0">'Panel assessments-Latest price'!$O$209</definedName>
    <definedName name="PAPU">'Panel assessments-Specific date'!$O$209</definedName>
    <definedName name="PAPV" localSheetId="0">'Panel assessments-Latest price'!$O$210</definedName>
    <definedName name="PAPV">'Panel assessments-Specific date'!$O$210</definedName>
    <definedName name="PAPW" localSheetId="0">'Panel assessments-Latest price'!$O$211</definedName>
    <definedName name="PAPW">'Panel assessments-Specific date'!$O$211</definedName>
    <definedName name="PAPX" localSheetId="0">'Panel assessments-Latest price'!$O$212</definedName>
    <definedName name="PAPX">'Panel assessments-Specific date'!$O$212</definedName>
    <definedName name="PAPY" localSheetId="0">'Panel assessments-Latest price'!$O$213</definedName>
    <definedName name="PAPY">'Panel assessments-Specific date'!$O$213</definedName>
    <definedName name="PAPZ" localSheetId="0">'Panel assessments-Latest price'!$P$209</definedName>
    <definedName name="PAPZ">'Panel assessments-Specific date'!$P$209</definedName>
    <definedName name="PAQA" localSheetId="0">'Panel assessments-Latest price'!$P$210</definedName>
    <definedName name="PAQA">'Panel assessments-Specific date'!$P$210</definedName>
    <definedName name="PAQB" localSheetId="0">'Panel assessments-Latest price'!$P$211</definedName>
    <definedName name="PAQB">'Panel assessments-Specific date'!$P$211</definedName>
    <definedName name="PAQC" localSheetId="0">'Panel assessments-Latest price'!$P$212</definedName>
    <definedName name="PAQC">'Panel assessments-Specific date'!$P$212</definedName>
    <definedName name="PAQD" localSheetId="0">'Panel assessments-Latest price'!$P$213</definedName>
    <definedName name="PAQD">'Panel assessments-Specific date'!$P$213</definedName>
    <definedName name="PAQE" localSheetId="0">'Panel assessments-Latest price'!$Q$209</definedName>
    <definedName name="PAQE">'Panel assessments-Specific date'!$Q$209</definedName>
    <definedName name="PAQF" localSheetId="0">'Panel assessments-Latest price'!$Q$210</definedName>
    <definedName name="PAQF">'Panel assessments-Specific date'!$Q$210</definedName>
    <definedName name="PAQG" localSheetId="0">'Panel assessments-Latest price'!$Q$211</definedName>
    <definedName name="PAQG">'Panel assessments-Specific date'!$Q$211</definedName>
    <definedName name="PAQH" localSheetId="0">'Panel assessments-Latest price'!$Q$212</definedName>
    <definedName name="PAQH">'Panel assessments-Specific date'!$Q$212</definedName>
    <definedName name="PAQI" localSheetId="0">'Panel assessments-Latest price'!$Q$213</definedName>
    <definedName name="PAQI">'Panel assessments-Specific date'!$Q$213</definedName>
    <definedName name="PAQJ" localSheetId="0">'Panel assessments-Latest price'!$R$209</definedName>
    <definedName name="PAQJ">'Panel assessments-Specific date'!$R$209</definedName>
    <definedName name="PAQK" localSheetId="0">'Panel assessments-Latest price'!$R$210</definedName>
    <definedName name="PAQK">'Panel assessments-Specific date'!$R$210</definedName>
    <definedName name="PAQL" localSheetId="0">'Panel assessments-Latest price'!$R$211</definedName>
    <definedName name="PAQL">'Panel assessments-Specific date'!$R$211</definedName>
    <definedName name="PAQM" localSheetId="0">'Panel assessments-Latest price'!$R$212</definedName>
    <definedName name="PAQM">'Panel assessments-Specific date'!$R$212</definedName>
    <definedName name="PAQN" localSheetId="0">'Panel assessments-Latest price'!$R$213</definedName>
    <definedName name="PAQN">'Panel assessments-Specific date'!$R$213</definedName>
    <definedName name="PAQO" localSheetId="0">'Panel assessments-Latest price'!$S$209</definedName>
    <definedName name="PAQO">'Panel assessments-Specific date'!$S$209</definedName>
    <definedName name="PAQP" localSheetId="0">'Panel assessments-Latest price'!$S$210</definedName>
    <definedName name="PAQP">'Panel assessments-Specific date'!$S$210</definedName>
    <definedName name="PAQQ" localSheetId="0">'Panel assessments-Latest price'!$S$211</definedName>
    <definedName name="PAQQ">'Panel assessments-Specific date'!$S$211</definedName>
    <definedName name="PAQR" localSheetId="0">'Panel assessments-Latest price'!$S$212</definedName>
    <definedName name="PAQR">'Panel assessments-Specific date'!$S$212</definedName>
    <definedName name="PAQS" localSheetId="0">'Panel assessments-Latest price'!$S$213</definedName>
    <definedName name="PAQS">'Panel assessments-Specific date'!$S$213</definedName>
    <definedName name="PAQT" localSheetId="0">'Panel assessments-Latest price'!$M$214</definedName>
    <definedName name="PAQT">'Panel assessments-Specific date'!$M$214</definedName>
    <definedName name="PAQU" localSheetId="0">'Panel assessments-Latest price'!$L$220</definedName>
    <definedName name="PAQU">'Panel assessments-Specific date'!$L$220</definedName>
    <definedName name="PAQV" localSheetId="0">'Panel assessments-Latest price'!$L$221</definedName>
    <definedName name="PAQV">'Panel assessments-Specific date'!$L$221</definedName>
    <definedName name="PAQW" localSheetId="0">'Panel assessments-Latest price'!$L$222</definedName>
    <definedName name="PAQW">'Panel assessments-Specific date'!$L$222</definedName>
    <definedName name="PAQX" localSheetId="0">'Panel assessments-Latest price'!$L$223</definedName>
    <definedName name="PAQX">'Panel assessments-Specific date'!$L$223</definedName>
    <definedName name="PAQY" localSheetId="0">'Panel assessments-Latest price'!$L$224</definedName>
    <definedName name="PAQY">'Panel assessments-Specific date'!$L$224</definedName>
    <definedName name="PAQZ" localSheetId="0">'Panel assessments-Latest price'!$M$220</definedName>
    <definedName name="PAQZ">'Panel assessments-Specific date'!$M$220</definedName>
    <definedName name="PARA" localSheetId="0">'Panel assessments-Latest price'!$M$221</definedName>
    <definedName name="PARA">'Panel assessments-Specific date'!$M$221</definedName>
    <definedName name="PARB" localSheetId="0">'Panel assessments-Latest price'!$M$222</definedName>
    <definedName name="PARB">'Panel assessments-Specific date'!$M$222</definedName>
    <definedName name="PARC" localSheetId="0">'Panel assessments-Latest price'!$M$223</definedName>
    <definedName name="PARC">'Panel assessments-Specific date'!$M$223</definedName>
    <definedName name="PARD" localSheetId="0">'Panel assessments-Latest price'!$M$224</definedName>
    <definedName name="PARD">'Panel assessments-Specific date'!$M$224</definedName>
    <definedName name="PARE" localSheetId="0">'Panel assessments-Latest price'!$N$220</definedName>
    <definedName name="PARE">'Panel assessments-Specific date'!$N$220</definedName>
    <definedName name="PARF" localSheetId="0">'Panel assessments-Latest price'!$N$221</definedName>
    <definedName name="PARF">'Panel assessments-Specific date'!$N$221</definedName>
    <definedName name="PARG" localSheetId="0">'Panel assessments-Latest price'!$N$222</definedName>
    <definedName name="PARG">'Panel assessments-Specific date'!$N$222</definedName>
    <definedName name="PARH" localSheetId="0">'Panel assessments-Latest price'!$N$223</definedName>
    <definedName name="PARH">'Panel assessments-Specific date'!$N$223</definedName>
    <definedName name="PARI" localSheetId="0">'Panel assessments-Latest price'!$N$224</definedName>
    <definedName name="PARI">'Panel assessments-Specific date'!$N$224</definedName>
    <definedName name="PARJ" localSheetId="0">'Panel assessments-Latest price'!$O$220</definedName>
    <definedName name="PARJ">'Panel assessments-Specific date'!$O$220</definedName>
    <definedName name="PARK" localSheetId="0">'Panel assessments-Latest price'!$O$221</definedName>
    <definedName name="PARK">'Panel assessments-Specific date'!$O$221</definedName>
    <definedName name="PARL" localSheetId="0">'Panel assessments-Latest price'!$O$222</definedName>
    <definedName name="PARL">'Panel assessments-Specific date'!$O$222</definedName>
    <definedName name="PARM" localSheetId="0">'Panel assessments-Latest price'!$O$223</definedName>
    <definedName name="PARM">'Panel assessments-Specific date'!$O$223</definedName>
    <definedName name="PARN" localSheetId="0">'Panel assessments-Latest price'!$O$224</definedName>
    <definedName name="PARN">'Panel assessments-Specific date'!$O$224</definedName>
    <definedName name="PARO" localSheetId="0">'Panel assessments-Latest price'!$P$220</definedName>
    <definedName name="PARO">'Panel assessments-Specific date'!$P$220</definedName>
    <definedName name="PARP" localSheetId="0">'Panel assessments-Latest price'!$P$221</definedName>
    <definedName name="PARP">'Panel assessments-Specific date'!$P$221</definedName>
    <definedName name="PARQ" localSheetId="0">'Panel assessments-Latest price'!$P$222</definedName>
    <definedName name="PARQ">'Panel assessments-Specific date'!$P$222</definedName>
    <definedName name="PARR" localSheetId="0">'Panel assessments-Latest price'!$P$223</definedName>
    <definedName name="PARR">'Panel assessments-Specific date'!$P$223</definedName>
    <definedName name="PARS" localSheetId="0">'Panel assessments-Latest price'!$P$224</definedName>
    <definedName name="PARS">'Panel assessments-Specific date'!$P$224</definedName>
    <definedName name="PART" localSheetId="0">'Panel assessments-Latest price'!$Q$220</definedName>
    <definedName name="PART">'Panel assessments-Specific date'!$Q$220</definedName>
    <definedName name="PARU" localSheetId="0">'Panel assessments-Latest price'!$Q$221</definedName>
    <definedName name="PARU">'Panel assessments-Specific date'!$Q$221</definedName>
    <definedName name="PARV" localSheetId="0">'Panel assessments-Latest price'!$Q$222</definedName>
    <definedName name="PARV">'Panel assessments-Specific date'!$Q$222</definedName>
    <definedName name="PARW" localSheetId="0">'Panel assessments-Latest price'!$Q$223</definedName>
    <definedName name="PARW">'Panel assessments-Specific date'!$Q$223</definedName>
    <definedName name="PARX" localSheetId="0">'Panel assessments-Latest price'!$Q$224</definedName>
    <definedName name="PARX">'Panel assessments-Specific date'!$Q$224</definedName>
    <definedName name="PARY" localSheetId="0">'Panel assessments-Latest price'!$R$220</definedName>
    <definedName name="PARY">'Panel assessments-Specific date'!$R$220</definedName>
    <definedName name="PARZ" localSheetId="0">'Panel assessments-Latest price'!$R$221</definedName>
    <definedName name="PARZ">'Panel assessments-Specific date'!$R$221</definedName>
    <definedName name="PASA" localSheetId="0">'Panel assessments-Latest price'!$R$222</definedName>
    <definedName name="PASA">'Panel assessments-Specific date'!$R$222</definedName>
    <definedName name="PASB" localSheetId="0">'Panel assessments-Latest price'!$R$223</definedName>
    <definedName name="PASB">'Panel assessments-Specific date'!$R$223</definedName>
    <definedName name="PASC" localSheetId="0">'Panel assessments-Latest price'!$R$224</definedName>
    <definedName name="PASC">'Panel assessments-Specific date'!$R$224</definedName>
    <definedName name="PASD" localSheetId="0">'Panel assessments-Latest price'!$M$225</definedName>
    <definedName name="PASD">'Panel assessments-Specific date'!$M$225</definedName>
    <definedName name="PASE" localSheetId="0">'Panel assessments-Latest price'!$M$226</definedName>
    <definedName name="PASE">'Panel assessments-Specific date'!$M$226</definedName>
    <definedName name="PASF" localSheetId="0">'Panel assessments-Latest price'!$E$209</definedName>
    <definedName name="PASF">'Panel assessments-Specific date'!$E$209</definedName>
    <definedName name="PASG" localSheetId="0">'Panel assessments-Latest price'!$E$210</definedName>
    <definedName name="PASG">'Panel assessments-Specific date'!$E$210</definedName>
    <definedName name="PASH" localSheetId="0">'Panel assessments-Latest price'!$F$308</definedName>
    <definedName name="PASH">'Panel assessments-Specific date'!$F$308</definedName>
    <definedName name="PASI" localSheetId="0">'Panel assessments-Latest price'!$G$308</definedName>
    <definedName name="PASI">'Panel assessments-Specific date'!$G$308</definedName>
    <definedName name="PASJ" localSheetId="0">'Panel assessments-Latest price'!$H$308</definedName>
    <definedName name="PASJ">'Panel assessments-Specific date'!$H$308</definedName>
    <definedName name="PASK" localSheetId="0">'Panel assessments-Latest price'!$S$220</definedName>
    <definedName name="PASK">'Panel assessments-Specific date'!$S$220</definedName>
    <definedName name="PASL" localSheetId="0">'Panel assessments-Latest price'!$S$221</definedName>
    <definedName name="PASL">'Panel assessments-Specific date'!$S$221</definedName>
    <definedName name="PASM" localSheetId="0">'Panel assessments-Latest price'!$S$222</definedName>
    <definedName name="PASM">'Panel assessments-Specific date'!$S$222</definedName>
    <definedName name="PASN" localSheetId="0">'Panel assessments-Latest price'!$S$223</definedName>
    <definedName name="PASN">'Panel assessments-Specific date'!$S$223</definedName>
    <definedName name="PASO" localSheetId="0">'Panel assessments-Latest price'!$S$224</definedName>
    <definedName name="PASO">'Panel assessments-Specific date'!$S$224</definedName>
    <definedName name="PASP" localSheetId="0">'Panel assessments-Latest price'!$B$217</definedName>
    <definedName name="PASP">'Panel assessments-Specific date'!$B$217</definedName>
    <definedName name="PASQ" localSheetId="0">'Panel assessments-Latest price'!$C$217</definedName>
    <definedName name="PASQ">'Panel assessments-Specific date'!$C$217</definedName>
    <definedName name="PASR" localSheetId="0">'Panel assessments-Latest price'!$D$217</definedName>
    <definedName name="PASR">'Panel assessments-Specific date'!$D$217</definedName>
    <definedName name="PASS" localSheetId="0">'Panel assessments-Latest price'!$E$217</definedName>
    <definedName name="PASS">'Panel assessments-Specific date'!$E$217</definedName>
    <definedName name="PAST" localSheetId="0">'Panel assessments-Latest price'!$F$217</definedName>
    <definedName name="PAST">'Panel assessments-Specific date'!$F$217</definedName>
    <definedName name="PASU" localSheetId="0">'Panel assessments-Latest price'!$G$217</definedName>
    <definedName name="PASU">'Panel assessments-Specific date'!$G$217</definedName>
    <definedName name="PASV" localSheetId="0">'Panel assessments-Latest price'!$M$215</definedName>
    <definedName name="PASV">'Panel assessments-Specific date'!$M$215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01" i="9" l="1"/>
  <c r="B201" i="9"/>
  <c r="B22" i="9" a="1"/>
  <c r="B22" i="9" l="1"/>
  <c r="D22" i="9" s="1"/>
  <c r="C22" i="9" l="1"/>
  <c r="A101" i="9"/>
  <c r="A201" i="9"/>
  <c r="A301" i="9"/>
  <c r="F122" i="9" a="1"/>
  <c r="E145" i="9" a="1"/>
  <c r="O132" i="9" a="1"/>
  <c r="L132" i="9" a="1"/>
  <c r="G217" i="9" a="1"/>
  <c r="F112" i="9" a="1"/>
  <c r="O128" i="9" a="1"/>
  <c r="S209" i="9" a="1"/>
  <c r="G133" i="9" a="1"/>
  <c r="M121" i="9" a="1"/>
  <c r="F135" i="9" a="1"/>
  <c r="Q210" i="9" a="1"/>
  <c r="O212" i="9" a="1"/>
  <c r="S220" i="9" a="1"/>
  <c r="B124" i="9" a="1"/>
  <c r="B135" i="9" a="1"/>
  <c r="C212" i="9" a="1"/>
  <c r="P224" i="9" a="1"/>
  <c r="F113" i="9" a="1"/>
  <c r="L209" i="9" a="1"/>
  <c r="G142" i="9" a="1"/>
  <c r="D216" i="9" a="1"/>
  <c r="H142" i="9" a="1"/>
  <c r="O113" i="9" a="1"/>
  <c r="B213" i="9" a="1"/>
  <c r="N112" i="9" a="1"/>
  <c r="Q224" i="9" a="1"/>
  <c r="E211" i="9" a="1"/>
  <c r="G114" i="9" a="1"/>
  <c r="D111" i="9" a="1"/>
  <c r="B217" i="9" a="1"/>
  <c r="R213" i="9" a="1"/>
  <c r="N122" i="9" a="1"/>
  <c r="L153" i="9" a="1"/>
  <c r="R222" i="9" a="1"/>
  <c r="N113" i="9" a="1"/>
  <c r="E133" i="9" a="1"/>
  <c r="D142" i="9" a="1"/>
  <c r="L212" i="9" a="1"/>
  <c r="L156" i="9" a="1"/>
  <c r="R211" i="9" a="1"/>
  <c r="M156" i="9" a="1"/>
  <c r="F305" i="9" a="1"/>
  <c r="N157" i="9" a="1"/>
  <c r="O119" i="9" a="1"/>
  <c r="M114" i="9" a="1"/>
  <c r="R154" i="9" a="1"/>
  <c r="G210" i="9" a="1"/>
  <c r="G214" i="9" a="1"/>
  <c r="M212" i="9" a="1"/>
  <c r="N137" i="9" a="1"/>
  <c r="F307" i="9" a="1"/>
  <c r="M138" i="9" a="1"/>
  <c r="O122" i="9" a="1"/>
  <c r="G212" i="9" a="1"/>
  <c r="D217" i="9" a="1"/>
  <c r="L111" i="9" a="1"/>
  <c r="L220" i="9" a="1"/>
  <c r="C134" i="9" a="1"/>
  <c r="N212" i="9" a="1"/>
  <c r="Q130" i="9" a="1"/>
  <c r="Q156" i="9" a="1"/>
  <c r="O121" i="9" a="1"/>
  <c r="C214" i="9" a="1"/>
  <c r="B216" i="9" a="1"/>
  <c r="B122" i="9" a="1"/>
  <c r="N209" i="9" a="1"/>
  <c r="M214" i="9" a="1"/>
  <c r="E216" i="9" a="1"/>
  <c r="O157" i="9" a="1"/>
  <c r="M221" i="9" a="1"/>
  <c r="F212" i="9" a="1"/>
  <c r="C123" i="9" a="1"/>
  <c r="B113" i="9" a="1"/>
  <c r="C146" i="9" a="1"/>
  <c r="S213" i="9" a="1"/>
  <c r="M123" i="9" a="1"/>
  <c r="F125" i="9" a="1"/>
  <c r="E122" i="9" a="1"/>
  <c r="N213" i="9" a="1"/>
  <c r="P221" i="9" a="1"/>
  <c r="B209" i="9" a="1"/>
  <c r="C124" i="9" a="1"/>
  <c r="E111" i="9" a="1"/>
  <c r="C111" i="9" a="1"/>
  <c r="D125" i="9" a="1"/>
  <c r="R221" i="9" a="1"/>
  <c r="P211" i="9" a="1"/>
  <c r="E209" i="9" a="1"/>
  <c r="G209" i="9" a="1"/>
  <c r="L122" i="9" a="1"/>
  <c r="I145" i="9" a="1"/>
  <c r="P137" i="9" a="1"/>
  <c r="L121" i="9" a="1"/>
  <c r="O154" i="9" a="1"/>
  <c r="L154" i="9" a="1"/>
  <c r="N138" i="9" a="1"/>
  <c r="O111" i="9" a="1"/>
  <c r="C152" i="9" a="1"/>
  <c r="E142" i="9" a="1"/>
  <c r="L224" i="9" a="1"/>
  <c r="L129" i="9" a="1"/>
  <c r="R220" i="9" a="1"/>
  <c r="S211" i="9" a="1"/>
  <c r="L120" i="9" a="1"/>
  <c r="G136" i="9" a="1"/>
  <c r="Q109" i="9" a="1"/>
  <c r="M211" i="9" a="1"/>
  <c r="B210" i="9" a="1"/>
  <c r="G134" i="9" a="1"/>
  <c r="F119" i="9" a="1"/>
  <c r="D133" i="9" a="1"/>
  <c r="M223" i="9" a="1"/>
  <c r="L221" i="9" a="1"/>
  <c r="G135" i="9" a="1"/>
  <c r="F110" i="9" a="1"/>
  <c r="L123" i="9" a="1"/>
  <c r="O162" i="9" a="1"/>
  <c r="C120" i="9" a="1"/>
  <c r="F111" i="9" a="1"/>
  <c r="Q223" i="9" a="1"/>
  <c r="C133" i="9" a="1"/>
  <c r="D136" i="9" a="1"/>
  <c r="I22" i="9" a="1"/>
  <c r="Q127" i="9" a="1"/>
  <c r="N119" i="9" a="1"/>
  <c r="I146" i="9" a="1"/>
  <c r="Q220" i="9" a="1"/>
  <c r="O224" i="9" a="1"/>
  <c r="M224" i="9" a="1"/>
  <c r="O211" i="9" a="1"/>
  <c r="P128" i="9" a="1"/>
  <c r="M152" i="9" a="1"/>
  <c r="D137" i="9" a="1"/>
  <c r="Q211" i="9" a="1"/>
  <c r="B142" i="9" a="1"/>
  <c r="D212" i="9" a="1"/>
  <c r="N123" i="9" a="1"/>
  <c r="Q212" i="9" a="1"/>
  <c r="F109" i="9" a="1"/>
  <c r="B114" i="9" a="1"/>
  <c r="Q113" i="9" a="1"/>
  <c r="F120" i="9" a="1"/>
  <c r="M113" i="9" a="1"/>
  <c r="F133" i="9" a="1"/>
  <c r="H143" i="9" a="1"/>
  <c r="C143" i="9" a="1"/>
  <c r="B120" i="9" a="1"/>
  <c r="L113" i="9" a="1"/>
  <c r="G112" i="9" a="1"/>
  <c r="R224" i="9" a="1"/>
  <c r="B137" i="9" a="1"/>
  <c r="S210" i="9" a="1"/>
  <c r="L119" i="9" a="1"/>
  <c r="B123" i="9" a="1"/>
  <c r="D123" i="9" a="1"/>
  <c r="C144" i="9" a="1"/>
  <c r="Q131" i="9" a="1"/>
  <c r="C121" i="9" a="1"/>
  <c r="F137" i="9" a="1"/>
  <c r="E113" i="9" a="1"/>
  <c r="M111" i="9" a="1"/>
  <c r="E120" i="9" a="1"/>
  <c r="E210" i="9" a="1"/>
  <c r="C122" i="9" a="1"/>
  <c r="B134" i="9" a="1"/>
  <c r="D143" i="9" a="1"/>
  <c r="E119" i="9" a="1"/>
  <c r="O210" i="9" a="1"/>
  <c r="P153" i="9" a="1"/>
  <c r="L222" i="9" a="1"/>
  <c r="L137" i="9" a="1"/>
  <c r="R210" i="9" a="1"/>
  <c r="F211" i="9" a="1"/>
  <c r="O120" i="9" a="1"/>
  <c r="O156" i="9" a="1"/>
  <c r="B109" i="9" a="1"/>
  <c r="N121" i="9" a="1"/>
  <c r="I142" i="9" a="1"/>
  <c r="P154" i="9" a="1"/>
  <c r="B125" i="9" a="1"/>
  <c r="B152" i="9" a="1"/>
  <c r="C109" i="9" a="1"/>
  <c r="B110" i="9" a="1"/>
  <c r="D211" i="9" a="1"/>
  <c r="B150" i="9" a="1"/>
  <c r="F214" i="9" a="1"/>
  <c r="F134" i="9" a="1"/>
  <c r="M153" i="9" a="1"/>
  <c r="M215" i="9" a="1"/>
  <c r="E109" i="9" a="1"/>
  <c r="D126" i="9" a="1"/>
  <c r="L152" i="9" a="1"/>
  <c r="N163" i="9" a="1"/>
  <c r="E144" i="9" a="1"/>
  <c r="C211" i="9" a="1"/>
  <c r="L211" i="9" a="1"/>
  <c r="M154" i="9" a="1"/>
  <c r="L112" i="9" a="1"/>
  <c r="O221" i="9" a="1"/>
  <c r="N222" i="9" a="1"/>
  <c r="B214" i="9" a="1"/>
  <c r="L131" i="9" a="1"/>
  <c r="O152" i="9" a="1"/>
  <c r="G145" i="9" a="1"/>
  <c r="P131" i="9" a="1"/>
  <c r="E134" i="9" a="1"/>
  <c r="R212" i="9" a="1"/>
  <c r="N153" i="9" a="1"/>
  <c r="B112" i="9" a="1"/>
  <c r="O131" i="9" a="1"/>
  <c r="B212" i="9" a="1"/>
  <c r="P220" i="9" a="1"/>
  <c r="B111" i="9" a="1"/>
  <c r="O163" i="9" a="1"/>
  <c r="N223" i="9" a="1"/>
  <c r="C145" i="9" a="1"/>
  <c r="B145" i="9" a="1"/>
  <c r="F209" i="9" a="1"/>
  <c r="M120" i="9" a="1"/>
  <c r="P222" i="9" a="1"/>
  <c r="L127" i="9" a="1"/>
  <c r="F136" i="9" a="1"/>
  <c r="E212" i="9" a="1"/>
  <c r="P223" i="9" a="1"/>
  <c r="C113" i="9" a="1"/>
  <c r="Q221" i="9" a="1"/>
  <c r="D112" i="9" a="1"/>
  <c r="B211" i="9" a="1"/>
  <c r="S221" i="9" a="1"/>
  <c r="L128" i="9" a="1"/>
  <c r="B143" i="9" a="1"/>
  <c r="F114" i="9" a="1"/>
  <c r="E114" i="9" a="1"/>
  <c r="N154" i="9" a="1"/>
  <c r="L109" i="9" a="1"/>
  <c r="Q128" i="9" a="1"/>
  <c r="D120" i="9" a="1"/>
  <c r="N210" i="9" a="1"/>
  <c r="R156" i="9" a="1"/>
  <c r="G109" i="9" a="1"/>
  <c r="D119" i="9" a="1"/>
  <c r="C119" i="9" a="1"/>
  <c r="M209" i="9" a="1"/>
  <c r="N220" i="9" a="1"/>
  <c r="N211" i="9" a="1"/>
  <c r="G213" i="9" a="1"/>
  <c r="M112" i="9" a="1"/>
  <c r="E143" i="9" a="1"/>
  <c r="P209" i="9" a="1"/>
  <c r="G137" i="9" a="1"/>
  <c r="D144" i="9" a="1"/>
  <c r="M162" i="9" a="1"/>
  <c r="D122" i="9" a="1"/>
  <c r="C126" i="9" a="1"/>
  <c r="C217" i="9" a="1"/>
  <c r="Q154" i="9" a="1"/>
  <c r="O109" i="9" a="1"/>
  <c r="C210" i="9" a="1"/>
  <c r="F123" i="9" a="1"/>
  <c r="F217" i="9" a="1"/>
  <c r="E146" i="9" a="1"/>
  <c r="B133" i="9" a="1"/>
  <c r="L163" i="9" a="1"/>
  <c r="O220" i="9" a="1"/>
  <c r="C150" i="9" a="1"/>
  <c r="E125" i="9" a="1"/>
  <c r="M210" i="9" a="1"/>
  <c r="P127" i="9" a="1"/>
  <c r="P113" i="9" a="1"/>
  <c r="I143" i="9" a="1"/>
  <c r="C137" i="9" a="1"/>
  <c r="N221" i="9" a="1"/>
  <c r="N120" i="9" a="1"/>
  <c r="M137" i="9" a="1"/>
  <c r="B144" i="9" a="1"/>
  <c r="C125" i="9" a="1"/>
  <c r="P130" i="9" a="1"/>
  <c r="D209" i="9" a="1"/>
  <c r="E123" i="9" a="1"/>
  <c r="E136" i="9" a="1"/>
  <c r="P210" i="9" a="1"/>
  <c r="G215" i="9" a="1"/>
  <c r="D214" i="9" a="1"/>
  <c r="Q132" i="9" a="1"/>
  <c r="E214" i="9" a="1"/>
  <c r="D110" i="9" a="1"/>
  <c r="Q209" i="9" a="1"/>
  <c r="N155" i="9" a="1"/>
  <c r="E110" i="9" a="1"/>
  <c r="Q213" i="9" a="1"/>
  <c r="C110" i="9" a="1"/>
  <c r="S223" i="9" a="1"/>
  <c r="E121" i="9" a="1"/>
  <c r="S212" i="9" a="1"/>
  <c r="P132" i="9" a="1"/>
  <c r="B146" i="9" a="1"/>
  <c r="E124" i="9" a="1"/>
  <c r="D121" i="9" a="1"/>
  <c r="O129" i="9" a="1"/>
  <c r="B215" i="9" a="1"/>
  <c r="L210" i="9" a="1"/>
  <c r="P109" i="9" a="1"/>
  <c r="C136" i="9" a="1"/>
  <c r="F213" i="9" a="1"/>
  <c r="O213" i="9" a="1"/>
  <c r="R209" i="9" a="1"/>
  <c r="D213" i="9" a="1"/>
  <c r="E137" i="9" a="1"/>
  <c r="F121" i="9" a="1"/>
  <c r="M222" i="9" a="1"/>
  <c r="D114" i="9" a="1"/>
  <c r="O155" i="9" a="1"/>
  <c r="M163" i="9" a="1"/>
  <c r="L110" i="9" a="1"/>
  <c r="F124" i="9" a="1"/>
  <c r="C216" i="9" a="1"/>
  <c r="O209" i="9" a="1"/>
  <c r="D109" i="9" a="1"/>
  <c r="D124" i="9" a="1"/>
  <c r="G211" i="9" a="1"/>
  <c r="C112" i="9" a="1"/>
  <c r="B151" i="9" a="1"/>
  <c r="C135" i="9" a="1"/>
  <c r="D135" i="9" a="1"/>
  <c r="L213" i="9" a="1"/>
  <c r="N156" i="9" a="1"/>
  <c r="S224" i="9" a="1"/>
  <c r="G113" i="9" a="1"/>
  <c r="N109" i="9" a="1"/>
  <c r="Q129" i="9" a="1"/>
  <c r="P129" i="9" a="1"/>
  <c r="O222" i="9" a="1"/>
  <c r="O112" i="9" a="1"/>
  <c r="Q112" i="9" a="1"/>
  <c r="M225" i="9" a="1"/>
  <c r="E213" i="9" a="1"/>
  <c r="F216" i="9" a="1"/>
  <c r="N111" i="9" a="1"/>
  <c r="E215" i="9" a="1"/>
  <c r="O127" i="9" a="1"/>
  <c r="O123" i="9" a="1"/>
  <c r="P112" i="9" a="1"/>
  <c r="B121" i="9" a="1"/>
  <c r="B119" i="9" a="1"/>
  <c r="N162" i="9" a="1"/>
  <c r="G22" i="9"/>
  <c r="P111" i="9" a="1"/>
  <c r="D146" i="9" a="1"/>
  <c r="Q111" i="9" a="1"/>
  <c r="N224" i="9" a="1"/>
  <c r="G307" i="9" a="1"/>
  <c r="F306" i="9" a="1"/>
  <c r="D134" i="9" a="1"/>
  <c r="P213" i="9" a="1"/>
  <c r="B136" i="9" a="1"/>
  <c r="M226" i="9" a="1"/>
  <c r="C209" i="9" a="1"/>
  <c r="M122" i="9" a="1"/>
  <c r="G111" i="9" a="1"/>
  <c r="P156" i="9" a="1"/>
  <c r="Q222" i="9" a="1"/>
  <c r="G216" i="9" a="1"/>
  <c r="C151" i="9" a="1"/>
  <c r="G146" i="9" a="1"/>
  <c r="C114" i="9" a="1"/>
  <c r="C213" i="9" a="1"/>
  <c r="F308" i="9" a="1"/>
  <c r="M213" i="9" a="1"/>
  <c r="P212" i="9" a="1"/>
  <c r="D145" i="9" a="1"/>
  <c r="L138" i="9" a="1"/>
  <c r="G110" i="9" a="1"/>
  <c r="C142" i="9" a="1"/>
  <c r="O223" i="9" a="1"/>
  <c r="C215" i="9" a="1"/>
  <c r="F215" i="9" a="1"/>
  <c r="O137" i="9" a="1"/>
  <c r="L162" i="9" a="1"/>
  <c r="M119" i="9" a="1"/>
  <c r="R223" i="9" a="1"/>
  <c r="D210" i="9" a="1"/>
  <c r="O138" i="9" a="1"/>
  <c r="F210" i="9" a="1"/>
  <c r="P152" i="9" a="1"/>
  <c r="G306" i="9" a="1"/>
  <c r="D113" i="9" a="1"/>
  <c r="F304" i="9" a="1"/>
  <c r="O130" i="9" a="1"/>
  <c r="M220" i="9" a="1"/>
  <c r="G143" i="9" a="1"/>
  <c r="S222" i="9" a="1"/>
  <c r="D215" i="9" a="1"/>
  <c r="O153" i="9" a="1"/>
  <c r="E135" i="9" a="1"/>
  <c r="N152" i="9" a="1"/>
  <c r="E112" i="9" a="1"/>
  <c r="E217" i="9" a="1"/>
  <c r="L223" i="9" a="1"/>
  <c r="G304" i="9" a="1"/>
  <c r="G308" i="9" a="1"/>
  <c r="G305" i="9" a="1"/>
  <c r="L132" i="9" l="1"/>
  <c r="B122" i="9"/>
  <c r="R210" i="9"/>
  <c r="P154" i="9"/>
  <c r="O224" i="9"/>
  <c r="E123" i="9"/>
  <c r="C122" i="9"/>
  <c r="F111" i="9"/>
  <c r="F308" i="9"/>
  <c r="B121" i="9"/>
  <c r="D211" i="9"/>
  <c r="F209" i="9"/>
  <c r="O130" i="9"/>
  <c r="Q221" i="9"/>
  <c r="R223" i="9"/>
  <c r="D120" i="9"/>
  <c r="D109" i="9"/>
  <c r="Q223" i="9"/>
  <c r="C145" i="9"/>
  <c r="F216" i="9"/>
  <c r="P210" i="9"/>
  <c r="L120" i="9"/>
  <c r="R224" i="9"/>
  <c r="L113" i="9"/>
  <c r="E210" i="9"/>
  <c r="Q109" i="9"/>
  <c r="F217" i="9"/>
  <c r="D114" i="9"/>
  <c r="E110" i="9"/>
  <c r="L152" i="9"/>
  <c r="B111" i="9"/>
  <c r="B124" i="9"/>
  <c r="D143" i="9"/>
  <c r="R212" i="9"/>
  <c r="D210" i="9"/>
  <c r="B145" i="9"/>
  <c r="B213" i="9"/>
  <c r="E134" i="9"/>
  <c r="E213" i="9"/>
  <c r="D216" i="9"/>
  <c r="D213" i="9"/>
  <c r="R209" i="9"/>
  <c r="F114" i="9"/>
  <c r="M152" i="9"/>
  <c r="F211" i="9"/>
  <c r="D126" i="9"/>
  <c r="D133" i="9"/>
  <c r="L123" i="9"/>
  <c r="B113" i="9"/>
  <c r="P132" i="9"/>
  <c r="B135" i="9"/>
  <c r="N120" i="9"/>
  <c r="M111" i="9"/>
  <c r="S222" i="9"/>
  <c r="O213" i="9"/>
  <c r="B216" i="9"/>
  <c r="M209" i="9"/>
  <c r="F122" i="9"/>
  <c r="N222" i="9"/>
  <c r="Q128" i="9"/>
  <c r="C143" i="9"/>
  <c r="B119" i="9"/>
  <c r="O132" i="9"/>
  <c r="B114" i="9"/>
  <c r="F124" i="9"/>
  <c r="C119" i="9"/>
  <c r="C135" i="9"/>
  <c r="F212" i="9"/>
  <c r="F136" i="9"/>
  <c r="E214" i="9"/>
  <c r="F112" i="9"/>
  <c r="G134" i="9"/>
  <c r="O109" i="9"/>
  <c r="F120" i="9"/>
  <c r="O210" i="9"/>
  <c r="G211" i="9"/>
  <c r="B209" i="9"/>
  <c r="E145" i="9"/>
  <c r="C146" i="9"/>
  <c r="E112" i="9"/>
  <c r="F125" i="9"/>
  <c r="G142" i="9"/>
  <c r="E211" i="9"/>
  <c r="D122" i="9"/>
  <c r="P213" i="9"/>
  <c r="O131" i="9"/>
  <c r="P221" i="9"/>
  <c r="C210" i="9"/>
  <c r="N113" i="9"/>
  <c r="L137" i="9"/>
  <c r="E111" i="9"/>
  <c r="E143" i="9"/>
  <c r="L121" i="9"/>
  <c r="C123" i="9"/>
  <c r="G145" i="9"/>
  <c r="O211" i="9"/>
  <c r="N156" i="9"/>
  <c r="C126" i="9"/>
  <c r="D136" i="9"/>
  <c r="G215" i="9"/>
  <c r="M212" i="9"/>
  <c r="O123" i="9"/>
  <c r="L110" i="9"/>
  <c r="B151" i="9"/>
  <c r="E122" i="9"/>
  <c r="P111" i="9"/>
  <c r="C216" i="9"/>
  <c r="L162" i="9"/>
  <c r="O122" i="9"/>
  <c r="E136" i="9"/>
  <c r="M215" i="9"/>
  <c r="C213" i="9"/>
  <c r="N138" i="9"/>
  <c r="F134" i="9"/>
  <c r="L221" i="9"/>
  <c r="L153" i="9"/>
  <c r="B150" i="9"/>
  <c r="S221" i="9"/>
  <c r="C110" i="9"/>
  <c r="F304" i="9"/>
  <c r="G213" i="9"/>
  <c r="M214" i="9"/>
  <c r="E133" i="9"/>
  <c r="M119" i="9"/>
  <c r="G135" i="9"/>
  <c r="L119" i="9"/>
  <c r="M224" i="9"/>
  <c r="B214" i="9"/>
  <c r="M122" i="9"/>
  <c r="S220" i="9"/>
  <c r="M210" i="9"/>
  <c r="L209" i="9"/>
  <c r="P211" i="9"/>
  <c r="D135" i="9"/>
  <c r="B133" i="9"/>
  <c r="E137" i="9"/>
  <c r="O128" i="9"/>
  <c r="Q111" i="9"/>
  <c r="N109" i="9"/>
  <c r="B125" i="9"/>
  <c r="M154" i="9"/>
  <c r="Q129" i="9"/>
  <c r="N123" i="9"/>
  <c r="H142" i="9"/>
  <c r="L223" i="9"/>
  <c r="L211" i="9"/>
  <c r="N157" i="9"/>
  <c r="E120" i="9"/>
  <c r="N209" i="9"/>
  <c r="O220" i="9"/>
  <c r="N210" i="9"/>
  <c r="P112" i="9"/>
  <c r="L138" i="9"/>
  <c r="Q154" i="9"/>
  <c r="C112" i="9"/>
  <c r="I142" i="9"/>
  <c r="E142" i="9"/>
  <c r="F213" i="9"/>
  <c r="C151" i="9"/>
  <c r="F113" i="9"/>
  <c r="S212" i="9"/>
  <c r="Q130" i="9"/>
  <c r="N211" i="9"/>
  <c r="N111" i="9"/>
  <c r="M163" i="9"/>
  <c r="B134" i="9"/>
  <c r="Q113" i="9"/>
  <c r="G113" i="9"/>
  <c r="F121" i="9"/>
  <c r="E119" i="9"/>
  <c r="E135" i="9"/>
  <c r="R222" i="9"/>
  <c r="F306" i="9"/>
  <c r="B123" i="9"/>
  <c r="N155" i="9"/>
  <c r="G210" i="9"/>
  <c r="F135" i="9"/>
  <c r="D123" i="9"/>
  <c r="L163" i="9"/>
  <c r="C113" i="9"/>
  <c r="B142" i="9"/>
  <c r="F110" i="9"/>
  <c r="O120" i="9"/>
  <c r="B110" i="9"/>
  <c r="C137" i="9"/>
  <c r="M222" i="9"/>
  <c r="F119" i="9"/>
  <c r="L222" i="9"/>
  <c r="D125" i="9"/>
  <c r="D112" i="9"/>
  <c r="D110" i="9"/>
  <c r="Q212" i="9"/>
  <c r="C217" i="9"/>
  <c r="D217" i="9"/>
  <c r="E113" i="9"/>
  <c r="E212" i="9"/>
  <c r="C215" i="9"/>
  <c r="E216" i="9"/>
  <c r="I143" i="9"/>
  <c r="O212" i="9"/>
  <c r="Q224" i="9"/>
  <c r="S211" i="9"/>
  <c r="L127" i="9"/>
  <c r="C120" i="9"/>
  <c r="P137" i="9"/>
  <c r="E125" i="9"/>
  <c r="Q156" i="9"/>
  <c r="O119" i="9"/>
  <c r="F215" i="9"/>
  <c r="N154" i="9"/>
  <c r="P127" i="9"/>
  <c r="B215" i="9"/>
  <c r="O129" i="9"/>
  <c r="B143" i="9"/>
  <c r="F109" i="9"/>
  <c r="O223" i="9"/>
  <c r="P129" i="9"/>
  <c r="N220" i="9"/>
  <c r="E209" i="9"/>
  <c r="O222" i="9"/>
  <c r="M121" i="9"/>
  <c r="M225" i="9"/>
  <c r="L122" i="9"/>
  <c r="B210" i="9"/>
  <c r="G112" i="9"/>
  <c r="M223" i="9"/>
  <c r="N224" i="9"/>
  <c r="R220" i="9"/>
  <c r="M220" i="9"/>
  <c r="Q222" i="9"/>
  <c r="O157" i="9"/>
  <c r="N221" i="9"/>
  <c r="D121" i="9"/>
  <c r="E109" i="9"/>
  <c r="N119" i="9"/>
  <c r="C144" i="9"/>
  <c r="F307" i="9"/>
  <c r="G136" i="9"/>
  <c r="E114" i="9"/>
  <c r="P212" i="9"/>
  <c r="B211" i="9"/>
  <c r="D134" i="9"/>
  <c r="Q209" i="9"/>
  <c r="B217" i="9"/>
  <c r="M153" i="9"/>
  <c r="O153" i="9"/>
  <c r="O152" i="9"/>
  <c r="L156" i="9"/>
  <c r="O121" i="9"/>
  <c r="N121" i="9"/>
  <c r="M123" i="9"/>
  <c r="O155" i="9"/>
  <c r="L128" i="9"/>
  <c r="G214" i="9"/>
  <c r="C150" i="9"/>
  <c r="L111" i="9"/>
  <c r="G133" i="9"/>
  <c r="I145" i="9"/>
  <c r="D111" i="9"/>
  <c r="B137" i="9"/>
  <c r="S210" i="9"/>
  <c r="O137" i="9"/>
  <c r="N122" i="9"/>
  <c r="N137" i="9"/>
  <c r="M211" i="9"/>
  <c r="O127" i="9"/>
  <c r="D214" i="9"/>
  <c r="P209" i="9"/>
  <c r="F133" i="9"/>
  <c r="M137" i="9"/>
  <c r="F123" i="9"/>
  <c r="F214" i="9"/>
  <c r="E217" i="9"/>
  <c r="D142" i="9"/>
  <c r="B146" i="9"/>
  <c r="G146" i="9"/>
  <c r="D146" i="9"/>
  <c r="O112" i="9"/>
  <c r="L224" i="9"/>
  <c r="B109" i="9"/>
  <c r="L212" i="9"/>
  <c r="H143" i="9"/>
  <c r="E146" i="9"/>
  <c r="B212" i="9"/>
  <c r="C133" i="9"/>
  <c r="G114" i="9"/>
  <c r="Q213" i="9"/>
  <c r="S224" i="9"/>
  <c r="O138" i="9"/>
  <c r="F305" i="9"/>
  <c r="P152" i="9"/>
  <c r="G111" i="9"/>
  <c r="Q127" i="9"/>
  <c r="O209" i="9"/>
  <c r="N152" i="9"/>
  <c r="R213" i="9"/>
  <c r="M213" i="9"/>
  <c r="D145" i="9"/>
  <c r="M162" i="9"/>
  <c r="P222" i="9"/>
  <c r="Q112" i="9"/>
  <c r="N163" i="9"/>
  <c r="N212" i="9"/>
  <c r="M113" i="9"/>
  <c r="O162" i="9"/>
  <c r="C214" i="9"/>
  <c r="P131" i="9"/>
  <c r="E144" i="9"/>
  <c r="G109" i="9"/>
  <c r="G216" i="9"/>
  <c r="Q210" i="9"/>
  <c r="G217" i="9"/>
  <c r="O163" i="9"/>
  <c r="G212" i="9"/>
  <c r="D113" i="9"/>
  <c r="N213" i="9"/>
  <c r="S209" i="9"/>
  <c r="B136" i="9"/>
  <c r="C211" i="9"/>
  <c r="M226" i="9"/>
  <c r="P224" i="9"/>
  <c r="L131" i="9"/>
  <c r="N223" i="9"/>
  <c r="O156" i="9"/>
  <c r="O113" i="9"/>
  <c r="M120" i="9"/>
  <c r="Q211" i="9"/>
  <c r="R211" i="9"/>
  <c r="D119" i="9"/>
  <c r="L112" i="9"/>
  <c r="L210" i="9"/>
  <c r="L213" i="9"/>
  <c r="E215" i="9"/>
  <c r="C111" i="9"/>
  <c r="L109" i="9"/>
  <c r="N112" i="9"/>
  <c r="N162" i="9"/>
  <c r="C152" i="9"/>
  <c r="S223" i="9"/>
  <c r="C134" i="9"/>
  <c r="O154" i="9"/>
  <c r="M138" i="9"/>
  <c r="P223" i="9"/>
  <c r="Q131" i="9"/>
  <c r="P153" i="9"/>
  <c r="Q132" i="9"/>
  <c r="Q220" i="9"/>
  <c r="S213" i="9"/>
  <c r="C212" i="9"/>
  <c r="C125" i="9"/>
  <c r="P130" i="9"/>
  <c r="L220" i="9"/>
  <c r="B112" i="9"/>
  <c r="D215" i="9"/>
  <c r="C114" i="9"/>
  <c r="C109" i="9"/>
  <c r="D124" i="9"/>
  <c r="R221" i="9"/>
  <c r="C209" i="9"/>
  <c r="F137" i="9"/>
  <c r="G137" i="9"/>
  <c r="G143" i="9"/>
  <c r="D209" i="9"/>
  <c r="P220" i="9"/>
  <c r="P128" i="9"/>
  <c r="M156" i="9"/>
  <c r="B152" i="9"/>
  <c r="L129" i="9"/>
  <c r="D212" i="9"/>
  <c r="F210" i="9"/>
  <c r="P113" i="9"/>
  <c r="C124" i="9"/>
  <c r="B144" i="9"/>
  <c r="C136" i="9"/>
  <c r="G110" i="9"/>
  <c r="M221" i="9"/>
  <c r="R154" i="9"/>
  <c r="D144" i="9"/>
  <c r="I146" i="9"/>
  <c r="M112" i="9"/>
  <c r="R156" i="9"/>
  <c r="C142" i="9"/>
  <c r="D137" i="9"/>
  <c r="O221" i="9"/>
  <c r="G209" i="9"/>
  <c r="E121" i="9"/>
  <c r="E124" i="9"/>
  <c r="P109" i="9"/>
  <c r="P156" i="9"/>
  <c r="L154" i="9"/>
  <c r="B120" i="9"/>
  <c r="C121" i="9"/>
  <c r="N153" i="9"/>
  <c r="M114" i="9"/>
  <c r="O111" i="9"/>
  <c r="G306" i="9"/>
  <c r="G307" i="9"/>
  <c r="G304" i="9"/>
  <c r="G308" i="9"/>
  <c r="G305" i="9"/>
  <c r="I22" i="9"/>
  <c r="H307" i="9" a="1"/>
  <c r="H305" i="9" a="1"/>
  <c r="H306" i="9" a="1"/>
  <c r="H304" i="9" a="1"/>
  <c r="H308" i="9" a="1"/>
  <c r="H306" i="9" l="1"/>
  <c r="H307" i="9"/>
  <c r="H304" i="9"/>
  <c r="H308" i="9"/>
  <c r="H305" i="9"/>
  <c r="B201" i="8" l="1"/>
  <c r="B101" i="8"/>
  <c r="I22" i="8" a="1"/>
  <c r="B109" i="8" a="1"/>
  <c r="G22" i="8"/>
  <c r="I22" i="8" l="1"/>
  <c r="B109" i="8"/>
  <c r="C22" i="8"/>
  <c r="D22" i="8"/>
  <c r="A201" i="8"/>
  <c r="Q224" i="8" a="1"/>
  <c r="D111" i="8" a="1"/>
  <c r="N162" i="8" a="1"/>
  <c r="P131" i="8" a="1"/>
  <c r="C213" i="8" a="1"/>
  <c r="G142" i="8" a="1"/>
  <c r="E217" i="8" a="1"/>
  <c r="F136" i="8" a="1"/>
  <c r="N223" i="8" a="1"/>
  <c r="O113" i="8" a="1"/>
  <c r="G113" i="8" a="1"/>
  <c r="D209" i="8" a="1"/>
  <c r="O220" i="8" a="1"/>
  <c r="B151" i="8" a="1"/>
  <c r="P223" i="8" a="1"/>
  <c r="N112" i="8" a="1"/>
  <c r="G133" i="8" a="1"/>
  <c r="B124" i="8" a="1"/>
  <c r="E144" i="8" a="1"/>
  <c r="M222" i="8" a="1"/>
  <c r="O112" i="8" a="1"/>
  <c r="O213" i="8" a="1"/>
  <c r="L152" i="8" a="1"/>
  <c r="R222" i="8" a="1"/>
  <c r="B142" i="8" a="1"/>
  <c r="Q129" i="8" a="1"/>
  <c r="D121" i="8" a="1"/>
  <c r="D125" i="8" a="1"/>
  <c r="H142" i="8" a="1"/>
  <c r="N153" i="8" a="1"/>
  <c r="G109" i="8" a="1"/>
  <c r="R156" i="8" a="1"/>
  <c r="H143" i="8" a="1"/>
  <c r="D122" i="8" a="1"/>
  <c r="O162" i="8" a="1"/>
  <c r="F113" i="8" a="1"/>
  <c r="P112" i="8" a="1"/>
  <c r="C216" i="8" a="1"/>
  <c r="Q111" i="8" a="1"/>
  <c r="D143" i="8" a="1"/>
  <c r="M225" i="8" a="1"/>
  <c r="P210" i="8" a="1"/>
  <c r="D120" i="8" a="1"/>
  <c r="B122" i="8" a="1"/>
  <c r="E125" i="8" a="1"/>
  <c r="M224" i="8" a="1"/>
  <c r="G210" i="8" a="1"/>
  <c r="E110" i="8" a="1"/>
  <c r="E211" i="8" a="1"/>
  <c r="E124" i="8" a="1"/>
  <c r="C125" i="8" a="1"/>
  <c r="M119" i="8" a="1"/>
  <c r="D212" i="8" a="1"/>
  <c r="D213" i="8" a="1"/>
  <c r="B125" i="8" a="1"/>
  <c r="P154" i="8" a="1"/>
  <c r="L122" i="8" a="1"/>
  <c r="F125" i="8" a="1"/>
  <c r="M212" i="8" a="1"/>
  <c r="C151" i="8" a="1"/>
  <c r="C142" i="8" a="1"/>
  <c r="L113" i="8" a="1"/>
  <c r="E215" i="8" a="1"/>
  <c r="L129" i="8" a="1"/>
  <c r="M162" i="8" a="1"/>
  <c r="B216" i="8" a="1"/>
  <c r="D145" i="8" a="1"/>
  <c r="E123" i="8" a="1"/>
  <c r="F134" i="8" a="1"/>
  <c r="E111" i="8" a="1"/>
  <c r="B120" i="8" a="1"/>
  <c r="C123" i="8" a="1"/>
  <c r="P113" i="8" a="1"/>
  <c r="L209" i="8" a="1"/>
  <c r="F210" i="8" a="1"/>
  <c r="D135" i="8" a="1"/>
  <c r="R220" i="8" a="1"/>
  <c r="C111" i="8" a="1"/>
  <c r="B144" i="8" a="1"/>
  <c r="N211" i="8" a="1"/>
  <c r="N156" i="8" a="1"/>
  <c r="D217" i="8" a="1"/>
  <c r="G114" i="8" a="1"/>
  <c r="L211" i="8" a="1"/>
  <c r="S212" i="8" a="1"/>
  <c r="M154" i="8" a="1"/>
  <c r="N122" i="8" a="1"/>
  <c r="N154" i="8" a="1"/>
  <c r="B110" i="8" a="1"/>
  <c r="F135" i="8" a="1"/>
  <c r="I146" i="8" a="1"/>
  <c r="M122" i="8" a="1"/>
  <c r="B215" i="8" a="1"/>
  <c r="P211" i="8" a="1"/>
  <c r="L223" i="8" a="1"/>
  <c r="I145" i="8" a="1"/>
  <c r="N222" i="8" a="1"/>
  <c r="C214" i="8" a="1"/>
  <c r="I142" i="8" a="1"/>
  <c r="O210" i="8" a="1"/>
  <c r="P153" i="8" a="1"/>
  <c r="L128" i="8" a="1"/>
  <c r="L224" i="8" a="1"/>
  <c r="F133" i="8" a="1"/>
  <c r="M215" i="8" a="1"/>
  <c r="P111" i="8" a="1"/>
  <c r="P212" i="8" a="1"/>
  <c r="G134" i="8" a="1"/>
  <c r="B113" i="8" a="1"/>
  <c r="D110" i="8" a="1"/>
  <c r="L210" i="8" a="1"/>
  <c r="C114" i="8" a="1"/>
  <c r="R211" i="8" a="1"/>
  <c r="O137" i="8" a="1"/>
  <c r="E121" i="8" a="1"/>
  <c r="B213" i="8" a="1"/>
  <c r="L112" i="8" a="1"/>
  <c r="F112" i="8" a="1"/>
  <c r="O152" i="8" a="1"/>
  <c r="O222" i="8" a="1"/>
  <c r="P109" i="8" a="1"/>
  <c r="B214" i="8" a="1"/>
  <c r="M111" i="8" a="1"/>
  <c r="C120" i="8" a="1"/>
  <c r="D137" i="8" a="1"/>
  <c r="G112" i="8" a="1"/>
  <c r="P222" i="8" a="1"/>
  <c r="B133" i="8" a="1"/>
  <c r="D133" i="8" a="1"/>
  <c r="M120" i="8" a="1"/>
  <c r="B123" i="8" a="1"/>
  <c r="N220" i="8" a="1"/>
  <c r="F215" i="8" a="1"/>
  <c r="C211" i="8" a="1"/>
  <c r="M211" i="8" a="1"/>
  <c r="Q221" i="8" a="1"/>
  <c r="B134" i="8" a="1"/>
  <c r="B150" i="8" a="1"/>
  <c r="C110" i="8" a="1"/>
  <c r="M163" i="8" a="1"/>
  <c r="M213" i="8" a="1"/>
  <c r="Q211" i="8" a="1"/>
  <c r="F213" i="8" a="1"/>
  <c r="Q113" i="8" a="1"/>
  <c r="N111" i="8" a="1"/>
  <c r="E134" i="8" a="1"/>
  <c r="O122" i="8" a="1"/>
  <c r="E210" i="8" a="1"/>
  <c r="G137" i="8" a="1"/>
  <c r="B137" i="8" a="1"/>
  <c r="O157" i="8" a="1"/>
  <c r="L163" i="8" a="1"/>
  <c r="F308" i="8" a="1"/>
  <c r="B217" i="8" a="1"/>
  <c r="E112" i="8" a="1"/>
  <c r="M220" i="8" a="1"/>
  <c r="N137" i="8" a="1"/>
  <c r="F217" i="8" a="1"/>
  <c r="E137" i="8" a="1"/>
  <c r="P137" i="8" a="1"/>
  <c r="N224" i="8" a="1"/>
  <c r="G146" i="8" a="1"/>
  <c r="N163" i="8" a="1"/>
  <c r="Q131" i="8" a="1"/>
  <c r="P224" i="8" a="1"/>
  <c r="F214" i="8" a="1"/>
  <c r="N120" i="8" a="1"/>
  <c r="D124" i="8" a="1"/>
  <c r="L156" i="8" a="1"/>
  <c r="M114" i="8" a="1"/>
  <c r="G209" i="8" a="1"/>
  <c r="G214" i="8" a="1"/>
  <c r="O123" i="8" a="1"/>
  <c r="F137" i="8" a="1"/>
  <c r="M121" i="8" a="1"/>
  <c r="F121" i="8" a="1"/>
  <c r="E120" i="8" a="1"/>
  <c r="N209" i="8" a="1"/>
  <c r="C210" i="8" a="1"/>
  <c r="C124" i="8" a="1"/>
  <c r="Q210" i="8" a="1"/>
  <c r="O130" i="8" a="1"/>
  <c r="M123" i="8" a="1"/>
  <c r="M221" i="8" a="1"/>
  <c r="N152" i="8" a="1"/>
  <c r="G213" i="8" a="1"/>
  <c r="S223" i="8" a="1"/>
  <c r="C122" i="8" a="1"/>
  <c r="M223" i="8" a="1"/>
  <c r="M214" i="8" a="1"/>
  <c r="O221" i="8" a="1"/>
  <c r="D142" i="8" a="1"/>
  <c r="Q154" i="8" a="1"/>
  <c r="P128" i="8" a="1"/>
  <c r="Q212" i="8" a="1"/>
  <c r="B212" i="8" a="1"/>
  <c r="F111" i="8" a="1"/>
  <c r="D144" i="8" a="1"/>
  <c r="C119" i="8" a="1"/>
  <c r="O156" i="8" a="1"/>
  <c r="C135" i="8" a="1"/>
  <c r="B114" i="8" a="1"/>
  <c r="O212" i="8" a="1"/>
  <c r="N212" i="8" a="1"/>
  <c r="D146" i="8" a="1"/>
  <c r="O155" i="8" a="1"/>
  <c r="R223" i="8" a="1"/>
  <c r="O211" i="8" a="1"/>
  <c r="L109" i="8" a="1"/>
  <c r="M210" i="8" a="1"/>
  <c r="E114" i="8" a="1"/>
  <c r="N221" i="8" a="1"/>
  <c r="L131" i="8" a="1"/>
  <c r="Q220" i="8" a="1"/>
  <c r="F305" i="8" a="1"/>
  <c r="P220" i="8" a="1"/>
  <c r="S220" i="8" a="1"/>
  <c r="L221" i="8" a="1"/>
  <c r="M112" i="8" a="1"/>
  <c r="G110" i="8" a="1"/>
  <c r="C143" i="8" a="1"/>
  <c r="C212" i="8" a="1"/>
  <c r="F307" i="8" a="1"/>
  <c r="D109" i="8" a="1"/>
  <c r="M113" i="8" a="1"/>
  <c r="E122" i="8" a="1"/>
  <c r="F304" i="8" a="1"/>
  <c r="E145" i="8" a="1"/>
  <c r="O127" i="8" a="1"/>
  <c r="S224" i="8" a="1"/>
  <c r="D211" i="8" a="1"/>
  <c r="E113" i="8" a="1"/>
  <c r="S221" i="8" a="1"/>
  <c r="C209" i="8" a="1"/>
  <c r="R210" i="8" a="1"/>
  <c r="D216" i="8" a="1"/>
  <c r="E109" i="8" a="1"/>
  <c r="B145" i="8" a="1"/>
  <c r="L154" i="8" a="1"/>
  <c r="L137" i="8" a="1"/>
  <c r="F110" i="8" a="1"/>
  <c r="O120" i="8" a="1"/>
  <c r="O223" i="8" a="1"/>
  <c r="D114" i="8" a="1"/>
  <c r="N119" i="8" a="1"/>
  <c r="C150" i="8" a="1"/>
  <c r="N113" i="8" a="1"/>
  <c r="P213" i="8" a="1"/>
  <c r="D210" i="8" a="1"/>
  <c r="G216" i="8" a="1"/>
  <c r="F122" i="8" a="1"/>
  <c r="C113" i="8" a="1"/>
  <c r="N210" i="8" a="1"/>
  <c r="E209" i="8" a="1"/>
  <c r="B143" i="8" a="1"/>
  <c r="O109" i="8" a="1"/>
  <c r="Q112" i="8" a="1"/>
  <c r="Q109" i="8" a="1"/>
  <c r="E143" i="8" a="1"/>
  <c r="C126" i="8" a="1"/>
  <c r="M209" i="8" a="1"/>
  <c r="R213" i="8" a="1"/>
  <c r="B146" i="8" a="1"/>
  <c r="M152" i="8" a="1"/>
  <c r="G135" i="8" a="1"/>
  <c r="N155" i="8" a="1"/>
  <c r="L110" i="8" a="1"/>
  <c r="L127" i="8" a="1"/>
  <c r="F124" i="8" a="1"/>
  <c r="C144" i="8" a="1"/>
  <c r="Q127" i="8" a="1"/>
  <c r="O153" i="8" a="1"/>
  <c r="F119" i="8" a="1"/>
  <c r="E133" i="8" a="1"/>
  <c r="Q132" i="8" a="1"/>
  <c r="G143" i="8" a="1"/>
  <c r="S213" i="8" a="1"/>
  <c r="O163" i="8" a="1"/>
  <c r="F212" i="8" a="1"/>
  <c r="B121" i="8" a="1"/>
  <c r="G215" i="8" a="1"/>
  <c r="S210" i="8" a="1"/>
  <c r="Q130" i="8" a="1"/>
  <c r="R209" i="8" a="1"/>
  <c r="M138" i="8" a="1"/>
  <c r="P129" i="8" a="1"/>
  <c r="L220" i="8" a="1"/>
  <c r="L222" i="8" a="1"/>
  <c r="P132" i="8" a="1"/>
  <c r="B136" i="8" a="1"/>
  <c r="L132" i="8" a="1"/>
  <c r="E135" i="8" a="1"/>
  <c r="B112" i="8" a="1"/>
  <c r="E213" i="8" a="1"/>
  <c r="D119" i="8" a="1"/>
  <c r="S222" i="8" a="1"/>
  <c r="R221" i="8" a="1"/>
  <c r="O121" i="8" a="1"/>
  <c r="Q156" i="8" a="1"/>
  <c r="M156" i="8" a="1"/>
  <c r="C121" i="8" a="1"/>
  <c r="Q213" i="8" a="1"/>
  <c r="C152" i="8" a="1"/>
  <c r="L111" i="8" a="1"/>
  <c r="B152" i="8" a="1"/>
  <c r="L138" i="8" a="1"/>
  <c r="Q223" i="8" a="1"/>
  <c r="C215" i="8" a="1"/>
  <c r="D215" i="8" a="1"/>
  <c r="C112" i="8" a="1"/>
  <c r="D134" i="8" a="1"/>
  <c r="M226" i="8" a="1"/>
  <c r="P156" i="8" a="1"/>
  <c r="C136" i="8" a="1"/>
  <c r="P130" i="8" a="1"/>
  <c r="E119" i="8" a="1"/>
  <c r="L153" i="8" a="1"/>
  <c r="D123" i="8" a="1"/>
  <c r="O129" i="8" a="1"/>
  <c r="E212" i="8" a="1"/>
  <c r="D112" i="8" a="1"/>
  <c r="P127" i="8" a="1"/>
  <c r="B111" i="8" a="1"/>
  <c r="S209" i="8" a="1"/>
  <c r="O131" i="8" a="1"/>
  <c r="F123" i="8" a="1"/>
  <c r="Q222" i="8" a="1"/>
  <c r="G217" i="8" a="1"/>
  <c r="N213" i="8" a="1"/>
  <c r="D214" i="8" a="1"/>
  <c r="R224" i="8" a="1"/>
  <c r="F216" i="8" a="1"/>
  <c r="P152" i="8" a="1"/>
  <c r="G212" i="8" a="1"/>
  <c r="N138" i="8" a="1"/>
  <c r="F211" i="8" a="1"/>
  <c r="N121" i="8" a="1"/>
  <c r="F209" i="8" a="1"/>
  <c r="I143" i="8" a="1"/>
  <c r="E136" i="8" a="1"/>
  <c r="C134" i="8" a="1"/>
  <c r="N157" i="8" a="1"/>
  <c r="L213" i="8" a="1"/>
  <c r="E216" i="8" a="1"/>
  <c r="L121" i="8" a="1"/>
  <c r="C217" i="8" a="1"/>
  <c r="P221" i="8" a="1"/>
  <c r="P209" i="8" a="1"/>
  <c r="N123" i="8" a="1"/>
  <c r="E146" i="8" a="1"/>
  <c r="B135" i="8" a="1"/>
  <c r="N109" i="8" a="1"/>
  <c r="B209" i="8" a="1"/>
  <c r="C137" i="8" a="1"/>
  <c r="O128" i="8" a="1"/>
  <c r="B210" i="8" a="1"/>
  <c r="O132" i="8" a="1"/>
  <c r="F114" i="8" a="1"/>
  <c r="O209" i="8" a="1"/>
  <c r="Q209" i="8" a="1"/>
  <c r="D113" i="8" a="1"/>
  <c r="L123" i="8" a="1"/>
  <c r="D126" i="8" a="1"/>
  <c r="F306" i="8" a="1"/>
  <c r="G111" i="8" a="1"/>
  <c r="R154" i="8" a="1"/>
  <c r="C145" i="8" a="1"/>
  <c r="O138" i="8" a="1"/>
  <c r="F120" i="8" a="1"/>
  <c r="O154" i="8" a="1"/>
  <c r="L120" i="8" a="1"/>
  <c r="Q128" i="8" a="1"/>
  <c r="C146" i="8" a="1"/>
  <c r="O119" i="8" a="1"/>
  <c r="M153" i="8" a="1"/>
  <c r="C109" i="8" a="1"/>
  <c r="O224" i="8" a="1"/>
  <c r="L119" i="8" a="1"/>
  <c r="F109" i="8" a="1"/>
  <c r="G145" i="8" a="1"/>
  <c r="L212" i="8" a="1"/>
  <c r="G211" i="8" a="1"/>
  <c r="R212" i="8" a="1"/>
  <c r="S211" i="8" a="1"/>
  <c r="B211" i="8" a="1"/>
  <c r="B119" i="8" a="1"/>
  <c r="D136" i="8" a="1"/>
  <c r="O111" i="8" a="1"/>
  <c r="L162" i="8" a="1"/>
  <c r="G136" i="8" a="1"/>
  <c r="E142" i="8" a="1"/>
  <c r="M137" i="8" a="1"/>
  <c r="C133" i="8" a="1"/>
  <c r="E214" i="8" a="1"/>
  <c r="D133" i="8" l="1"/>
  <c r="L152" i="8"/>
  <c r="R210" i="8"/>
  <c r="L212" i="8"/>
  <c r="O111" i="8"/>
  <c r="R156" i="8"/>
  <c r="B123" i="8"/>
  <c r="D123" i="8"/>
  <c r="F121" i="8"/>
  <c r="G145" i="8"/>
  <c r="P109" i="8"/>
  <c r="N152" i="8"/>
  <c r="E112" i="8"/>
  <c r="N213" i="8"/>
  <c r="Q223" i="8"/>
  <c r="C209" i="8"/>
  <c r="C142" i="8"/>
  <c r="E214" i="8"/>
  <c r="G111" i="8"/>
  <c r="L222" i="8"/>
  <c r="C143" i="8"/>
  <c r="C144" i="8"/>
  <c r="B134" i="8"/>
  <c r="D112" i="8"/>
  <c r="B112" i="8"/>
  <c r="D125" i="8"/>
  <c r="E114" i="8"/>
  <c r="L162" i="8"/>
  <c r="B133" i="8"/>
  <c r="N223" i="8"/>
  <c r="G213" i="8"/>
  <c r="O122" i="8"/>
  <c r="O210" i="8"/>
  <c r="O138" i="8"/>
  <c r="M111" i="8"/>
  <c r="E109" i="8"/>
  <c r="L210" i="8"/>
  <c r="L120" i="8"/>
  <c r="O120" i="8"/>
  <c r="F210" i="8"/>
  <c r="L132" i="8"/>
  <c r="C216" i="8"/>
  <c r="N109" i="8"/>
  <c r="Q129" i="8"/>
  <c r="R213" i="8"/>
  <c r="M214" i="8"/>
  <c r="D215" i="8"/>
  <c r="N138" i="8"/>
  <c r="E144" i="8"/>
  <c r="F133" i="8"/>
  <c r="G137" i="8"/>
  <c r="M138" i="8"/>
  <c r="C136" i="8"/>
  <c r="P153" i="8"/>
  <c r="B110" i="8"/>
  <c r="I143" i="8"/>
  <c r="C121" i="8"/>
  <c r="D122" i="8"/>
  <c r="S223" i="8"/>
  <c r="G135" i="8"/>
  <c r="L112" i="8"/>
  <c r="M122" i="8"/>
  <c r="O212" i="8"/>
  <c r="P222" i="8"/>
  <c r="B145" i="8"/>
  <c r="D212" i="8"/>
  <c r="M209" i="8"/>
  <c r="B146" i="8"/>
  <c r="L113" i="8"/>
  <c r="D216" i="8"/>
  <c r="O222" i="8"/>
  <c r="O155" i="8"/>
  <c r="M156" i="8"/>
  <c r="F217" i="8"/>
  <c r="P223" i="8"/>
  <c r="B151" i="8"/>
  <c r="M113" i="8"/>
  <c r="E133" i="8"/>
  <c r="M121" i="8"/>
  <c r="M213" i="8"/>
  <c r="M119" i="8"/>
  <c r="C145" i="8"/>
  <c r="E212" i="8"/>
  <c r="B125" i="8"/>
  <c r="B111" i="8"/>
  <c r="F214" i="8"/>
  <c r="M112" i="8"/>
  <c r="Q220" i="8"/>
  <c r="C135" i="8"/>
  <c r="G209" i="8"/>
  <c r="P131" i="8"/>
  <c r="D146" i="8"/>
  <c r="I142" i="8"/>
  <c r="O121" i="8"/>
  <c r="B152" i="8"/>
  <c r="E135" i="8"/>
  <c r="B215" i="8"/>
  <c r="O153" i="8"/>
  <c r="D124" i="8"/>
  <c r="G210" i="8"/>
  <c r="N212" i="8"/>
  <c r="S220" i="8"/>
  <c r="B122" i="8"/>
  <c r="S211" i="8"/>
  <c r="P152" i="8"/>
  <c r="C150" i="8"/>
  <c r="G212" i="8"/>
  <c r="N210" i="8"/>
  <c r="Q131" i="8"/>
  <c r="E217" i="8"/>
  <c r="M225" i="8"/>
  <c r="P211" i="8"/>
  <c r="C114" i="8"/>
  <c r="F215" i="8"/>
  <c r="M226" i="8"/>
  <c r="N222" i="8"/>
  <c r="E110" i="8"/>
  <c r="L129" i="8"/>
  <c r="P220" i="8"/>
  <c r="C137" i="8"/>
  <c r="F111" i="8"/>
  <c r="F114" i="8"/>
  <c r="F304" i="8"/>
  <c r="C212" i="8"/>
  <c r="O220" i="8"/>
  <c r="G110" i="8"/>
  <c r="N123" i="8"/>
  <c r="B212" i="8"/>
  <c r="E124" i="8"/>
  <c r="L220" i="8"/>
  <c r="B211" i="8"/>
  <c r="B137" i="8"/>
  <c r="F307" i="8"/>
  <c r="Q212" i="8"/>
  <c r="O157" i="8"/>
  <c r="O224" i="8"/>
  <c r="C152" i="8"/>
  <c r="F216" i="8"/>
  <c r="M114" i="8"/>
  <c r="P209" i="8"/>
  <c r="D210" i="8"/>
  <c r="N112" i="8"/>
  <c r="R221" i="8"/>
  <c r="D209" i="8"/>
  <c r="L224" i="8"/>
  <c r="O109" i="8"/>
  <c r="E142" i="8"/>
  <c r="F136" i="8"/>
  <c r="N211" i="8"/>
  <c r="R223" i="8"/>
  <c r="D134" i="8"/>
  <c r="G114" i="8"/>
  <c r="G134" i="8"/>
  <c r="C123" i="8"/>
  <c r="F209" i="8"/>
  <c r="Q221" i="8"/>
  <c r="C125" i="8"/>
  <c r="P129" i="8"/>
  <c r="D144" i="8"/>
  <c r="B213" i="8"/>
  <c r="F125" i="8"/>
  <c r="M163" i="8"/>
  <c r="P213" i="8"/>
  <c r="N155" i="8"/>
  <c r="L156" i="8"/>
  <c r="O156" i="8"/>
  <c r="B144" i="8"/>
  <c r="E210" i="8"/>
  <c r="L109" i="8"/>
  <c r="O123" i="8"/>
  <c r="E121" i="8"/>
  <c r="E125" i="8"/>
  <c r="B217" i="8"/>
  <c r="Q113" i="8"/>
  <c r="F305" i="8"/>
  <c r="P212" i="8"/>
  <c r="F119" i="8"/>
  <c r="L209" i="8"/>
  <c r="O162" i="8"/>
  <c r="E136" i="8"/>
  <c r="L127" i="8"/>
  <c r="O223" i="8"/>
  <c r="B209" i="8"/>
  <c r="Q111" i="8"/>
  <c r="D119" i="8"/>
  <c r="G143" i="8"/>
  <c r="O119" i="8"/>
  <c r="S209" i="8"/>
  <c r="L137" i="8"/>
  <c r="G109" i="8"/>
  <c r="F308" i="8"/>
  <c r="C110" i="8"/>
  <c r="C217" i="8"/>
  <c r="P127" i="8"/>
  <c r="C214" i="8"/>
  <c r="D136" i="8"/>
  <c r="C120" i="8"/>
  <c r="M224" i="8"/>
  <c r="C126" i="8"/>
  <c r="G216" i="8"/>
  <c r="N154" i="8"/>
  <c r="R224" i="8"/>
  <c r="M120" i="8"/>
  <c r="C111" i="8"/>
  <c r="B142" i="8"/>
  <c r="E123" i="8"/>
  <c r="L138" i="8"/>
  <c r="O130" i="8"/>
  <c r="F122" i="8"/>
  <c r="E215" i="8"/>
  <c r="N153" i="8"/>
  <c r="S212" i="8"/>
  <c r="E213" i="8"/>
  <c r="L111" i="8"/>
  <c r="O209" i="8"/>
  <c r="F213" i="8"/>
  <c r="G142" i="8"/>
  <c r="N163" i="8"/>
  <c r="R211" i="8"/>
  <c r="D114" i="8"/>
  <c r="G113" i="8"/>
  <c r="I145" i="8"/>
  <c r="C151" i="8"/>
  <c r="F124" i="8"/>
  <c r="N162" i="8"/>
  <c r="Q210" i="8"/>
  <c r="D211" i="8"/>
  <c r="R220" i="8"/>
  <c r="E211" i="8"/>
  <c r="B124" i="8"/>
  <c r="F134" i="8"/>
  <c r="M215" i="8"/>
  <c r="Q211" i="8"/>
  <c r="B135" i="8"/>
  <c r="D121" i="8"/>
  <c r="M152" i="8"/>
  <c r="E111" i="8"/>
  <c r="F211" i="8"/>
  <c r="O129" i="8"/>
  <c r="L119" i="8"/>
  <c r="D113" i="8"/>
  <c r="D137" i="8"/>
  <c r="B113" i="8"/>
  <c r="E145" i="8"/>
  <c r="M212" i="8"/>
  <c r="P137" i="8"/>
  <c r="C133" i="8"/>
  <c r="P111" i="8"/>
  <c r="N221" i="8"/>
  <c r="C210" i="8"/>
  <c r="G211" i="8"/>
  <c r="N220" i="8"/>
  <c r="S213" i="8"/>
  <c r="Q222" i="8"/>
  <c r="Q112" i="8"/>
  <c r="P128" i="8"/>
  <c r="C122" i="8"/>
  <c r="G217" i="8"/>
  <c r="N137" i="8"/>
  <c r="Q128" i="8"/>
  <c r="R222" i="8"/>
  <c r="L163" i="8"/>
  <c r="P224" i="8"/>
  <c r="C112" i="8"/>
  <c r="F212" i="8"/>
  <c r="M162" i="8"/>
  <c r="L213" i="8"/>
  <c r="E120" i="8"/>
  <c r="L221" i="8"/>
  <c r="P156" i="8"/>
  <c r="B214" i="8"/>
  <c r="F112" i="8"/>
  <c r="F113" i="8"/>
  <c r="S222" i="8"/>
  <c r="D217" i="8"/>
  <c r="L154" i="8"/>
  <c r="O112" i="8"/>
  <c r="B121" i="8"/>
  <c r="O152" i="8"/>
  <c r="M154" i="8"/>
  <c r="O137" i="8"/>
  <c r="M153" i="8"/>
  <c r="P154" i="8"/>
  <c r="Q154" i="8"/>
  <c r="M137" i="8"/>
  <c r="Q130" i="8"/>
  <c r="O127" i="8"/>
  <c r="D214" i="8"/>
  <c r="G214" i="8"/>
  <c r="O113" i="8"/>
  <c r="S224" i="8"/>
  <c r="E216" i="8"/>
  <c r="E146" i="8"/>
  <c r="B150" i="8"/>
  <c r="E143" i="8"/>
  <c r="M223" i="8"/>
  <c r="P210" i="8"/>
  <c r="C211" i="8"/>
  <c r="N120" i="8"/>
  <c r="B143" i="8"/>
  <c r="B114" i="8"/>
  <c r="E137" i="8"/>
  <c r="P130" i="8"/>
  <c r="L223" i="8"/>
  <c r="F120" i="8"/>
  <c r="N209" i="8"/>
  <c r="B216" i="8"/>
  <c r="E119" i="8"/>
  <c r="L131" i="8"/>
  <c r="O211" i="8"/>
  <c r="G112" i="8"/>
  <c r="G133" i="8"/>
  <c r="N111" i="8"/>
  <c r="S221" i="8"/>
  <c r="D143" i="8"/>
  <c r="H142" i="8"/>
  <c r="L153" i="8"/>
  <c r="C213" i="8"/>
  <c r="F110" i="8"/>
  <c r="N224" i="8"/>
  <c r="Q213" i="8"/>
  <c r="D120" i="8"/>
  <c r="C109" i="8"/>
  <c r="C113" i="8"/>
  <c r="Q127" i="8"/>
  <c r="P113" i="8"/>
  <c r="D126" i="8"/>
  <c r="H143" i="8"/>
  <c r="O213" i="8"/>
  <c r="S210" i="8"/>
  <c r="M210" i="8"/>
  <c r="I146" i="8"/>
  <c r="O128" i="8"/>
  <c r="B136" i="8"/>
  <c r="E122" i="8"/>
  <c r="L123" i="8"/>
  <c r="F306" i="8"/>
  <c r="M221" i="8"/>
  <c r="Q132" i="8"/>
  <c r="C134" i="8"/>
  <c r="Q109" i="8"/>
  <c r="M222" i="8"/>
  <c r="Q156" i="8"/>
  <c r="D111" i="8"/>
  <c r="G136" i="8"/>
  <c r="N157" i="8"/>
  <c r="D109" i="8"/>
  <c r="L211" i="8"/>
  <c r="O163" i="8"/>
  <c r="B210" i="8"/>
  <c r="P221" i="8"/>
  <c r="N122" i="8"/>
  <c r="O131" i="8"/>
  <c r="B120" i="8"/>
  <c r="F123" i="8"/>
  <c r="M211" i="8"/>
  <c r="P132" i="8"/>
  <c r="F109" i="8"/>
  <c r="N113" i="8"/>
  <c r="R209" i="8"/>
  <c r="D110" i="8"/>
  <c r="E113" i="8"/>
  <c r="L110" i="8"/>
  <c r="R212" i="8"/>
  <c r="D213" i="8"/>
  <c r="L128" i="8"/>
  <c r="O221" i="8"/>
  <c r="M220" i="8"/>
  <c r="P112" i="8"/>
  <c r="C215" i="8"/>
  <c r="F137" i="8"/>
  <c r="O132" i="8"/>
  <c r="C146" i="8"/>
  <c r="F135" i="8"/>
  <c r="M123" i="8"/>
  <c r="Q209" i="8"/>
  <c r="L121" i="8"/>
  <c r="C119" i="8"/>
  <c r="B119" i="8"/>
  <c r="E134" i="8"/>
  <c r="L122" i="8"/>
  <c r="O154" i="8"/>
  <c r="C124" i="8"/>
  <c r="Q224" i="8"/>
  <c r="D142" i="8"/>
  <c r="G146" i="8"/>
  <c r="N121" i="8"/>
  <c r="N156" i="8"/>
  <c r="D145" i="8"/>
  <c r="G215" i="8"/>
  <c r="N119" i="8"/>
  <c r="R154" i="8"/>
  <c r="D135" i="8"/>
  <c r="E209" i="8"/>
  <c r="A301" i="8"/>
  <c r="A101" i="8"/>
  <c r="G307" i="8" a="1"/>
  <c r="G306" i="8" a="1"/>
  <c r="G308" i="8" a="1"/>
  <c r="G305" i="8" a="1"/>
  <c r="G304" i="8" a="1"/>
  <c r="G304" i="8" l="1"/>
  <c r="G308" i="8"/>
  <c r="G306" i="8"/>
  <c r="G305" i="8"/>
  <c r="G307" i="8"/>
  <c r="H305" i="8" a="1"/>
  <c r="H305" i="8" l="1"/>
  <c r="H308" i="8" a="1"/>
  <c r="H308" i="8" l="1"/>
  <c r="H307" i="8" a="1"/>
  <c r="H307" i="8" l="1"/>
  <c r="H304" i="8" a="1"/>
  <c r="H304" i="8" l="1"/>
  <c r="H306" i="8" a="1"/>
  <c r="H306" i="8" l="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<sst xmlns="http://schemas.openxmlformats.org/spreadsheetml/2006/main" count="507" uniqueCount="149">
  <si>
    <t>RANDOM LENGTHS PANEL REPORT</t>
  </si>
  <si>
    <t>Prv Week</t>
  </si>
  <si>
    <t>Prv Year</t>
  </si>
  <si>
    <t>Date</t>
  </si>
  <si>
    <t>Year</t>
  </si>
  <si>
    <t>Month</t>
  </si>
  <si>
    <t>Pub Date</t>
  </si>
  <si>
    <t>Page 12</t>
  </si>
  <si>
    <t>ORIENTED STRAND BOARD</t>
  </si>
  <si>
    <t>WESTERN PLYWOOD</t>
  </si>
  <si>
    <t>U.S.</t>
  </si>
  <si>
    <t>SHEATHING</t>
  </si>
  <si>
    <t>NORTH</t>
  </si>
  <si>
    <t>WESTERN</t>
  </si>
  <si>
    <t>EASTERN</t>
  </si>
  <si>
    <t>SOUTH</t>
  </si>
  <si>
    <t>MID</t>
  </si>
  <si>
    <t>CD</t>
  </si>
  <si>
    <t>CC</t>
  </si>
  <si>
    <t>Mill</t>
  </si>
  <si>
    <t>CENTRAL</t>
  </si>
  <si>
    <t>CANADA</t>
  </si>
  <si>
    <t>WEST</t>
  </si>
  <si>
    <t>EAST</t>
  </si>
  <si>
    <t>ATLANTIC</t>
  </si>
  <si>
    <t xml:space="preserve">         CD</t>
  </si>
  <si>
    <t>Struc I</t>
  </si>
  <si>
    <t>P&amp;TS</t>
  </si>
  <si>
    <t>Grade</t>
  </si>
  <si>
    <t>3/8"</t>
  </si>
  <si>
    <t>7/16"</t>
  </si>
  <si>
    <t>1/2" 3P</t>
  </si>
  <si>
    <t>--</t>
  </si>
  <si>
    <t>15/32"</t>
  </si>
  <si>
    <t>1/2" 4/5P</t>
  </si>
  <si>
    <t>1/2"</t>
  </si>
  <si>
    <t>5/8" 4/5P</t>
  </si>
  <si>
    <t>19/32" T&amp;G</t>
  </si>
  <si>
    <t>3/4" 4/5P</t>
  </si>
  <si>
    <t>23/32" T&amp;G</t>
  </si>
  <si>
    <t>(1) For BC PT&amp;S, add:</t>
  </si>
  <si>
    <t>DELIVERED PRICES</t>
  </si>
  <si>
    <t>SANDED</t>
  </si>
  <si>
    <t>AC</t>
  </si>
  <si>
    <t>BC</t>
  </si>
  <si>
    <t>AB</t>
  </si>
  <si>
    <t>AA</t>
  </si>
  <si>
    <t>Seattle</t>
  </si>
  <si>
    <t>1/4"</t>
  </si>
  <si>
    <t>Portland</t>
  </si>
  <si>
    <t>11/32"</t>
  </si>
  <si>
    <t>Sacramento</t>
  </si>
  <si>
    <t>LA</t>
  </si>
  <si>
    <t>19/32"</t>
  </si>
  <si>
    <t>Denver</t>
  </si>
  <si>
    <t>23/32"</t>
  </si>
  <si>
    <t>Salt Lake</t>
  </si>
  <si>
    <t>Phoenix</t>
  </si>
  <si>
    <t>UNDERLAYMENT</t>
  </si>
  <si>
    <t>SIDINGS, Rough Sawn, 8-foot</t>
  </si>
  <si>
    <t>(5) For Struc 1, add:</t>
  </si>
  <si>
    <t>C X-Band T&amp;G</t>
  </si>
  <si>
    <t>8'</t>
  </si>
  <si>
    <t>9'</t>
  </si>
  <si>
    <t>10'</t>
  </si>
  <si>
    <t>6-Patch 11/32"</t>
  </si>
  <si>
    <t>SOUTHERN PLYWOOD</t>
  </si>
  <si>
    <t>1-1/8"</t>
  </si>
  <si>
    <t>19/32" RB&amp;B</t>
  </si>
  <si>
    <t>CONCRETE FORM</t>
  </si>
  <si>
    <t>18-Patch 11/32"</t>
  </si>
  <si>
    <t>Rated</t>
  </si>
  <si>
    <t xml:space="preserve">       Mill Grade</t>
  </si>
  <si>
    <t>5/8"</t>
  </si>
  <si>
    <t>From:</t>
  </si>
  <si>
    <t xml:space="preserve"> </t>
  </si>
  <si>
    <t xml:space="preserve">   3/4"</t>
  </si>
  <si>
    <t>15/32" 3P</t>
  </si>
  <si>
    <t>15/32" 4P</t>
  </si>
  <si>
    <t>WEST COAST VENEER</t>
  </si>
  <si>
    <t>19/32" 4P</t>
  </si>
  <si>
    <t>CD-8'</t>
  </si>
  <si>
    <t>54"</t>
  </si>
  <si>
    <t>27"</t>
  </si>
  <si>
    <t>RW</t>
  </si>
  <si>
    <t>F/T</t>
  </si>
  <si>
    <t>Mix</t>
  </si>
  <si>
    <t>DF 1/8"</t>
  </si>
  <si>
    <t xml:space="preserve">   UNDERLAYMENT</t>
  </si>
  <si>
    <t>WW 1/6"</t>
  </si>
  <si>
    <t xml:space="preserve">   C X-Band, T&amp;G</t>
  </si>
  <si>
    <t xml:space="preserve">   CONCRETE FORM</t>
  </si>
  <si>
    <t>SIDINGS, Rough Sawn, 8-foot, 6-patch</t>
  </si>
  <si>
    <t>NON-STRUCTURAL PANELS</t>
  </si>
  <si>
    <t>INDUSTRIAL PARTICLEBOARD</t>
  </si>
  <si>
    <t xml:space="preserve">INTERIOR </t>
  </si>
  <si>
    <t xml:space="preserve">                MELAMINE</t>
  </si>
  <si>
    <t>SOUTHERN</t>
  </si>
  <si>
    <t>PB UL</t>
  </si>
  <si>
    <t>19/32" Grv</t>
  </si>
  <si>
    <t>COAST</t>
  </si>
  <si>
    <t>INLAND</t>
  </si>
  <si>
    <t>11/16"</t>
  </si>
  <si>
    <t>3/4"</t>
  </si>
  <si>
    <t>MEDIUM DENSITY FIBERBOARD</t>
  </si>
  <si>
    <t>Page 13</t>
  </si>
  <si>
    <t>ORIENTED STRAND BOARD CANADA</t>
  </si>
  <si>
    <t>CANADIAN SHEATHING</t>
  </si>
  <si>
    <t>CANADIAN SPRUCE PLYWOOD</t>
  </si>
  <si>
    <t xml:space="preserve">                 T&amp;G</t>
  </si>
  <si>
    <t xml:space="preserve">19/32" </t>
  </si>
  <si>
    <t xml:space="preserve">23/32" </t>
  </si>
  <si>
    <t>VANC</t>
  </si>
  <si>
    <t>CAL/EDM</t>
  </si>
  <si>
    <t>REGINA</t>
  </si>
  <si>
    <t>WINN</t>
  </si>
  <si>
    <t>TOR</t>
  </si>
  <si>
    <t>MONT</t>
  </si>
  <si>
    <t>MONC</t>
  </si>
  <si>
    <t>HAL</t>
  </si>
  <si>
    <t>Vancouver</t>
  </si>
  <si>
    <t>9.5mm-3/8"</t>
  </si>
  <si>
    <t>Edmonton</t>
  </si>
  <si>
    <t>12.5mm-1/2"</t>
  </si>
  <si>
    <t>Calgary</t>
  </si>
  <si>
    <t>15.5mm-5/8"</t>
  </si>
  <si>
    <t>Regina</t>
  </si>
  <si>
    <t>18.5mm-3/4"</t>
  </si>
  <si>
    <t>Winnipeg</t>
  </si>
  <si>
    <t>25.5mm-1"</t>
  </si>
  <si>
    <t>Toronto</t>
  </si>
  <si>
    <t>(2) ) For Select, add:</t>
  </si>
  <si>
    <t>Montreal</t>
  </si>
  <si>
    <t>(3) For T&amp;G, add:</t>
  </si>
  <si>
    <t>Moncton</t>
  </si>
  <si>
    <t>Halifax</t>
  </si>
  <si>
    <t>DOUGLAS FIR PLYWOOD</t>
  </si>
  <si>
    <t>25.5mm-3/4"</t>
  </si>
  <si>
    <t>(2) For Select, add:</t>
  </si>
  <si>
    <t>Panel Composites</t>
  </si>
  <si>
    <t>This Week</t>
  </si>
  <si>
    <t>Last Week</t>
  </si>
  <si>
    <t>Year Ago</t>
  </si>
  <si>
    <t>Structural Panel Composite</t>
  </si>
  <si>
    <t>Oriented Strand Board Composite</t>
  </si>
  <si>
    <t>Southern Pine Plywood Composite</t>
  </si>
  <si>
    <t>Western Fir Plywood Composite</t>
  </si>
  <si>
    <t>Non-Structural Panel Composite</t>
  </si>
  <si>
    <r>
      <t>Random Lengths Panel Reports</t>
    </r>
    <r>
      <rPr>
        <sz val="10"/>
        <rFont val="Arial"/>
        <family val="2"/>
      </rPr>
      <t xml:space="preserve"> are published</t>
    </r>
    <r>
      <rPr>
        <b/>
        <sz val="11"/>
        <color theme="1"/>
        <rFont val="Calibri"/>
        <family val="2"/>
        <scheme val="minor"/>
      </rPr>
      <t xml:space="preserve"> every </t>
    </r>
    <r>
      <rPr>
        <b/>
        <u/>
        <sz val="11"/>
        <color theme="1"/>
        <rFont val="Calibri"/>
        <family val="2"/>
        <scheme val="minor"/>
      </rPr>
      <t>Friday.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</si>
</sst>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General_)"/>
    <numFmt numFmtId="165" formatCode="&quot;$&quot;#,##0"/>
    <numFmt numFmtId="166" formatCode="00"/>
    <numFmt numFmtId="167" formatCode="mm/dd/yy"/>
    <numFmt numFmtId="168" formatCode="\+#,##0;\–#,##0;0"/>
    <numFmt numFmtId="169" formatCode="\+#,##0.00;\–#,##0.00;0"/>
    <numFmt numFmtId="170" formatCode="mm/dd/yy;@"/>
    <numFmt numFmtId="171" formatCode="[$-409]d\-mmm\-yyyy;@"/>
  </numFmts>
  <fonts count="24" x14ac:knownFonts="1">
    <font>
      <sz val="10"/>
      <name val="Arial"/>
      <family val="2"/>
    </font>
    <font>
      <sz val="10"/>
      <name val="Arial"/>
      <family val="2"/>
    </font>
    <font>
      <i/>
      <sz val="10"/>
      <name val="Arial"/>
      <family val="2"/>
    </font>
    <font>
      <sz val="10"/>
      <color indexed="12"/>
      <name val="Arial"/>
      <family val="2"/>
    </font>
    <font>
      <sz val="10"/>
      <color indexed="10"/>
      <name val="Arial"/>
      <family val="2"/>
    </font>
    <font>
      <b/>
      <sz val="10"/>
      <color indexed="10"/>
      <name val="Arial"/>
      <family val="2"/>
    </font>
    <font>
      <sz val="10"/>
      <name val="Courier"/>
      <family val="3"/>
    </font>
    <font>
      <sz val="10"/>
      <name val="Arial Narrow"/>
      <family val="2"/>
    </font>
    <font>
      <b/>
      <i/>
      <sz val="10"/>
      <color indexed="17"/>
      <name val="Arial"/>
      <family val="2"/>
    </font>
    <font>
      <sz val="8"/>
      <color indexed="12"/>
      <name val="Arial"/>
      <family val="2"/>
    </font>
    <font>
      <b/>
      <i/>
      <sz val="12"/>
      <color indexed="17"/>
      <name val="Arial"/>
      <family val="2"/>
    </font>
    <font>
      <sz val="8"/>
      <name val="Arial"/>
      <family val="2"/>
    </font>
    <font>
      <b/>
      <i/>
      <sz val="16"/>
      <color indexed="17"/>
      <name val="Arial"/>
      <family val="2"/>
    </font>
    <font>
      <sz val="10"/>
      <color indexed="8"/>
      <name val="Arial"/>
      <family val="2"/>
    </font>
    <font>
      <sz val="10"/>
      <color indexed="8"/>
      <name val="Courier"/>
      <family val="3"/>
    </font>
    <font>
      <b/>
      <i/>
      <sz val="11"/>
      <color indexed="17"/>
      <name val="Arial"/>
      <family val="2"/>
    </font>
    <font>
      <sz val="8"/>
      <color indexed="17"/>
      <name val="Arial"/>
      <family val="2"/>
    </font>
    <font>
      <b/>
      <sz val="10"/>
      <color indexed="12"/>
      <name val="Arial"/>
      <family val="2"/>
    </font>
    <font>
      <i/>
      <sz val="9"/>
      <color indexed="10"/>
      <name val="Arial"/>
      <family val="2"/>
    </font>
    <font>
      <b/>
      <sz val="10"/>
      <name val="Arial"/>
      <family val="2"/>
    </font>
    <font>
      <i/>
      <sz val="10"/>
      <color indexed="12"/>
      <name val="Arial"/>
      <family val="2"/>
    </font>
    <font>
      <b/>
      <sz val="10"/>
      <color indexed="8"/>
      <name val="Arial"/>
      <family val="2"/>
    </font>
    <font>
      <b/>
      <sz val="11"/>
      <color theme="1"/>
      <name val="Calibri"/>
      <family val="2"/>
      <scheme val="minor"/>
    </font>
    <font>
      <b/>
      <u/>
      <sz val="11"/>
      <color theme="1"/>
      <name val="Calibri"/>
      <family val="2"/>
      <scheme val="minor"/>
    </font>
  </fonts>
  <fills count="6">
    <fill>
      <patternFill patternType="none"/>
    </fill>
    <fill>
      <patternFill patternType="gray125"/>
    </fill>
    <fill>
      <patternFill patternType="solid">
        <fgColor indexed="46"/>
        <bgColor indexed="64"/>
      </patternFill>
    </fill>
    <fill>
      <patternFill patternType="solid">
        <fgColor indexed="29"/>
        <bgColor indexed="64"/>
      </patternFill>
    </fill>
    <fill>
      <patternFill patternType="solid">
        <fgColor theme="7" tint="0.59999389629810485"/>
        <bgColor indexed="64"/>
      </patternFill>
    </fill>
    <fill>
      <patternFill patternType="solid">
        <fgColor rgb="FFFFFF00"/>
        <bgColor indexed="64"/>
      </patternFill>
    </fill>
  </fills>
  <borders count="1">
    <border>
      <left/>
      <right/>
      <top/>
      <bottom/>
      <diagonal/>
    </border>
  </borders>
  <cellStyleXfs count="7">
    <xf numFmtId="164" fontId="0" fillId="0" borderId="0"/>
    <xf numFmtId="2" fontId="14" fillId="2" borderId="0">
      <alignment horizontal="right"/>
    </xf>
    <xf numFmtId="2" fontId="6" fillId="3" borderId="0">
      <alignment horizontal="right"/>
    </xf>
    <xf numFmtId="3" fontId="1" fillId="0" borderId="0">
      <alignment horizontal="right"/>
    </xf>
    <xf numFmtId="4" fontId="1" fillId="0" borderId="0">
      <alignment horizontal="right"/>
    </xf>
    <xf numFmtId="168" fontId="1" fillId="0" borderId="0">
      <alignment horizontal="right"/>
    </xf>
    <xf numFmtId="169" fontId="1" fillId="0" borderId="0">
      <alignment horizontal="right"/>
    </xf>
  </cellStyleXfs>
  <cellXfs count="107">
    <xf numFmtId="164" fontId="0" fillId="0" borderId="0" xfId="0"/>
    <xf numFmtId="3" fontId="1" fillId="0" borderId="0" xfId="0" applyNumberFormat="1" applyFont="1"/>
    <xf numFmtId="165" fontId="8" fillId="0" borderId="0" xfId="0" quotePrefix="1" applyNumberFormat="1" applyFont="1" applyAlignment="1">
      <alignment horizontal="left"/>
    </xf>
    <xf numFmtId="3" fontId="5" fillId="0" borderId="0" xfId="0" quotePrefix="1" applyNumberFormat="1" applyFont="1" applyAlignment="1">
      <alignment horizontal="left"/>
    </xf>
    <xf numFmtId="3" fontId="4" fillId="0" borderId="0" xfId="0" applyNumberFormat="1" applyFont="1" applyAlignment="1">
      <alignment horizontal="left"/>
    </xf>
    <xf numFmtId="3" fontId="1" fillId="0" borderId="0" xfId="0" applyNumberFormat="1" applyFont="1" applyAlignment="1">
      <alignment horizontal="left"/>
    </xf>
    <xf numFmtId="3" fontId="1" fillId="0" borderId="0" xfId="0" applyNumberFormat="1" applyFont="1" applyAlignment="1">
      <alignment horizontal="right"/>
    </xf>
    <xf numFmtId="3" fontId="2" fillId="0" borderId="0" xfId="0" applyNumberFormat="1" applyFont="1" applyAlignment="1">
      <alignment horizontal="right"/>
    </xf>
    <xf numFmtId="3" fontId="9" fillId="0" borderId="0" xfId="0" applyNumberFormat="1" applyFont="1" applyAlignment="1">
      <alignment horizontal="right"/>
    </xf>
    <xf numFmtId="3" fontId="3" fillId="0" borderId="0" xfId="0" applyNumberFormat="1" applyFont="1"/>
    <xf numFmtId="3" fontId="3" fillId="0" borderId="0" xfId="0" applyNumberFormat="1" applyFont="1" applyAlignment="1">
      <alignment horizontal="right"/>
    </xf>
    <xf numFmtId="3" fontId="9" fillId="0" borderId="0" xfId="0" applyNumberFormat="1" applyFont="1" applyAlignment="1">
      <alignment horizontal="center"/>
    </xf>
    <xf numFmtId="3" fontId="4" fillId="0" borderId="0" xfId="0" quotePrefix="1" applyNumberFormat="1" applyFont="1" applyAlignment="1">
      <alignment horizontal="left"/>
    </xf>
    <xf numFmtId="3" fontId="1" fillId="0" borderId="0" xfId="0" quotePrefix="1" applyNumberFormat="1" applyFont="1" applyAlignment="1">
      <alignment horizontal="right"/>
    </xf>
    <xf numFmtId="3" fontId="4" fillId="0" borderId="0" xfId="0" applyNumberFormat="1" applyFont="1" applyAlignment="1">
      <alignment horizontal="right"/>
    </xf>
    <xf numFmtId="165" fontId="1" fillId="0" borderId="0" xfId="0" quotePrefix="1" applyNumberFormat="1" applyFont="1" applyAlignment="1">
      <alignment horizontal="right"/>
    </xf>
    <xf numFmtId="3" fontId="4" fillId="0" borderId="0" xfId="0" applyNumberFormat="1" applyFont="1"/>
    <xf numFmtId="3" fontId="3" fillId="0" borderId="0" xfId="0" applyNumberFormat="1" applyFont="1" applyAlignment="1">
      <alignment horizontal="left"/>
    </xf>
    <xf numFmtId="3" fontId="9" fillId="0" borderId="0" xfId="0" applyNumberFormat="1" applyFont="1"/>
    <xf numFmtId="4" fontId="1" fillId="0" borderId="0" xfId="0" applyNumberFormat="1" applyFont="1" applyAlignment="1">
      <alignment horizontal="right"/>
    </xf>
    <xf numFmtId="164" fontId="13" fillId="0" borderId="0" xfId="0" applyFont="1" applyAlignment="1">
      <alignment horizontal="center"/>
    </xf>
    <xf numFmtId="3" fontId="10" fillId="0" borderId="0" xfId="0" applyNumberFormat="1" applyFont="1" applyAlignment="1">
      <alignment horizontal="left"/>
    </xf>
    <xf numFmtId="164" fontId="1" fillId="0" borderId="0" xfId="0" applyFont="1"/>
    <xf numFmtId="3" fontId="1" fillId="0" borderId="0" xfId="3">
      <alignment horizontal="right"/>
    </xf>
    <xf numFmtId="164" fontId="0" fillId="0" borderId="0" xfId="0" quotePrefix="1" applyAlignment="1">
      <alignment horizontal="left"/>
    </xf>
    <xf numFmtId="14" fontId="15" fillId="0" borderId="0" xfId="0" applyNumberFormat="1" applyFont="1" applyAlignment="1">
      <alignment horizontal="right"/>
    </xf>
    <xf numFmtId="1" fontId="1" fillId="0" borderId="0" xfId="0" applyNumberFormat="1" applyFont="1"/>
    <xf numFmtId="165" fontId="9" fillId="0" borderId="0" xfId="0" applyNumberFormat="1" applyFont="1" applyAlignment="1">
      <alignment horizontal="right"/>
    </xf>
    <xf numFmtId="3" fontId="9" fillId="0" borderId="0" xfId="0" quotePrefix="1" applyNumberFormat="1" applyFont="1" applyAlignment="1">
      <alignment horizontal="right"/>
    </xf>
    <xf numFmtId="164" fontId="0" fillId="0" borderId="0" xfId="0" applyAlignment="1">
      <alignment horizontal="centerContinuous"/>
    </xf>
    <xf numFmtId="164" fontId="12" fillId="0" borderId="0" xfId="0" quotePrefix="1" applyFont="1" applyAlignment="1">
      <alignment horizontal="left"/>
    </xf>
    <xf numFmtId="167" fontId="8" fillId="0" borderId="0" xfId="0" applyNumberFormat="1" applyFont="1" applyAlignment="1">
      <alignment horizontal="left"/>
    </xf>
    <xf numFmtId="3" fontId="7" fillId="0" borderId="0" xfId="0" applyNumberFormat="1" applyFont="1" applyAlignment="1">
      <alignment horizontal="right"/>
    </xf>
    <xf numFmtId="164" fontId="4" fillId="0" borderId="0" xfId="0" quotePrefix="1" applyFont="1" applyAlignment="1">
      <alignment horizontal="left"/>
    </xf>
    <xf numFmtId="4" fontId="1" fillId="0" borderId="0" xfId="4">
      <alignment horizontal="right"/>
    </xf>
    <xf numFmtId="164" fontId="16" fillId="0" borderId="0" xfId="0" applyFont="1" applyAlignment="1">
      <alignment horizontal="left"/>
    </xf>
    <xf numFmtId="164" fontId="18" fillId="0" borderId="0" xfId="0" applyFont="1" applyAlignment="1">
      <alignment horizontal="left"/>
    </xf>
    <xf numFmtId="164" fontId="17" fillId="0" borderId="0" xfId="0" applyFont="1"/>
    <xf numFmtId="164" fontId="19" fillId="0" borderId="0" xfId="0" applyFont="1"/>
    <xf numFmtId="164" fontId="0" fillId="0" borderId="0" xfId="0" quotePrefix="1"/>
    <xf numFmtId="3" fontId="4" fillId="0" borderId="0" xfId="0" applyNumberFormat="1" applyFont="1" applyAlignment="1">
      <alignment horizontal="center"/>
    </xf>
    <xf numFmtId="3" fontId="4" fillId="0" borderId="0" xfId="0" quotePrefix="1" applyNumberFormat="1" applyFont="1" applyAlignment="1">
      <alignment horizontal="center"/>
    </xf>
    <xf numFmtId="14" fontId="13" fillId="0" borderId="0" xfId="0" applyNumberFormat="1" applyFont="1" applyAlignment="1">
      <alignment horizontal="center"/>
    </xf>
    <xf numFmtId="14" fontId="0" fillId="0" borderId="0" xfId="0" applyNumberFormat="1" applyAlignment="1">
      <alignment horizontal="center"/>
    </xf>
    <xf numFmtId="164" fontId="20" fillId="0" borderId="0" xfId="0" applyFont="1" applyAlignment="1">
      <alignment horizontal="center"/>
    </xf>
    <xf numFmtId="167" fontId="13" fillId="0" borderId="0" xfId="0" applyNumberFormat="1" applyFont="1" applyAlignment="1">
      <alignment horizontal="center"/>
    </xf>
    <xf numFmtId="166" fontId="1" fillId="0" borderId="0" xfId="0" applyNumberFormat="1" applyFont="1" applyAlignment="1">
      <alignment horizontal="center"/>
    </xf>
    <xf numFmtId="3" fontId="5" fillId="0" borderId="0" xfId="0" applyNumberFormat="1" applyFont="1" applyAlignment="1">
      <alignment horizontal="left"/>
    </xf>
    <xf numFmtId="170" fontId="0" fillId="0" borderId="0" xfId="0" applyNumberFormat="1"/>
    <xf numFmtId="14" fontId="0" fillId="0" borderId="0" xfId="0" applyNumberFormat="1"/>
    <xf numFmtId="14" fontId="20" fillId="0" borderId="0" xfId="0" applyNumberFormat="1" applyFont="1" applyAlignment="1">
      <alignment horizontal="center"/>
    </xf>
    <xf numFmtId="171" fontId="21" fillId="4" borderId="0" xfId="0" applyNumberFormat="1" applyFont="1" applyFill="1" applyAlignment="1">
      <alignment horizontal="center"/>
    </xf>
    <xf numFmtId="171" fontId="13" fillId="0" borderId="0" xfId="0" applyNumberFormat="1" applyFont="1" applyAlignment="1">
      <alignment horizontal="center"/>
    </xf>
    <xf numFmtId="164" fontId="12" fillId="0" borderId="0" xfId="0" quotePrefix="1" applyFont="1" applyAlignment="1" applyProtection="1">
      <alignment horizontal="left"/>
      <protection locked="0"/>
    </xf>
    <xf numFmtId="164" fontId="0" fillId="0" borderId="0" xfId="0" applyProtection="1">
      <protection locked="0"/>
    </xf>
    <xf numFmtId="164" fontId="0" fillId="0" borderId="0" xfId="0" quotePrefix="1" applyAlignment="1" applyProtection="1">
      <alignment horizontal="left"/>
      <protection locked="0"/>
    </xf>
    <xf numFmtId="3" fontId="1" fillId="0" borderId="0" xfId="0" applyNumberFormat="1" applyFont="1" applyProtection="1">
      <protection locked="0"/>
    </xf>
    <xf numFmtId="164" fontId="20" fillId="0" borderId="0" xfId="0" applyFont="1" applyAlignment="1" applyProtection="1">
      <alignment horizontal="center"/>
      <protection locked="0"/>
    </xf>
    <xf numFmtId="14" fontId="20" fillId="0" borderId="0" xfId="0" applyNumberFormat="1" applyFont="1" applyAlignment="1" applyProtection="1">
      <alignment horizontal="center"/>
      <protection locked="0"/>
    </xf>
    <xf numFmtId="164" fontId="13" fillId="0" borderId="0" xfId="0" applyFont="1" applyAlignment="1" applyProtection="1">
      <alignment horizontal="center"/>
      <protection locked="0"/>
    </xf>
    <xf numFmtId="166" fontId="1" fillId="0" borderId="0" xfId="0" applyNumberFormat="1" applyFont="1" applyAlignment="1" applyProtection="1">
      <alignment horizontal="center"/>
      <protection locked="0"/>
    </xf>
    <xf numFmtId="167" fontId="13" fillId="0" borderId="0" xfId="0" applyNumberFormat="1" applyFont="1" applyAlignment="1" applyProtection="1">
      <alignment horizontal="center"/>
      <protection locked="0"/>
    </xf>
    <xf numFmtId="170" fontId="0" fillId="0" borderId="0" xfId="0" applyNumberFormat="1" applyProtection="1">
      <protection locked="0"/>
    </xf>
    <xf numFmtId="14" fontId="13" fillId="0" borderId="0" xfId="0" applyNumberFormat="1" applyFont="1" applyAlignment="1" applyProtection="1">
      <alignment horizontal="center"/>
      <protection locked="0"/>
    </xf>
    <xf numFmtId="14" fontId="0" fillId="0" borderId="0" xfId="0" applyNumberFormat="1" applyAlignment="1" applyProtection="1">
      <alignment horizontal="center"/>
      <protection locked="0"/>
    </xf>
    <xf numFmtId="14" fontId="0" fillId="0" borderId="0" xfId="0" applyNumberFormat="1" applyProtection="1">
      <protection locked="0"/>
    </xf>
    <xf numFmtId="164" fontId="1" fillId="0" borderId="0" xfId="0" applyFont="1" applyProtection="1">
      <protection locked="0"/>
    </xf>
    <xf numFmtId="14" fontId="15" fillId="0" borderId="0" xfId="0" applyNumberFormat="1" applyFont="1" applyAlignment="1" applyProtection="1">
      <alignment horizontal="right"/>
      <protection locked="0"/>
    </xf>
    <xf numFmtId="1" fontId="1" fillId="0" borderId="0" xfId="0" applyNumberFormat="1" applyFont="1" applyProtection="1">
      <protection locked="0"/>
    </xf>
    <xf numFmtId="167" fontId="8" fillId="0" borderId="0" xfId="0" applyNumberFormat="1" applyFont="1" applyAlignment="1" applyProtection="1">
      <alignment horizontal="left"/>
      <protection locked="0"/>
    </xf>
    <xf numFmtId="3" fontId="10" fillId="0" borderId="0" xfId="0" applyNumberFormat="1" applyFont="1" applyAlignment="1" applyProtection="1">
      <alignment horizontal="left"/>
      <protection locked="0"/>
    </xf>
    <xf numFmtId="164" fontId="0" fillId="0" borderId="0" xfId="0" applyAlignment="1" applyProtection="1">
      <alignment horizontal="centerContinuous"/>
      <protection locked="0"/>
    </xf>
    <xf numFmtId="165" fontId="8" fillId="0" borderId="0" xfId="0" quotePrefix="1" applyNumberFormat="1" applyFont="1" applyAlignment="1" applyProtection="1">
      <alignment horizontal="left"/>
      <protection locked="0"/>
    </xf>
    <xf numFmtId="3" fontId="5" fillId="0" borderId="0" xfId="0" applyNumberFormat="1" applyFont="1" applyAlignment="1" applyProtection="1">
      <alignment horizontal="left"/>
      <protection locked="0"/>
    </xf>
    <xf numFmtId="3" fontId="5" fillId="0" borderId="0" xfId="0" quotePrefix="1" applyNumberFormat="1" applyFont="1" applyAlignment="1" applyProtection="1">
      <alignment horizontal="left"/>
      <protection locked="0"/>
    </xf>
    <xf numFmtId="3" fontId="7" fillId="0" borderId="0" xfId="0" applyNumberFormat="1" applyFont="1" applyAlignment="1" applyProtection="1">
      <alignment horizontal="right"/>
      <protection locked="0"/>
    </xf>
    <xf numFmtId="3" fontId="4" fillId="0" borderId="0" xfId="0" applyNumberFormat="1" applyFont="1" applyAlignment="1" applyProtection="1">
      <alignment horizontal="left"/>
      <protection locked="0"/>
    </xf>
    <xf numFmtId="3" fontId="1" fillId="0" borderId="0" xfId="0" applyNumberFormat="1" applyFont="1" applyAlignment="1" applyProtection="1">
      <alignment horizontal="left"/>
      <protection locked="0"/>
    </xf>
    <xf numFmtId="3" fontId="2" fillId="0" borderId="0" xfId="0" applyNumberFormat="1" applyFont="1" applyAlignment="1" applyProtection="1">
      <alignment horizontal="right"/>
      <protection locked="0"/>
    </xf>
    <xf numFmtId="3" fontId="9" fillId="0" borderId="0" xfId="0" applyNumberFormat="1" applyFont="1" applyAlignment="1" applyProtection="1">
      <alignment horizontal="right"/>
      <protection locked="0"/>
    </xf>
    <xf numFmtId="3" fontId="9" fillId="0" borderId="0" xfId="0" applyNumberFormat="1" applyFont="1" applyAlignment="1" applyProtection="1">
      <alignment horizontal="center"/>
      <protection locked="0"/>
    </xf>
    <xf numFmtId="3" fontId="3" fillId="0" borderId="0" xfId="0" applyNumberFormat="1" applyFont="1" applyAlignment="1" applyProtection="1">
      <alignment horizontal="right"/>
      <protection locked="0"/>
    </xf>
    <xf numFmtId="3" fontId="3" fillId="0" borderId="0" xfId="0" applyNumberFormat="1" applyFont="1" applyProtection="1">
      <protection locked="0"/>
    </xf>
    <xf numFmtId="3" fontId="1" fillId="0" borderId="0" xfId="3" applyProtection="1">
      <alignment horizontal="right"/>
      <protection locked="0"/>
    </xf>
    <xf numFmtId="3" fontId="1" fillId="0" borderId="0" xfId="0" quotePrefix="1" applyNumberFormat="1" applyFont="1" applyAlignment="1" applyProtection="1">
      <alignment horizontal="right"/>
      <protection locked="0"/>
    </xf>
    <xf numFmtId="3" fontId="1" fillId="0" borderId="0" xfId="0" applyNumberFormat="1" applyFont="1" applyAlignment="1" applyProtection="1">
      <alignment horizontal="right"/>
      <protection locked="0"/>
    </xf>
    <xf numFmtId="164" fontId="16" fillId="0" borderId="0" xfId="0" applyFont="1" applyAlignment="1" applyProtection="1">
      <alignment horizontal="left"/>
      <protection locked="0"/>
    </xf>
    <xf numFmtId="3" fontId="4" fillId="0" borderId="0" xfId="0" applyNumberFormat="1" applyFont="1" applyProtection="1">
      <protection locked="0"/>
    </xf>
    <xf numFmtId="3" fontId="4" fillId="0" borderId="0" xfId="0" quotePrefix="1" applyNumberFormat="1" applyFont="1" applyAlignment="1" applyProtection="1">
      <alignment horizontal="left"/>
      <protection locked="0"/>
    </xf>
    <xf numFmtId="3" fontId="4" fillId="0" borderId="0" xfId="0" applyNumberFormat="1" applyFont="1" applyAlignment="1" applyProtection="1">
      <alignment horizontal="right"/>
      <protection locked="0"/>
    </xf>
    <xf numFmtId="3" fontId="9" fillId="0" borderId="0" xfId="0" applyNumberFormat="1" applyFont="1" applyProtection="1">
      <protection locked="0"/>
    </xf>
    <xf numFmtId="3" fontId="9" fillId="0" borderId="0" xfId="0" quotePrefix="1" applyNumberFormat="1" applyFont="1" applyAlignment="1" applyProtection="1">
      <alignment horizontal="right"/>
      <protection locked="0"/>
    </xf>
    <xf numFmtId="4" fontId="1" fillId="0" borderId="0" xfId="4" applyProtection="1">
      <alignment horizontal="right"/>
      <protection locked="0"/>
    </xf>
    <xf numFmtId="4" fontId="1" fillId="0" borderId="0" xfId="0" applyNumberFormat="1" applyFont="1" applyAlignment="1" applyProtection="1">
      <alignment horizontal="right"/>
      <protection locked="0"/>
    </xf>
    <xf numFmtId="164" fontId="4" fillId="0" borderId="0" xfId="0" quotePrefix="1" applyFont="1" applyAlignment="1" applyProtection="1">
      <alignment horizontal="left"/>
      <protection locked="0"/>
    </xf>
    <xf numFmtId="165" fontId="9" fillId="0" borderId="0" xfId="0" applyNumberFormat="1" applyFont="1" applyAlignment="1" applyProtection="1">
      <alignment horizontal="right"/>
      <protection locked="0"/>
    </xf>
    <xf numFmtId="164" fontId="0" fillId="0" borderId="0" xfId="0" quotePrefix="1" applyProtection="1">
      <protection locked="0"/>
    </xf>
    <xf numFmtId="165" fontId="1" fillId="0" borderId="0" xfId="0" quotePrefix="1" applyNumberFormat="1" applyFont="1" applyAlignment="1" applyProtection="1">
      <alignment horizontal="right"/>
      <protection locked="0"/>
    </xf>
    <xf numFmtId="3" fontId="4" fillId="0" borderId="0" xfId="0" quotePrefix="1" applyNumberFormat="1" applyFont="1" applyAlignment="1" applyProtection="1">
      <alignment horizontal="center"/>
      <protection locked="0"/>
    </xf>
    <xf numFmtId="3" fontId="4" fillId="0" borderId="0" xfId="0" applyNumberFormat="1" applyFont="1" applyAlignment="1" applyProtection="1">
      <alignment horizontal="center"/>
      <protection locked="0"/>
    </xf>
    <xf numFmtId="3" fontId="3" fillId="0" borderId="0" xfId="0" applyNumberFormat="1" applyFont="1" applyAlignment="1" applyProtection="1">
      <alignment horizontal="left"/>
      <protection locked="0"/>
    </xf>
    <xf numFmtId="164" fontId="18" fillId="0" borderId="0" xfId="0" applyFont="1" applyAlignment="1" applyProtection="1">
      <alignment horizontal="left"/>
      <protection locked="0"/>
    </xf>
    <xf numFmtId="164" fontId="17" fillId="0" borderId="0" xfId="0" applyFont="1" applyProtection="1">
      <protection locked="0"/>
    </xf>
    <xf numFmtId="164" fontId="19" fillId="0" borderId="0" xfId="0" applyFont="1" applyProtection="1">
      <protection locked="0"/>
    </xf>
    <xf numFmtId="171" fontId="13" fillId="0" borderId="0" xfId="0" applyNumberFormat="1" applyFont="1" applyAlignment="1" applyProtection="1">
      <alignment horizontal="center"/>
      <protection locked="0"/>
    </xf>
    <xf numFmtId="171" fontId="21" fillId="5" borderId="0" xfId="0" applyNumberFormat="1" applyFont="1" applyFill="1" applyAlignment="1">
      <alignment horizontal="center"/>
    </xf>
    <xf numFmtId="164" fontId="22" fillId="0" borderId="0" xfId="0" applyFont="1"/>
  </cellXfs>
  <cellStyles count="7">
    <cellStyle name="DbPrice" xfId="1" xr:uid="{00000000-0005-0000-0000-000000000000}"/>
    <cellStyle name="DbTag" xfId="2" xr:uid="{00000000-0005-0000-0000-000001000000}"/>
    <cellStyle name="Normal" xfId="0" builtinId="0"/>
    <cellStyle name="Price" xfId="3" xr:uid="{00000000-0005-0000-0000-000003000000}"/>
    <cellStyle name="PriceD2" xfId="4" xr:uid="{00000000-0005-0000-0000-000004000000}"/>
    <cellStyle name="UpsDowns" xfId="5" xr:uid="{00000000-0005-0000-0000-000005000000}"/>
    <cellStyle name="UpsDownsD2" xfId="6" xr:uid="{00000000-0005-0000-0000-000006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11</xdr:col>
      <xdr:colOff>352425</xdr:colOff>
      <xdr:row>16</xdr:row>
      <xdr:rowOff>0</xdr:rowOff>
    </xdr:to>
    <xdr:grpSp>
      <xdr:nvGrpSpPr>
        <xdr:cNvPr id="2" name="Group 44">
          <a:extLst>
            <a:ext uri="{FF2B5EF4-FFF2-40B4-BE49-F238E27FC236}">
              <a16:creationId xmlns:a16="http://schemas.microsoft.com/office/drawing/2014/main" id="{DAD7BA42-92E4-4261-9F7A-DEA8D1BBE01C}"/>
            </a:ext>
          </a:extLst>
        </xdr:cNvPr>
        <xdr:cNvGrpSpPr>
          <a:grpSpLocks/>
        </xdr:cNvGrpSpPr>
      </xdr:nvGrpSpPr>
      <xdr:grpSpPr bwMode="auto">
        <a:xfrm>
          <a:off x="0" y="0"/>
          <a:ext cx="8372475" cy="2686050"/>
          <a:chOff x="0" y="0"/>
          <a:chExt cx="726" cy="282"/>
        </a:xfrm>
      </xdr:grpSpPr>
      <xdr:sp macro="" textlink="">
        <xdr:nvSpPr>
          <xdr:cNvPr id="3" name="Rectangle 1">
            <a:extLst>
              <a:ext uri="{FF2B5EF4-FFF2-40B4-BE49-F238E27FC236}">
                <a16:creationId xmlns:a16="http://schemas.microsoft.com/office/drawing/2014/main" id="{90B70CCD-C36F-5F62-9AF6-A145E7F1D62C}"/>
              </a:ext>
            </a:extLst>
          </xdr:cNvPr>
          <xdr:cNvSpPr>
            <a:spLocks noChangeArrowheads="1"/>
          </xdr:cNvSpPr>
        </xdr:nvSpPr>
        <xdr:spPr bwMode="auto">
          <a:xfrm>
            <a:off x="0" y="0"/>
            <a:ext cx="726" cy="282"/>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4" name="Text 18">
            <a:extLst>
              <a:ext uri="{FF2B5EF4-FFF2-40B4-BE49-F238E27FC236}">
                <a16:creationId xmlns:a16="http://schemas.microsoft.com/office/drawing/2014/main" id="{E3FD9717-1549-4E5C-BF84-A179D34EB7AC}"/>
              </a:ext>
            </a:extLst>
          </xdr:cNvPr>
          <xdr:cNvSpPr txBox="1">
            <a:spLocks noChangeArrowheads="1"/>
          </xdr:cNvSpPr>
        </xdr:nvSpPr>
        <xdr:spPr bwMode="auto">
          <a:xfrm>
            <a:off x="28" y="209"/>
            <a:ext cx="553" cy="60"/>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overflow" horzOverflow="overflow" wrap="square" lIns="36576" tIns="22860" rIns="0" bIns="0" anchor="t" upright="1"/>
          <a:lstStyle/>
          <a:p>
            <a:pPr algn="l" rtl="0">
              <a:defRPr sz="1000"/>
            </a:pPr>
            <a:r>
              <a:rPr lang="en-US" sz="1200" b="1" i="1" u="none" strike="noStrike" baseline="0">
                <a:solidFill>
                  <a:srgbClr val="000000"/>
                </a:solidFill>
                <a:latin typeface="Arial"/>
                <a:cs typeface="Arial"/>
              </a:rPr>
              <a:t>This Is The Random Lengths Panel Price Guide</a:t>
            </a:r>
          </a:p>
          <a:p>
            <a:pPr algn="l" rtl="0">
              <a:defRPr sz="1000"/>
            </a:pPr>
            <a:r>
              <a:rPr lang="en-US" sz="1000" b="0" i="0" u="none" strike="noStrike" baseline="0">
                <a:solidFill>
                  <a:srgbClr val="000000"/>
                </a:solidFill>
                <a:latin typeface="Arial"/>
                <a:cs typeface="Arial"/>
              </a:rPr>
              <a:t>Page 12 starts at cell A101	Pane Composites start at cell A301</a:t>
            </a:r>
          </a:p>
          <a:p>
            <a:pPr algn="l" rtl="0">
              <a:defRPr sz="1000"/>
            </a:pPr>
            <a:r>
              <a:rPr lang="en-US" sz="1000" b="0" i="0" u="none" strike="noStrike" baseline="0">
                <a:solidFill>
                  <a:srgbClr val="000000"/>
                </a:solidFill>
                <a:latin typeface="Arial"/>
                <a:cs typeface="Arial"/>
              </a:rPr>
              <a:t>Page 13 starts at cell A201</a:t>
            </a:r>
          </a:p>
          <a:p>
            <a:pPr algn="l" rtl="0">
              <a:defRPr sz="1000"/>
            </a:pPr>
            <a:endParaRPr lang="en-US" sz="1000" b="0" i="0" u="none" strike="noStrike" baseline="0">
              <a:solidFill>
                <a:srgbClr val="000000"/>
              </a:solidFill>
              <a:latin typeface="Arial"/>
              <a:cs typeface="Arial"/>
            </a:endParaRPr>
          </a:p>
          <a:p>
            <a:pPr algn="l" rtl="0">
              <a:defRPr sz="1000"/>
            </a:pPr>
            <a:endParaRPr lang="en-US" sz="1000" b="0" i="0" u="none" strike="noStrike" baseline="0">
              <a:solidFill>
                <a:srgbClr val="000000"/>
              </a:solidFill>
              <a:latin typeface="Arial"/>
              <a:cs typeface="Arial"/>
            </a:endParaRPr>
          </a:p>
          <a:p>
            <a:pPr algn="l" rtl="0">
              <a:defRPr sz="1000"/>
            </a:pPr>
            <a:endParaRPr lang="en-US" sz="1000" b="0" i="0" u="none" strike="noStrike" baseline="0">
              <a:solidFill>
                <a:srgbClr val="000000"/>
              </a:solidFill>
              <a:latin typeface="Arial"/>
              <a:cs typeface="Arial"/>
            </a:endParaRPr>
          </a:p>
        </xdr:txBody>
      </xdr:sp>
      <xdr:sp macro="" textlink="">
        <xdr:nvSpPr>
          <xdr:cNvPr id="5" name="Text 53">
            <a:extLst>
              <a:ext uri="{FF2B5EF4-FFF2-40B4-BE49-F238E27FC236}">
                <a16:creationId xmlns:a16="http://schemas.microsoft.com/office/drawing/2014/main" id="{3DB8E1EE-54C3-FDEE-E09E-6C99D83304AA}"/>
              </a:ext>
            </a:extLst>
          </xdr:cNvPr>
          <xdr:cNvSpPr txBox="1">
            <a:spLocks noChangeArrowheads="1"/>
          </xdr:cNvSpPr>
        </xdr:nvSpPr>
        <xdr:spPr bwMode="auto">
          <a:xfrm>
            <a:off x="467" y="14"/>
            <a:ext cx="254" cy="190"/>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36576" tIns="27432" rIns="0" bIns="0" anchor="t" upright="1"/>
          <a:lstStyle/>
          <a:p>
            <a:pPr algn="l" rtl="0">
              <a:defRPr sz="1000"/>
            </a:pPr>
            <a:r>
              <a:rPr lang="en-US" sz="1200" b="1" i="0" u="none" strike="noStrike" baseline="0">
                <a:solidFill>
                  <a:srgbClr val="FF0000"/>
                </a:solidFill>
                <a:latin typeface="Arial"/>
                <a:cs typeface="Arial"/>
              </a:rPr>
              <a:t>COPYRIGHT © 2024, Random Lengths Publications, Inc.</a:t>
            </a:r>
            <a:endParaRPr lang="en-US" sz="1000" b="0" i="0" u="none" strike="noStrike" baseline="0">
              <a:solidFill>
                <a:srgbClr val="000000"/>
              </a:solidFill>
              <a:latin typeface="Arial"/>
              <a:cs typeface="Arial"/>
            </a:endParaRPr>
          </a:p>
          <a:p>
            <a:pPr algn="l" rtl="0">
              <a:defRPr sz="1000"/>
            </a:pPr>
            <a:r>
              <a:rPr lang="en-US" sz="1000" b="0" i="0" u="none" strike="noStrike" baseline="0">
                <a:solidFill>
                  <a:srgbClr val="000000"/>
                </a:solidFill>
                <a:latin typeface="Arial"/>
                <a:cs typeface="Arial"/>
              </a:rPr>
              <a:t>No part of this transmission may be reproduced, transmitted, or retransmitted in any form or by any means, electronic, or mechanical, including photocopy, recording, facsimile, information storage or retrieval systems, or retransmission via any telecommunications network without written permission, from the publisher.</a:t>
            </a:r>
          </a:p>
          <a:p>
            <a:pPr algn="l" rtl="0">
              <a:defRPr sz="1000"/>
            </a:pPr>
            <a:endParaRPr lang="en-US" sz="1000" b="0" i="0" u="none" strike="noStrike" baseline="0">
              <a:solidFill>
                <a:srgbClr val="000000"/>
              </a:solidFill>
              <a:latin typeface="Arial"/>
              <a:cs typeface="Arial"/>
            </a:endParaRPr>
          </a:p>
        </xdr:txBody>
      </xdr:sp>
    </xdr:grpSp>
    <xdr:clientData/>
  </xdr:twoCellAnchor>
  <xdr:oneCellAnchor>
    <xdr:from>
      <xdr:col>0</xdr:col>
      <xdr:colOff>219075</xdr:colOff>
      <xdr:row>0</xdr:row>
      <xdr:rowOff>190500</xdr:rowOff>
    </xdr:from>
    <xdr:ext cx="4343400" cy="1514475"/>
    <xdr:pic>
      <xdr:nvPicPr>
        <xdr:cNvPr id="6" name="Picture 1">
          <a:extLst>
            <a:ext uri="{FF2B5EF4-FFF2-40B4-BE49-F238E27FC236}">
              <a16:creationId xmlns:a16="http://schemas.microsoft.com/office/drawing/2014/main" id="{B4D54124-7580-46DC-B0BE-1E5D8CEE74C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9075" y="161925"/>
          <a:ext cx="4343400" cy="1514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0</xdr:col>
      <xdr:colOff>742950</xdr:colOff>
      <xdr:row>23</xdr:row>
      <xdr:rowOff>9525</xdr:rowOff>
    </xdr:from>
    <xdr:to>
      <xdr:col>6</xdr:col>
      <xdr:colOff>0</xdr:colOff>
      <xdr:row>30</xdr:row>
      <xdr:rowOff>28575</xdr:rowOff>
    </xdr:to>
    <xdr:sp macro="" textlink="">
      <xdr:nvSpPr>
        <xdr:cNvPr id="7" name="TextBox 6">
          <a:extLst>
            <a:ext uri="{FF2B5EF4-FFF2-40B4-BE49-F238E27FC236}">
              <a16:creationId xmlns:a16="http://schemas.microsoft.com/office/drawing/2014/main" id="{80C5C0CD-4D2B-4514-8E18-AF9CC25A0C5C}"/>
            </a:ext>
          </a:extLst>
        </xdr:cNvPr>
        <xdr:cNvSpPr txBox="1"/>
      </xdr:nvSpPr>
      <xdr:spPr>
        <a:xfrm>
          <a:off x="742950" y="3829050"/>
          <a:ext cx="3390900" cy="1152525"/>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mn-lt"/>
              <a:ea typeface="+mn-ea"/>
              <a:cs typeface="+mn-cs"/>
            </a:rPr>
            <a:t>This worksheet</a:t>
          </a:r>
          <a:r>
            <a:rPr lang="en-US" sz="1100" b="1" baseline="0">
              <a:solidFill>
                <a:schemeClr val="dk1"/>
              </a:solidFill>
              <a:effectLst/>
              <a:latin typeface="+mn-lt"/>
              <a:ea typeface="+mn-ea"/>
              <a:cs typeface="+mn-cs"/>
            </a:rPr>
            <a:t> can ONLY be used to generate the latest end-of-week prices </a:t>
          </a:r>
          <a:r>
            <a:rPr lang="en-US" sz="1100" b="1" i="1" u="sng" baseline="0">
              <a:solidFill>
                <a:schemeClr val="dk1"/>
              </a:solidFill>
              <a:effectLst/>
              <a:latin typeface="+mn-lt"/>
              <a:ea typeface="+mn-ea"/>
              <a:cs typeface="+mn-cs"/>
            </a:rPr>
            <a:t>before</a:t>
          </a:r>
          <a:r>
            <a:rPr lang="en-US" sz="1100" b="1" baseline="0">
              <a:solidFill>
                <a:schemeClr val="dk1"/>
              </a:solidFill>
              <a:effectLst/>
              <a:latin typeface="+mn-lt"/>
              <a:ea typeface="+mn-ea"/>
              <a:cs typeface="+mn-cs"/>
            </a:rPr>
            <a:t> the mid week assessments are published.</a:t>
          </a:r>
          <a:endParaRPr lang="en-GB" sz="1100">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en-US" sz="1100" baseline="0"/>
        </a:p>
        <a:p>
          <a:pPr marL="0" marR="0" lvl="0" indent="0" defTabSz="914400" eaLnBrk="1" fontAlgn="auto" latinLnBrk="0" hangingPunct="1">
            <a:lnSpc>
              <a:spcPct val="100000"/>
            </a:lnSpc>
            <a:spcBef>
              <a:spcPts val="0"/>
            </a:spcBef>
            <a:spcAft>
              <a:spcPts val="0"/>
            </a:spcAft>
            <a:buClrTx/>
            <a:buSzTx/>
            <a:buFontTx/>
            <a:buNone/>
            <a:tabLst/>
            <a:defRPr/>
          </a:pPr>
          <a:r>
            <a:rPr lang="en-US" sz="1100" baseline="0"/>
            <a:t>The latest publication date is automatically filled </a:t>
          </a:r>
          <a:r>
            <a:rPr lang="en-US" sz="1100" b="1" baseline="0">
              <a:solidFill>
                <a:schemeClr val="dk1"/>
              </a:solidFill>
              <a:effectLst/>
              <a:latin typeface="+mn-lt"/>
              <a:ea typeface="+mn-ea"/>
              <a:cs typeface="+mn-cs"/>
            </a:rPr>
            <a:t>in the highlighted cell (B22).</a:t>
          </a:r>
          <a:endParaRPr lang="en-US" sz="110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11</xdr:col>
      <xdr:colOff>352425</xdr:colOff>
      <xdr:row>16</xdr:row>
      <xdr:rowOff>0</xdr:rowOff>
    </xdr:to>
    <xdr:grpSp>
      <xdr:nvGrpSpPr>
        <xdr:cNvPr id="21789" name="Group 44">
          <a:extLst>
            <a:ext uri="{FF2B5EF4-FFF2-40B4-BE49-F238E27FC236}">
              <a16:creationId xmlns:a16="http://schemas.microsoft.com/office/drawing/2014/main" id="{00000000-0008-0000-0100-00001D550000}"/>
            </a:ext>
          </a:extLst>
        </xdr:cNvPr>
        <xdr:cNvGrpSpPr>
          <a:grpSpLocks/>
        </xdr:cNvGrpSpPr>
      </xdr:nvGrpSpPr>
      <xdr:grpSpPr bwMode="auto">
        <a:xfrm>
          <a:off x="0" y="0"/>
          <a:ext cx="8458200" cy="2686050"/>
          <a:chOff x="0" y="0"/>
          <a:chExt cx="726" cy="282"/>
        </a:xfrm>
      </xdr:grpSpPr>
      <xdr:sp macro="" textlink="">
        <xdr:nvSpPr>
          <xdr:cNvPr id="21791" name="Rectangle 1">
            <a:extLst>
              <a:ext uri="{FF2B5EF4-FFF2-40B4-BE49-F238E27FC236}">
                <a16:creationId xmlns:a16="http://schemas.microsoft.com/office/drawing/2014/main" id="{00000000-0008-0000-0100-00001F550000}"/>
              </a:ext>
            </a:extLst>
          </xdr:cNvPr>
          <xdr:cNvSpPr>
            <a:spLocks noChangeArrowheads="1"/>
          </xdr:cNvSpPr>
        </xdr:nvSpPr>
        <xdr:spPr bwMode="auto">
          <a:xfrm>
            <a:off x="0" y="0"/>
            <a:ext cx="726" cy="282"/>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9" name="Text 18">
            <a:extLst>
              <a:ext uri="{FF2B5EF4-FFF2-40B4-BE49-F238E27FC236}">
                <a16:creationId xmlns:a16="http://schemas.microsoft.com/office/drawing/2014/main" id="{00000000-0008-0000-0100-000009000000}"/>
              </a:ext>
            </a:extLst>
          </xdr:cNvPr>
          <xdr:cNvSpPr txBox="1">
            <a:spLocks noChangeArrowheads="1"/>
          </xdr:cNvSpPr>
        </xdr:nvSpPr>
        <xdr:spPr bwMode="auto">
          <a:xfrm>
            <a:off x="28" y="209"/>
            <a:ext cx="553" cy="60"/>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overflow" horzOverflow="overflow" wrap="square" lIns="36576" tIns="22860" rIns="0" bIns="0" anchor="t" upright="1"/>
          <a:lstStyle/>
          <a:p>
            <a:pPr algn="l" rtl="0">
              <a:defRPr sz="1000"/>
            </a:pPr>
            <a:r>
              <a:rPr lang="en-US" sz="1200" b="1" i="1" u="none" strike="noStrike" baseline="0">
                <a:solidFill>
                  <a:srgbClr val="000000"/>
                </a:solidFill>
                <a:latin typeface="Arial"/>
                <a:cs typeface="Arial"/>
              </a:rPr>
              <a:t>This Is The Random Lengths Panel Price Guide</a:t>
            </a:r>
          </a:p>
          <a:p>
            <a:pPr algn="l" rtl="0">
              <a:defRPr sz="1000"/>
            </a:pPr>
            <a:r>
              <a:rPr lang="en-US" sz="1000" b="0" i="0" u="none" strike="noStrike" baseline="0">
                <a:solidFill>
                  <a:srgbClr val="000000"/>
                </a:solidFill>
                <a:latin typeface="Arial"/>
                <a:cs typeface="Arial"/>
              </a:rPr>
              <a:t>Page 12 starts at cell A101	Pane Composites start at cell A301</a:t>
            </a:r>
          </a:p>
          <a:p>
            <a:pPr algn="l" rtl="0">
              <a:defRPr sz="1000"/>
            </a:pPr>
            <a:r>
              <a:rPr lang="en-US" sz="1000" b="0" i="0" u="none" strike="noStrike" baseline="0">
                <a:solidFill>
                  <a:srgbClr val="000000"/>
                </a:solidFill>
                <a:latin typeface="Arial"/>
                <a:cs typeface="Arial"/>
              </a:rPr>
              <a:t>Page 13 starts at cell A201</a:t>
            </a:r>
          </a:p>
          <a:p>
            <a:pPr algn="l" rtl="0">
              <a:defRPr sz="1000"/>
            </a:pPr>
            <a:endParaRPr lang="en-US" sz="1000" b="0" i="0" u="none" strike="noStrike" baseline="0">
              <a:solidFill>
                <a:srgbClr val="000000"/>
              </a:solidFill>
              <a:latin typeface="Arial"/>
              <a:cs typeface="Arial"/>
            </a:endParaRPr>
          </a:p>
          <a:p>
            <a:pPr algn="l" rtl="0">
              <a:defRPr sz="1000"/>
            </a:pPr>
            <a:endParaRPr lang="en-US" sz="1000" b="0" i="0" u="none" strike="noStrike" baseline="0">
              <a:solidFill>
                <a:srgbClr val="000000"/>
              </a:solidFill>
              <a:latin typeface="Arial"/>
              <a:cs typeface="Arial"/>
            </a:endParaRPr>
          </a:p>
          <a:p>
            <a:pPr algn="l" rtl="0">
              <a:defRPr sz="1000"/>
            </a:pPr>
            <a:endParaRPr lang="en-US" sz="1000" b="0" i="0" u="none" strike="noStrike" baseline="0">
              <a:solidFill>
                <a:srgbClr val="000000"/>
              </a:solidFill>
              <a:latin typeface="Arial"/>
              <a:cs typeface="Arial"/>
            </a:endParaRPr>
          </a:p>
        </xdr:txBody>
      </xdr:sp>
      <xdr:sp macro="" textlink="">
        <xdr:nvSpPr>
          <xdr:cNvPr id="10" name="Text 53">
            <a:extLst>
              <a:ext uri="{FF2B5EF4-FFF2-40B4-BE49-F238E27FC236}">
                <a16:creationId xmlns:a16="http://schemas.microsoft.com/office/drawing/2014/main" id="{00000000-0008-0000-0100-00000A000000}"/>
              </a:ext>
            </a:extLst>
          </xdr:cNvPr>
          <xdr:cNvSpPr txBox="1">
            <a:spLocks noChangeArrowheads="1"/>
          </xdr:cNvSpPr>
        </xdr:nvSpPr>
        <xdr:spPr bwMode="auto">
          <a:xfrm>
            <a:off x="467" y="14"/>
            <a:ext cx="254" cy="190"/>
          </a:xfrm>
          <a:prstGeom prst="rect">
            <a:avLst/>
          </a:prstGeom>
          <a:solidFill>
            <a:srgbClr xmlns:mc="http://schemas.openxmlformats.org/markup-compatibility/2006" xmlns:a14="http://schemas.microsoft.com/office/drawing/2010/main" val="FFFFFF" mc:Ignorable="a14" a14:legacySpreadsheetColorIndex="65"/>
          </a:solidFill>
          <a:ln>
            <a:noFill/>
          </a:ln>
        </xdr:spPr>
        <xdr:txBody>
          <a:bodyPr vertOverflow="clip" wrap="square" lIns="36576" tIns="27432" rIns="0" bIns="0" anchor="t" upright="1"/>
          <a:lstStyle/>
          <a:p>
            <a:pPr algn="l" rtl="0">
              <a:defRPr sz="1000"/>
            </a:pPr>
            <a:r>
              <a:rPr lang="en-US" sz="1200" b="1" i="0" u="none" strike="noStrike" baseline="0">
                <a:solidFill>
                  <a:srgbClr val="FF0000"/>
                </a:solidFill>
                <a:latin typeface="Arial"/>
                <a:cs typeface="Arial"/>
              </a:rPr>
              <a:t>COPYRIGHT © 2024, Random Lengths Publications, Inc.</a:t>
            </a:r>
            <a:endParaRPr lang="en-US" sz="1000" b="0" i="0" u="none" strike="noStrike" baseline="0">
              <a:solidFill>
                <a:srgbClr val="000000"/>
              </a:solidFill>
              <a:latin typeface="Arial"/>
              <a:cs typeface="Arial"/>
            </a:endParaRPr>
          </a:p>
          <a:p>
            <a:pPr algn="l" rtl="0">
              <a:defRPr sz="1000"/>
            </a:pPr>
            <a:r>
              <a:rPr lang="en-US" sz="1000" b="0" i="0" u="none" strike="noStrike" baseline="0">
                <a:solidFill>
                  <a:srgbClr val="000000"/>
                </a:solidFill>
                <a:latin typeface="Arial"/>
                <a:cs typeface="Arial"/>
              </a:rPr>
              <a:t>No part of this transmission may be reproduced, transmitted, or retransmitted in any form or by any means, electronic, or mechanical, including photocopy, recording, facsimile, information storage or retrieval systems, or retransmission via any telecommunications network without written permission, from the publisher.</a:t>
            </a:r>
          </a:p>
          <a:p>
            <a:pPr algn="l" rtl="0">
              <a:defRPr sz="1000"/>
            </a:pPr>
            <a:endParaRPr lang="en-US" sz="1000" b="0" i="0" u="none" strike="noStrike" baseline="0">
              <a:solidFill>
                <a:srgbClr val="000000"/>
              </a:solidFill>
              <a:latin typeface="Arial"/>
              <a:cs typeface="Arial"/>
            </a:endParaRPr>
          </a:p>
        </xdr:txBody>
      </xdr:sp>
    </xdr:grpSp>
    <xdr:clientData/>
  </xdr:twoCellAnchor>
  <xdr:twoCellAnchor editAs="oneCell">
    <xdr:from>
      <xdr:col>0</xdr:col>
      <xdr:colOff>219075</xdr:colOff>
      <xdr:row>0</xdr:row>
      <xdr:rowOff>190500</xdr:rowOff>
    </xdr:from>
    <xdr:to>
      <xdr:col>6</xdr:col>
      <xdr:colOff>419100</xdr:colOff>
      <xdr:row>9</xdr:row>
      <xdr:rowOff>152400</xdr:rowOff>
    </xdr:to>
    <xdr:pic>
      <xdr:nvPicPr>
        <xdr:cNvPr id="21790" name="Picture 1">
          <a:extLst>
            <a:ext uri="{FF2B5EF4-FFF2-40B4-BE49-F238E27FC236}">
              <a16:creationId xmlns:a16="http://schemas.microsoft.com/office/drawing/2014/main" id="{00000000-0008-0000-0100-00001E55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9075" y="190500"/>
          <a:ext cx="4343400" cy="1514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9525</xdr:colOff>
      <xdr:row>23</xdr:row>
      <xdr:rowOff>9526</xdr:rowOff>
    </xdr:from>
    <xdr:to>
      <xdr:col>5</xdr:col>
      <xdr:colOff>447675</xdr:colOff>
      <xdr:row>27</xdr:row>
      <xdr:rowOff>28576</xdr:rowOff>
    </xdr:to>
    <xdr:sp macro="" textlink="">
      <xdr:nvSpPr>
        <xdr:cNvPr id="3" name="TextBox 2">
          <a:extLst>
            <a:ext uri="{FF2B5EF4-FFF2-40B4-BE49-F238E27FC236}">
              <a16:creationId xmlns:a16="http://schemas.microsoft.com/office/drawing/2014/main" id="{C0279BD3-12C5-4D07-B895-B945A99D08B1}"/>
            </a:ext>
          </a:extLst>
        </xdr:cNvPr>
        <xdr:cNvSpPr txBox="1"/>
      </xdr:nvSpPr>
      <xdr:spPr>
        <a:xfrm>
          <a:off x="762000" y="3829051"/>
          <a:ext cx="3219450" cy="666750"/>
        </a:xfrm>
        <a:prstGeom prst="rect">
          <a:avLst/>
        </a:prstGeom>
        <a:solidFill>
          <a:schemeClr val="accent4">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US" sz="1400" b="1"/>
            <a:t>Specify </a:t>
          </a:r>
          <a:r>
            <a:rPr lang="en-US" sz="1400" b="1" baseline="0"/>
            <a:t>a past publication date </a:t>
          </a:r>
          <a:r>
            <a:rPr lang="en-US" sz="1400" b="1" baseline="0">
              <a:solidFill>
                <a:schemeClr val="dk1"/>
              </a:solidFill>
              <a:effectLst/>
              <a:latin typeface="+mn-lt"/>
              <a:ea typeface="+mn-ea"/>
              <a:cs typeface="+mn-cs"/>
            </a:rPr>
            <a:t>in the highlighted cell (B22).</a:t>
          </a:r>
          <a:endParaRPr lang="en-US" sz="1100" b="1" baseline="0"/>
        </a:p>
        <a:p>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C558A7-352D-46B6-9A9A-1C39F6321D65}">
  <sheetPr>
    <pageSetUpPr fitToPage="1"/>
  </sheetPr>
  <dimension ref="A1:BZ1561"/>
  <sheetViews>
    <sheetView tabSelected="1" zoomScaleNormal="100" workbookViewId="0">
      <selection activeCell="B22" sqref="B22"/>
    </sheetView>
  </sheetViews>
  <sheetFormatPr defaultRowHeight="12.75" x14ac:dyDescent="0.2"/>
  <cols>
    <col min="1" max="1" width="11.28515625" style="54" customWidth="1"/>
    <col min="2" max="2" width="14.140625" style="54" customWidth="1"/>
    <col min="3" max="6" width="9.140625" style="54"/>
    <col min="7" max="7" width="13.42578125" style="54" customWidth="1"/>
    <col min="8" max="8" width="10.7109375" style="54" customWidth="1"/>
    <col min="9" max="9" width="15.85546875" style="54" bestFit="1" customWidth="1"/>
    <col min="10" max="11" width="9.140625" style="54"/>
    <col min="12" max="12" width="12.5703125" style="54" customWidth="1"/>
    <col min="13" max="13" width="10.42578125" style="54" customWidth="1"/>
    <col min="14" max="16384" width="9.140625" style="54"/>
  </cols>
  <sheetData>
    <row r="1" spans="1:78" s="56" customFormat="1" ht="20.25" x14ac:dyDescent="0.3">
      <c r="A1" s="53" t="s">
        <v>0</v>
      </c>
      <c r="B1" s="54"/>
      <c r="C1" s="54"/>
      <c r="D1" s="54"/>
      <c r="E1" s="54"/>
      <c r="F1" s="54"/>
      <c r="G1" s="54"/>
      <c r="H1" s="54"/>
      <c r="I1" s="54"/>
      <c r="J1" s="54"/>
      <c r="K1" s="54"/>
      <c r="L1" s="54"/>
      <c r="M1" s="54"/>
      <c r="N1" s="54"/>
      <c r="O1" s="54"/>
      <c r="P1" s="54"/>
      <c r="Q1" s="54"/>
      <c r="R1" s="54"/>
      <c r="S1" s="54"/>
      <c r="T1" s="54"/>
      <c r="U1" s="54"/>
      <c r="V1" s="54"/>
      <c r="W1" s="54"/>
      <c r="X1" s="54"/>
      <c r="Y1" s="54"/>
      <c r="Z1" s="54"/>
      <c r="AA1" s="54"/>
      <c r="AB1" s="54"/>
      <c r="AC1" s="54"/>
      <c r="AD1" s="54"/>
      <c r="AE1" s="54"/>
      <c r="AF1" s="54"/>
      <c r="AG1" s="54"/>
      <c r="AH1" s="54"/>
      <c r="AI1" s="54"/>
      <c r="AJ1" s="54"/>
      <c r="AK1" s="54"/>
      <c r="AL1" s="54"/>
      <c r="AM1" s="54"/>
      <c r="AN1" s="54"/>
      <c r="AO1" s="54"/>
      <c r="AP1" s="54"/>
      <c r="AQ1" s="54"/>
      <c r="AR1" s="54"/>
      <c r="AS1" s="54"/>
      <c r="AT1" s="54"/>
      <c r="AU1" s="54"/>
      <c r="AV1" s="54"/>
      <c r="AW1" s="54"/>
      <c r="AX1" s="54"/>
      <c r="AY1" s="54"/>
      <c r="AZ1" s="54"/>
      <c r="BA1" s="55"/>
      <c r="BB1" s="54"/>
      <c r="BC1" s="54"/>
      <c r="BD1" s="54"/>
      <c r="BE1" s="54"/>
      <c r="BF1" s="54"/>
      <c r="BG1" s="54"/>
      <c r="BH1" s="54"/>
      <c r="BI1" s="54"/>
      <c r="BJ1" s="54"/>
      <c r="BK1" s="54"/>
      <c r="BL1" s="54"/>
      <c r="BM1" s="54"/>
      <c r="BN1" s="54"/>
      <c r="BO1" s="54"/>
      <c r="BP1" s="54"/>
      <c r="BQ1" s="54"/>
      <c r="BR1" s="54"/>
      <c r="BS1" s="54"/>
      <c r="BT1" s="54"/>
      <c r="BU1" s="54"/>
      <c r="BV1" s="54"/>
      <c r="BW1" s="54"/>
      <c r="BX1" s="54"/>
      <c r="BY1" s="54"/>
      <c r="BZ1" s="54"/>
    </row>
    <row r="2" spans="1:78" s="56" customFormat="1" x14ac:dyDescent="0.2">
      <c r="A2" s="54"/>
      <c r="B2" s="54"/>
      <c r="C2" s="54"/>
      <c r="D2" s="54"/>
      <c r="E2" s="54"/>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c r="AH2" s="54"/>
      <c r="AI2" s="54"/>
      <c r="AJ2" s="54"/>
      <c r="AK2" s="54"/>
      <c r="AL2" s="54"/>
      <c r="AM2" s="54"/>
      <c r="AN2" s="54"/>
      <c r="AO2" s="54"/>
      <c r="AP2" s="54"/>
      <c r="AQ2" s="54"/>
      <c r="AR2" s="54"/>
      <c r="AS2" s="54"/>
      <c r="AT2" s="54"/>
      <c r="AU2" s="54"/>
      <c r="AV2" s="54"/>
      <c r="AW2" s="54"/>
      <c r="AX2" s="54"/>
      <c r="AY2" s="54"/>
      <c r="AZ2" s="54"/>
      <c r="BA2" s="54"/>
      <c r="BB2" s="54"/>
      <c r="BC2" s="54"/>
      <c r="BD2" s="54"/>
      <c r="BE2" s="54"/>
      <c r="BF2" s="54"/>
      <c r="BG2" s="54"/>
      <c r="BH2" s="54"/>
      <c r="BI2" s="54"/>
      <c r="BJ2" s="54"/>
      <c r="BK2" s="54"/>
      <c r="BL2" s="54"/>
      <c r="BM2" s="54"/>
      <c r="BN2" s="54"/>
      <c r="BO2" s="54"/>
      <c r="BP2" s="54"/>
      <c r="BQ2" s="54"/>
      <c r="BR2" s="54"/>
      <c r="BS2" s="54"/>
      <c r="BT2" s="54"/>
      <c r="BU2" s="54"/>
      <c r="BV2" s="54"/>
      <c r="BW2" s="54"/>
      <c r="BX2" s="54"/>
      <c r="BY2" s="54"/>
      <c r="BZ2" s="54"/>
    </row>
    <row r="3" spans="1:78" s="56" customFormat="1" x14ac:dyDescent="0.2">
      <c r="A3" s="54"/>
      <c r="B3" s="54"/>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c r="AH3" s="54"/>
      <c r="AI3" s="54"/>
      <c r="AJ3" s="54"/>
      <c r="AK3" s="54"/>
      <c r="AL3" s="54"/>
      <c r="AM3" s="54"/>
      <c r="AN3" s="54"/>
      <c r="AO3" s="54"/>
      <c r="AP3" s="54"/>
      <c r="AQ3" s="54"/>
      <c r="AR3" s="54"/>
      <c r="AS3" s="54"/>
      <c r="AT3" s="54"/>
      <c r="AU3" s="54"/>
      <c r="AV3" s="54"/>
      <c r="AW3" s="54"/>
      <c r="AX3" s="54"/>
      <c r="AY3" s="54"/>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54"/>
      <c r="BZ3" s="54"/>
    </row>
    <row r="4" spans="1:78" s="56" customFormat="1" x14ac:dyDescent="0.2">
      <c r="A4" s="54"/>
      <c r="B4" s="54"/>
      <c r="C4" s="54"/>
      <c r="D4" s="54"/>
      <c r="E4" s="54"/>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c r="AH4" s="54"/>
      <c r="AI4" s="54"/>
      <c r="AJ4" s="54"/>
      <c r="AK4" s="54"/>
      <c r="AL4" s="54"/>
      <c r="AM4" s="54"/>
      <c r="AN4" s="54"/>
      <c r="AO4" s="54"/>
      <c r="AP4" s="54"/>
      <c r="AQ4" s="54"/>
      <c r="AR4" s="54"/>
      <c r="AS4" s="54"/>
      <c r="AT4" s="54"/>
      <c r="AU4" s="54"/>
      <c r="AV4" s="54"/>
      <c r="AW4" s="54"/>
      <c r="AX4" s="54"/>
      <c r="AY4" s="54"/>
      <c r="AZ4" s="54"/>
      <c r="BA4" s="54"/>
      <c r="BB4" s="54"/>
      <c r="BC4" s="54"/>
      <c r="BD4" s="54"/>
      <c r="BE4" s="54"/>
      <c r="BF4" s="54"/>
      <c r="BG4" s="54"/>
      <c r="BH4" s="54"/>
      <c r="BI4" s="54"/>
      <c r="BJ4" s="54"/>
      <c r="BK4" s="54"/>
      <c r="BL4" s="54"/>
      <c r="BM4" s="54"/>
      <c r="BN4" s="54"/>
      <c r="BO4" s="54"/>
      <c r="BP4" s="54"/>
      <c r="BQ4" s="54"/>
      <c r="BR4" s="54"/>
      <c r="BS4" s="54"/>
      <c r="BT4" s="54"/>
      <c r="BU4" s="54"/>
      <c r="BV4" s="54"/>
      <c r="BW4" s="54"/>
      <c r="BX4" s="54"/>
      <c r="BY4" s="54"/>
      <c r="BZ4" s="54"/>
    </row>
    <row r="5" spans="1:78" s="56" customFormat="1" x14ac:dyDescent="0.2">
      <c r="A5" s="54"/>
      <c r="B5" s="54"/>
      <c r="C5" s="54"/>
      <c r="D5" s="54"/>
      <c r="E5" s="54"/>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c r="AH5" s="54"/>
      <c r="AI5" s="54"/>
      <c r="AJ5" s="54"/>
      <c r="AK5" s="54"/>
      <c r="AL5" s="54"/>
      <c r="AM5" s="54"/>
      <c r="AN5" s="54"/>
      <c r="AO5" s="54"/>
      <c r="AP5" s="54"/>
      <c r="AQ5" s="54"/>
      <c r="AR5" s="54"/>
      <c r="AS5" s="54"/>
      <c r="AT5" s="54"/>
      <c r="AU5" s="54"/>
      <c r="AV5" s="54"/>
      <c r="AW5" s="54"/>
      <c r="AX5" s="54"/>
      <c r="AY5" s="54"/>
      <c r="AZ5" s="54"/>
      <c r="BA5" s="54"/>
      <c r="BB5" s="54"/>
      <c r="BC5" s="54"/>
      <c r="BD5" s="54"/>
      <c r="BE5" s="54"/>
      <c r="BF5" s="54"/>
      <c r="BG5" s="54"/>
      <c r="BH5" s="54"/>
      <c r="BI5" s="54"/>
      <c r="BJ5" s="54"/>
      <c r="BK5" s="54"/>
      <c r="BL5" s="54"/>
      <c r="BM5" s="54"/>
      <c r="BN5" s="54"/>
      <c r="BO5" s="54"/>
      <c r="BP5" s="54"/>
      <c r="BQ5" s="54"/>
      <c r="BR5" s="54"/>
      <c r="BS5" s="54"/>
      <c r="BT5" s="54"/>
      <c r="BU5" s="54"/>
      <c r="BV5" s="54"/>
      <c r="BW5" s="54"/>
      <c r="BX5" s="54"/>
      <c r="BY5" s="54"/>
      <c r="BZ5" s="54"/>
    </row>
    <row r="6" spans="1:78" s="56" customFormat="1" x14ac:dyDescent="0.2">
      <c r="A6" s="54"/>
      <c r="B6" s="54"/>
      <c r="C6" s="54"/>
      <c r="D6" s="54"/>
      <c r="E6" s="54"/>
      <c r="F6" s="54"/>
      <c r="G6" s="54"/>
      <c r="H6" s="54"/>
      <c r="I6" s="54"/>
      <c r="J6" s="54"/>
      <c r="K6" s="54"/>
      <c r="L6" s="54"/>
      <c r="M6" s="54"/>
      <c r="N6" s="54"/>
      <c r="O6" s="54"/>
      <c r="P6" s="54"/>
      <c r="Q6" s="54"/>
      <c r="R6" s="54"/>
      <c r="S6" s="54"/>
      <c r="T6" s="54"/>
      <c r="U6" s="54"/>
      <c r="V6" s="54"/>
      <c r="W6" s="54"/>
      <c r="X6" s="54"/>
      <c r="Y6" s="54"/>
      <c r="Z6" s="54"/>
      <c r="AA6" s="54"/>
      <c r="AB6" s="54"/>
      <c r="AC6" s="54"/>
      <c r="AD6" s="54"/>
      <c r="AE6" s="54"/>
      <c r="AF6" s="54"/>
      <c r="AG6" s="54"/>
      <c r="AH6" s="54"/>
      <c r="AI6" s="54"/>
      <c r="AJ6" s="54"/>
      <c r="AK6" s="54"/>
      <c r="AL6" s="54"/>
      <c r="AM6" s="54"/>
      <c r="AN6" s="54"/>
      <c r="AO6" s="54"/>
      <c r="AP6" s="54"/>
      <c r="AQ6" s="54"/>
      <c r="AR6" s="54"/>
      <c r="AS6" s="54"/>
      <c r="AT6" s="54"/>
      <c r="AU6" s="54"/>
      <c r="AV6" s="54"/>
      <c r="AW6" s="54"/>
      <c r="AX6" s="54"/>
      <c r="AY6" s="54"/>
      <c r="AZ6" s="54"/>
      <c r="BA6" s="54"/>
      <c r="BB6" s="54"/>
      <c r="BC6" s="54"/>
      <c r="BD6" s="54"/>
      <c r="BE6" s="54"/>
      <c r="BF6" s="54"/>
      <c r="BG6" s="54"/>
      <c r="BH6" s="54"/>
      <c r="BI6" s="54"/>
      <c r="BJ6" s="54"/>
      <c r="BK6" s="54"/>
      <c r="BL6" s="54"/>
      <c r="BM6" s="54"/>
      <c r="BN6" s="54"/>
      <c r="BO6" s="54"/>
      <c r="BP6" s="54"/>
      <c r="BQ6" s="54"/>
      <c r="BR6" s="54"/>
      <c r="BS6" s="54"/>
      <c r="BT6" s="54"/>
      <c r="BU6" s="54"/>
      <c r="BV6" s="54"/>
      <c r="BW6" s="54"/>
      <c r="BX6" s="54"/>
      <c r="BY6" s="54"/>
      <c r="BZ6" s="54"/>
    </row>
    <row r="7" spans="1:78" s="56" customFormat="1" x14ac:dyDescent="0.2">
      <c r="A7" s="54"/>
      <c r="B7" s="54"/>
      <c r="C7" s="54"/>
      <c r="D7" s="54"/>
      <c r="E7" s="54"/>
      <c r="F7" s="54"/>
      <c r="G7" s="54"/>
      <c r="H7" s="54"/>
      <c r="I7" s="54"/>
      <c r="J7" s="54"/>
      <c r="K7" s="54"/>
      <c r="L7" s="54"/>
      <c r="M7" s="54"/>
      <c r="N7" s="54"/>
      <c r="O7" s="54"/>
      <c r="P7" s="54"/>
      <c r="Q7" s="54"/>
      <c r="R7" s="54"/>
      <c r="S7" s="54"/>
      <c r="T7" s="54"/>
      <c r="U7" s="54"/>
      <c r="V7" s="54"/>
      <c r="W7" s="54"/>
      <c r="X7" s="54"/>
      <c r="Y7" s="54"/>
      <c r="Z7" s="54"/>
      <c r="AA7" s="54"/>
      <c r="AB7" s="54"/>
      <c r="AC7" s="54"/>
      <c r="AD7" s="54"/>
      <c r="AE7" s="54"/>
      <c r="AF7" s="54"/>
      <c r="AG7" s="54"/>
      <c r="AH7" s="54"/>
      <c r="AI7" s="54"/>
      <c r="AJ7" s="54"/>
      <c r="AK7" s="54"/>
      <c r="AL7" s="54"/>
      <c r="AM7" s="54"/>
      <c r="AN7" s="54"/>
      <c r="AO7" s="54"/>
      <c r="AP7" s="54"/>
      <c r="AQ7" s="54"/>
      <c r="AR7" s="54"/>
      <c r="AS7" s="54"/>
      <c r="AT7" s="54"/>
      <c r="AU7" s="54"/>
      <c r="AV7" s="54"/>
      <c r="AW7" s="54"/>
      <c r="AX7" s="54"/>
      <c r="AY7" s="54"/>
      <c r="AZ7" s="54"/>
      <c r="BA7" s="54"/>
      <c r="BB7" s="54"/>
      <c r="BC7" s="54"/>
      <c r="BD7" s="54"/>
      <c r="BE7" s="54"/>
      <c r="BF7" s="54"/>
      <c r="BG7" s="54"/>
      <c r="BH7" s="54"/>
      <c r="BI7" s="54"/>
      <c r="BJ7" s="54"/>
      <c r="BK7" s="54"/>
      <c r="BL7" s="54"/>
      <c r="BM7" s="54"/>
      <c r="BN7" s="54"/>
      <c r="BO7" s="54"/>
      <c r="BP7" s="54"/>
      <c r="BQ7" s="54"/>
      <c r="BR7" s="54"/>
      <c r="BS7" s="54"/>
      <c r="BT7" s="54"/>
      <c r="BU7" s="54"/>
      <c r="BV7" s="54"/>
      <c r="BW7" s="54"/>
      <c r="BX7" s="54"/>
      <c r="BY7" s="54"/>
      <c r="BZ7" s="54"/>
    </row>
    <row r="8" spans="1:78" s="56" customFormat="1" x14ac:dyDescent="0.2">
      <c r="A8" s="54"/>
      <c r="B8" s="54"/>
      <c r="C8" s="54"/>
      <c r="D8" s="54"/>
      <c r="E8" s="54"/>
      <c r="F8" s="54"/>
      <c r="G8" s="54"/>
      <c r="H8" s="54"/>
      <c r="I8" s="54"/>
      <c r="J8" s="54"/>
      <c r="K8" s="54"/>
      <c r="L8" s="54"/>
      <c r="M8" s="54"/>
      <c r="N8" s="54"/>
      <c r="O8" s="54"/>
      <c r="P8" s="54"/>
      <c r="Q8" s="54"/>
      <c r="R8" s="54"/>
      <c r="S8" s="54"/>
      <c r="T8" s="54"/>
      <c r="U8" s="54"/>
      <c r="V8" s="54"/>
      <c r="W8" s="54"/>
      <c r="X8" s="54"/>
      <c r="Y8" s="54"/>
      <c r="Z8" s="54"/>
      <c r="AA8" s="54"/>
      <c r="AB8" s="54"/>
      <c r="AC8" s="54"/>
      <c r="AD8" s="54"/>
      <c r="AE8" s="54"/>
      <c r="AF8" s="54"/>
      <c r="AG8" s="54"/>
      <c r="AH8" s="54"/>
      <c r="AI8" s="54"/>
      <c r="AJ8" s="54"/>
      <c r="AK8" s="54"/>
      <c r="AL8" s="54"/>
      <c r="AM8" s="54"/>
      <c r="AN8" s="54"/>
      <c r="AO8" s="54"/>
      <c r="AP8" s="54"/>
      <c r="AQ8" s="54"/>
      <c r="AR8" s="54"/>
      <c r="AS8" s="54"/>
      <c r="AT8" s="54"/>
      <c r="AU8" s="54"/>
      <c r="AV8" s="54"/>
      <c r="AW8" s="54"/>
      <c r="AX8" s="54"/>
      <c r="AY8" s="54"/>
      <c r="AZ8" s="54"/>
      <c r="BA8" s="54"/>
      <c r="BB8" s="54"/>
      <c r="BC8" s="54"/>
      <c r="BD8" s="54"/>
      <c r="BE8" s="54"/>
      <c r="BF8" s="54"/>
      <c r="BG8" s="54"/>
      <c r="BH8" s="54"/>
      <c r="BI8" s="54"/>
      <c r="BJ8" s="54"/>
      <c r="BK8" s="54"/>
      <c r="BL8" s="54"/>
      <c r="BM8" s="54"/>
      <c r="BN8" s="54"/>
      <c r="BO8" s="54"/>
      <c r="BP8" s="54"/>
      <c r="BQ8" s="54"/>
      <c r="BR8" s="54"/>
      <c r="BS8" s="54"/>
      <c r="BT8" s="54"/>
      <c r="BU8" s="54"/>
      <c r="BV8" s="54"/>
      <c r="BW8" s="54"/>
      <c r="BX8" s="54"/>
      <c r="BY8" s="54"/>
      <c r="BZ8" s="54"/>
    </row>
    <row r="9" spans="1:78" s="56" customFormat="1" x14ac:dyDescent="0.2">
      <c r="A9" s="54"/>
      <c r="B9" s="54"/>
      <c r="C9" s="54"/>
      <c r="D9" s="54"/>
      <c r="E9" s="54"/>
      <c r="F9" s="54"/>
      <c r="G9" s="54"/>
      <c r="H9" s="54"/>
      <c r="I9" s="54"/>
      <c r="J9" s="54"/>
      <c r="K9" s="54"/>
      <c r="L9" s="54"/>
      <c r="M9" s="54"/>
      <c r="N9" s="54"/>
      <c r="O9" s="54"/>
      <c r="P9" s="54"/>
      <c r="Q9" s="54"/>
      <c r="R9" s="54"/>
      <c r="S9" s="54"/>
      <c r="T9" s="54"/>
      <c r="U9" s="54"/>
      <c r="V9" s="54"/>
      <c r="W9" s="54"/>
      <c r="X9" s="54"/>
      <c r="Y9" s="54"/>
      <c r="Z9" s="54"/>
      <c r="AA9" s="54"/>
      <c r="AB9" s="54"/>
      <c r="AC9" s="54"/>
      <c r="AD9" s="54"/>
      <c r="AE9" s="54"/>
      <c r="AF9" s="54"/>
      <c r="AG9" s="54"/>
      <c r="AH9" s="54"/>
      <c r="AI9" s="54"/>
      <c r="AJ9" s="54"/>
      <c r="AK9" s="54"/>
      <c r="AL9" s="54"/>
      <c r="AM9" s="54"/>
      <c r="AN9" s="54"/>
      <c r="AO9" s="54"/>
      <c r="AP9" s="54"/>
      <c r="AQ9" s="54"/>
      <c r="AR9" s="54"/>
      <c r="AS9" s="54"/>
      <c r="AT9" s="54"/>
      <c r="AU9" s="54"/>
      <c r="AV9" s="54"/>
      <c r="AW9" s="54"/>
      <c r="AX9" s="54"/>
      <c r="AY9" s="54"/>
      <c r="AZ9" s="54"/>
      <c r="BA9" s="54"/>
      <c r="BB9" s="54"/>
      <c r="BC9" s="54"/>
      <c r="BD9" s="54"/>
      <c r="BE9" s="54"/>
      <c r="BF9" s="54"/>
      <c r="BG9" s="54"/>
      <c r="BH9" s="54"/>
      <c r="BI9" s="54"/>
      <c r="BJ9" s="54"/>
      <c r="BK9" s="54"/>
      <c r="BL9" s="54"/>
      <c r="BM9" s="54"/>
      <c r="BN9" s="54"/>
      <c r="BO9" s="54"/>
      <c r="BP9" s="54"/>
      <c r="BQ9" s="54"/>
      <c r="BR9" s="54"/>
      <c r="BS9" s="54"/>
      <c r="BT9" s="54"/>
      <c r="BU9" s="54"/>
      <c r="BV9" s="54"/>
      <c r="BW9" s="54"/>
      <c r="BX9" s="54"/>
      <c r="BY9" s="54"/>
      <c r="BZ9" s="54"/>
    </row>
    <row r="10" spans="1:78" s="56" customFormat="1" ht="12.75" customHeight="1" x14ac:dyDescent="0.2">
      <c r="A10" s="54"/>
      <c r="B10" s="54"/>
      <c r="C10" s="54"/>
      <c r="D10" s="54"/>
      <c r="E10" s="54"/>
      <c r="F10" s="54"/>
      <c r="G10" s="54"/>
      <c r="H10" s="54"/>
      <c r="I10" s="54"/>
      <c r="J10" s="54"/>
      <c r="K10" s="54"/>
      <c r="L10" s="54"/>
      <c r="M10" s="54"/>
      <c r="N10" s="54"/>
      <c r="O10" s="54"/>
      <c r="P10" s="54"/>
      <c r="Q10" s="54"/>
      <c r="R10" s="54"/>
      <c r="S10" s="54"/>
      <c r="T10" s="54"/>
      <c r="U10" s="54"/>
      <c r="V10" s="54"/>
      <c r="W10" s="54"/>
      <c r="X10" s="54"/>
      <c r="Y10" s="54"/>
      <c r="Z10" s="54"/>
      <c r="AA10" s="54"/>
      <c r="AB10" s="54"/>
      <c r="AC10" s="54"/>
      <c r="AD10" s="54"/>
      <c r="AE10" s="54"/>
      <c r="AF10" s="54"/>
      <c r="AG10" s="54"/>
      <c r="AH10" s="54"/>
      <c r="AI10" s="54"/>
      <c r="AJ10" s="54"/>
      <c r="AK10" s="54"/>
      <c r="AL10" s="54"/>
      <c r="AM10" s="54"/>
      <c r="AN10" s="54"/>
      <c r="AO10" s="54"/>
      <c r="AP10" s="54"/>
      <c r="AQ10" s="54"/>
      <c r="AR10" s="54"/>
      <c r="AS10" s="54"/>
      <c r="AT10" s="54"/>
      <c r="AU10" s="54"/>
      <c r="AV10" s="54"/>
      <c r="AW10" s="54"/>
      <c r="AX10" s="54"/>
      <c r="AY10" s="54"/>
      <c r="AZ10" s="54"/>
      <c r="BA10" s="54"/>
      <c r="BB10" s="54"/>
      <c r="BC10" s="54"/>
      <c r="BD10" s="54"/>
      <c r="BE10" s="54"/>
      <c r="BF10" s="54"/>
      <c r="BG10" s="54"/>
      <c r="BH10" s="54"/>
      <c r="BI10" s="54"/>
      <c r="BJ10" s="54"/>
      <c r="BK10" s="54"/>
      <c r="BL10" s="54"/>
      <c r="BM10" s="54"/>
      <c r="BN10" s="54"/>
      <c r="BO10" s="54"/>
      <c r="BP10" s="54"/>
      <c r="BQ10" s="54"/>
      <c r="BR10" s="54"/>
      <c r="BS10" s="54"/>
      <c r="BT10" s="54"/>
      <c r="BU10" s="54"/>
      <c r="BV10" s="54"/>
      <c r="BW10" s="54"/>
      <c r="BX10" s="54"/>
      <c r="BY10" s="54"/>
      <c r="BZ10" s="54"/>
    </row>
    <row r="11" spans="1:78" s="56" customFormat="1" x14ac:dyDescent="0.2">
      <c r="A11" s="54"/>
      <c r="B11" s="54"/>
      <c r="C11" s="54"/>
      <c r="D11" s="54"/>
      <c r="E11" s="54"/>
      <c r="F11" s="54"/>
      <c r="G11" s="54"/>
      <c r="H11" s="54"/>
      <c r="I11" s="54"/>
      <c r="J11" s="54"/>
      <c r="K11" s="54"/>
      <c r="L11" s="54"/>
      <c r="M11" s="54"/>
      <c r="N11" s="54"/>
      <c r="O11" s="54"/>
      <c r="P11" s="54"/>
      <c r="Q11" s="54"/>
      <c r="R11" s="54"/>
      <c r="S11" s="54"/>
      <c r="T11" s="54"/>
      <c r="U11" s="54"/>
      <c r="V11" s="54"/>
      <c r="W11" s="54"/>
      <c r="X11" s="54"/>
      <c r="Y11" s="54"/>
      <c r="Z11" s="54"/>
      <c r="AA11" s="54"/>
      <c r="AB11" s="54"/>
      <c r="AC11" s="54"/>
      <c r="AD11" s="54"/>
      <c r="AE11" s="54"/>
      <c r="AF11" s="54"/>
      <c r="AG11" s="54"/>
      <c r="AH11" s="54"/>
      <c r="AI11" s="54"/>
      <c r="AJ11" s="54"/>
      <c r="AK11" s="54"/>
      <c r="AL11" s="54"/>
      <c r="AM11" s="54"/>
      <c r="AN11" s="54"/>
      <c r="AO11" s="54"/>
      <c r="AP11" s="54"/>
      <c r="AQ11" s="54"/>
      <c r="AR11" s="54"/>
      <c r="AS11" s="54"/>
      <c r="AT11" s="54"/>
      <c r="AU11" s="54"/>
      <c r="AV11" s="54"/>
      <c r="AW11" s="54"/>
      <c r="AX11" s="54"/>
      <c r="AY11" s="54"/>
      <c r="AZ11" s="54"/>
      <c r="BA11" s="54"/>
      <c r="BB11" s="54"/>
      <c r="BC11" s="54"/>
      <c r="BD11" s="54"/>
      <c r="BE11" s="54"/>
      <c r="BF11" s="54"/>
      <c r="BG11" s="54"/>
      <c r="BH11" s="54"/>
      <c r="BI11" s="54"/>
      <c r="BJ11" s="54"/>
      <c r="BK11" s="54"/>
      <c r="BL11" s="54"/>
      <c r="BM11" s="54"/>
      <c r="BN11" s="54"/>
      <c r="BO11" s="54"/>
      <c r="BP11" s="54"/>
      <c r="BQ11" s="54"/>
      <c r="BR11" s="54"/>
      <c r="BS11" s="54"/>
      <c r="BT11" s="54"/>
      <c r="BU11" s="54"/>
      <c r="BV11" s="54"/>
      <c r="BW11" s="54"/>
      <c r="BX11" s="54"/>
      <c r="BY11" s="54"/>
      <c r="BZ11" s="54"/>
    </row>
    <row r="12" spans="1:78" s="56" customFormat="1" x14ac:dyDescent="0.2">
      <c r="A12" s="54"/>
      <c r="B12" s="54"/>
      <c r="C12" s="54"/>
      <c r="D12" s="54"/>
      <c r="E12" s="54"/>
      <c r="F12" s="54"/>
      <c r="G12" s="54"/>
      <c r="H12" s="54"/>
      <c r="I12" s="54"/>
      <c r="J12" s="54"/>
      <c r="K12" s="54"/>
      <c r="L12" s="54"/>
      <c r="M12" s="54"/>
      <c r="N12" s="54"/>
      <c r="O12" s="54"/>
      <c r="P12" s="54"/>
      <c r="Q12" s="54"/>
      <c r="R12" s="54"/>
      <c r="S12" s="54"/>
      <c r="T12" s="54"/>
      <c r="U12" s="54"/>
      <c r="V12" s="54"/>
      <c r="W12" s="54"/>
      <c r="X12" s="54"/>
      <c r="Y12" s="54"/>
      <c r="Z12" s="54"/>
      <c r="AA12" s="54"/>
      <c r="AB12" s="54"/>
      <c r="AC12" s="54"/>
      <c r="AD12" s="54"/>
      <c r="AE12" s="54"/>
      <c r="AF12" s="54"/>
      <c r="AG12" s="54"/>
      <c r="AH12" s="54"/>
      <c r="AI12" s="54"/>
      <c r="AJ12" s="54"/>
      <c r="AK12" s="54"/>
      <c r="AL12" s="54"/>
      <c r="AM12" s="54"/>
      <c r="AN12" s="54"/>
      <c r="AO12" s="54"/>
      <c r="AP12" s="54"/>
      <c r="AQ12" s="54"/>
      <c r="AR12" s="54"/>
      <c r="AS12" s="54"/>
      <c r="AT12" s="54"/>
      <c r="AU12" s="54"/>
      <c r="AV12" s="54"/>
      <c r="AW12" s="54"/>
      <c r="AX12" s="54"/>
      <c r="AY12" s="54"/>
      <c r="AZ12" s="54"/>
      <c r="BA12" s="54"/>
      <c r="BB12" s="54"/>
      <c r="BC12" s="54"/>
      <c r="BD12" s="54"/>
      <c r="BE12" s="54"/>
      <c r="BF12" s="54"/>
      <c r="BG12" s="54"/>
      <c r="BH12" s="54"/>
      <c r="BI12" s="54"/>
      <c r="BJ12" s="54"/>
      <c r="BK12" s="54"/>
      <c r="BL12" s="54"/>
      <c r="BM12" s="54"/>
      <c r="BN12" s="54"/>
      <c r="BO12" s="54"/>
      <c r="BP12" s="54"/>
      <c r="BQ12" s="54"/>
      <c r="BR12" s="54"/>
      <c r="BS12" s="54"/>
      <c r="BT12" s="54"/>
      <c r="BU12" s="54"/>
      <c r="BV12" s="54"/>
      <c r="BW12" s="54"/>
      <c r="BX12" s="54"/>
      <c r="BY12" s="54"/>
      <c r="BZ12" s="54"/>
    </row>
    <row r="13" spans="1:78" s="56" customFormat="1" x14ac:dyDescent="0.2">
      <c r="A13" s="54"/>
      <c r="B13" s="54"/>
      <c r="C13" s="54"/>
      <c r="D13" s="54"/>
      <c r="E13" s="54"/>
      <c r="F13" s="54"/>
      <c r="G13" s="54"/>
      <c r="H13" s="54"/>
      <c r="I13" s="54"/>
      <c r="J13" s="54"/>
      <c r="K13" s="54"/>
      <c r="L13" s="54"/>
      <c r="M13" s="54"/>
      <c r="N13" s="54"/>
      <c r="O13" s="54"/>
      <c r="P13" s="54"/>
      <c r="Q13" s="54"/>
      <c r="R13" s="54"/>
      <c r="S13" s="54"/>
      <c r="T13" s="54"/>
      <c r="U13" s="54"/>
      <c r="V13" s="54"/>
      <c r="W13" s="54"/>
      <c r="X13" s="54"/>
      <c r="Y13" s="54"/>
      <c r="Z13" s="54"/>
      <c r="AA13" s="54"/>
      <c r="AB13" s="54"/>
      <c r="AC13" s="54"/>
      <c r="AD13" s="54"/>
      <c r="AE13" s="54"/>
      <c r="AF13" s="54"/>
      <c r="AG13" s="54"/>
      <c r="AH13" s="54"/>
      <c r="AI13" s="54"/>
      <c r="AJ13" s="54"/>
      <c r="AK13" s="54"/>
      <c r="AL13" s="54"/>
      <c r="AM13" s="54"/>
      <c r="AN13" s="54"/>
      <c r="AO13" s="54"/>
      <c r="AP13" s="54"/>
      <c r="AQ13" s="54"/>
      <c r="AR13" s="54"/>
      <c r="AS13" s="54"/>
      <c r="AT13" s="54"/>
      <c r="AU13" s="54"/>
      <c r="AV13" s="54"/>
      <c r="AW13" s="54"/>
      <c r="AX13" s="54"/>
      <c r="AY13" s="54"/>
      <c r="AZ13" s="54"/>
      <c r="BA13" s="54"/>
      <c r="BB13" s="54"/>
      <c r="BC13" s="54"/>
      <c r="BD13" s="54"/>
      <c r="BE13" s="54"/>
      <c r="BF13" s="54"/>
      <c r="BG13" s="54"/>
      <c r="BH13" s="54"/>
      <c r="BI13" s="54"/>
      <c r="BJ13" s="54"/>
      <c r="BK13" s="54"/>
      <c r="BL13" s="54"/>
      <c r="BM13" s="54"/>
      <c r="BN13" s="54"/>
      <c r="BO13" s="54"/>
      <c r="BP13" s="54"/>
      <c r="BQ13" s="54"/>
      <c r="BR13" s="54"/>
      <c r="BS13" s="54"/>
      <c r="BT13" s="54"/>
      <c r="BU13" s="54"/>
      <c r="BV13" s="54"/>
      <c r="BW13" s="54"/>
      <c r="BX13" s="54"/>
      <c r="BY13" s="54"/>
      <c r="BZ13" s="54"/>
    </row>
    <row r="14" spans="1:78" s="56" customFormat="1" x14ac:dyDescent="0.2">
      <c r="A14" s="54"/>
      <c r="B14" s="54"/>
      <c r="C14" s="54"/>
      <c r="D14" s="54"/>
      <c r="E14" s="54"/>
      <c r="F14" s="54"/>
      <c r="G14" s="54"/>
      <c r="H14" s="54"/>
      <c r="I14" s="54"/>
      <c r="J14" s="54"/>
      <c r="K14" s="54"/>
      <c r="L14" s="54"/>
      <c r="M14" s="54"/>
      <c r="N14" s="54"/>
      <c r="O14" s="54"/>
      <c r="P14" s="54"/>
      <c r="Q14" s="54"/>
      <c r="R14" s="54"/>
      <c r="S14" s="54"/>
      <c r="T14" s="54"/>
      <c r="U14" s="54"/>
      <c r="V14" s="54"/>
      <c r="W14" s="54"/>
      <c r="X14" s="54"/>
      <c r="Y14" s="54"/>
      <c r="Z14" s="54"/>
      <c r="AA14" s="54"/>
      <c r="AB14" s="54"/>
      <c r="AC14" s="54"/>
      <c r="AD14" s="54"/>
      <c r="AE14" s="54"/>
      <c r="AF14" s="54"/>
      <c r="AG14" s="54"/>
      <c r="AH14" s="54"/>
      <c r="AI14" s="54"/>
      <c r="AJ14" s="54"/>
      <c r="AK14" s="54"/>
      <c r="AL14" s="54"/>
      <c r="AM14" s="54"/>
      <c r="AN14" s="54"/>
      <c r="AO14" s="54"/>
      <c r="AP14" s="54"/>
      <c r="AQ14" s="54"/>
      <c r="AR14" s="54"/>
      <c r="AS14" s="54"/>
      <c r="AT14" s="54"/>
      <c r="AU14" s="54"/>
      <c r="AV14" s="54"/>
      <c r="AW14" s="54"/>
      <c r="AX14" s="54"/>
      <c r="AY14" s="54"/>
      <c r="AZ14" s="54"/>
      <c r="BA14" s="54"/>
      <c r="BB14" s="54"/>
      <c r="BC14" s="54"/>
      <c r="BD14" s="54"/>
      <c r="BE14" s="54"/>
      <c r="BF14" s="54"/>
      <c r="BG14" s="54"/>
      <c r="BH14" s="54"/>
      <c r="BI14" s="54"/>
      <c r="BJ14" s="54"/>
      <c r="BK14" s="54"/>
      <c r="BL14" s="54"/>
      <c r="BM14" s="54"/>
      <c r="BN14" s="54"/>
      <c r="BO14" s="54"/>
      <c r="BP14" s="54"/>
      <c r="BQ14" s="54"/>
      <c r="BR14" s="54"/>
      <c r="BS14" s="54"/>
      <c r="BT14" s="54"/>
      <c r="BU14" s="54"/>
      <c r="BV14" s="54"/>
      <c r="BW14" s="54"/>
      <c r="BX14" s="54"/>
      <c r="BY14" s="54"/>
      <c r="BZ14" s="54"/>
    </row>
    <row r="15" spans="1:78" s="56" customFormat="1" x14ac:dyDescent="0.2">
      <c r="A15" s="54"/>
      <c r="B15" s="54"/>
      <c r="C15" s="54"/>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54"/>
      <c r="AL15" s="54"/>
      <c r="AM15" s="54"/>
      <c r="AN15" s="54"/>
      <c r="AO15" s="54"/>
      <c r="AP15" s="54"/>
      <c r="AQ15" s="54"/>
      <c r="AR15" s="54"/>
      <c r="AS15" s="54"/>
      <c r="AT15" s="54"/>
      <c r="AU15" s="54"/>
      <c r="AV15" s="54"/>
      <c r="AW15" s="54"/>
      <c r="AX15" s="54"/>
      <c r="AY15" s="54"/>
      <c r="AZ15" s="54"/>
      <c r="BA15" s="54"/>
      <c r="BB15" s="54"/>
      <c r="BC15" s="54"/>
      <c r="BD15" s="54"/>
      <c r="BE15" s="54"/>
      <c r="BF15" s="54"/>
      <c r="BG15" s="54"/>
      <c r="BH15" s="54"/>
      <c r="BI15" s="54"/>
      <c r="BJ15" s="54"/>
      <c r="BK15" s="54"/>
      <c r="BL15" s="54"/>
      <c r="BM15" s="54"/>
      <c r="BN15" s="54"/>
      <c r="BO15" s="54"/>
      <c r="BP15" s="54"/>
      <c r="BQ15" s="54"/>
      <c r="BR15" s="54"/>
      <c r="BS15" s="54"/>
      <c r="BT15" s="54"/>
      <c r="BU15" s="54"/>
      <c r="BV15" s="54"/>
      <c r="BW15" s="54"/>
      <c r="BX15" s="54"/>
      <c r="BY15" s="54"/>
      <c r="BZ15" s="54"/>
    </row>
    <row r="16" spans="1:78" s="56" customFormat="1" x14ac:dyDescent="0.2">
      <c r="A16" s="54"/>
      <c r="B16" s="54"/>
      <c r="C16" s="54"/>
      <c r="D16" s="54"/>
      <c r="E16" s="54"/>
      <c r="F16" s="54"/>
      <c r="G16" s="54"/>
      <c r="H16" s="54"/>
      <c r="I16" s="54"/>
      <c r="J16" s="54"/>
      <c r="K16" s="54"/>
      <c r="L16" s="54"/>
      <c r="M16" s="54"/>
      <c r="N16" s="54"/>
      <c r="O16" s="54"/>
      <c r="P16" s="54"/>
      <c r="Q16" s="54"/>
      <c r="R16" s="54"/>
      <c r="S16" s="54"/>
      <c r="T16" s="54"/>
      <c r="U16" s="54"/>
      <c r="V16" s="54"/>
      <c r="W16" s="54"/>
      <c r="X16" s="54"/>
      <c r="Y16" s="54"/>
      <c r="Z16" s="54"/>
      <c r="AA16" s="54"/>
      <c r="AB16" s="54"/>
      <c r="AC16" s="54"/>
      <c r="AD16" s="54"/>
      <c r="AE16" s="54"/>
      <c r="AF16" s="54"/>
      <c r="AG16" s="54"/>
      <c r="AH16" s="54"/>
      <c r="AI16" s="54"/>
      <c r="AJ16" s="54"/>
      <c r="AK16" s="54"/>
      <c r="AL16" s="54"/>
      <c r="AM16" s="54"/>
      <c r="AN16" s="54"/>
      <c r="AO16" s="54"/>
      <c r="AP16" s="54"/>
      <c r="AQ16" s="54"/>
      <c r="AR16" s="54"/>
      <c r="AS16" s="54"/>
      <c r="AT16" s="54"/>
      <c r="AU16" s="54"/>
      <c r="AV16" s="54"/>
      <c r="AW16" s="54"/>
      <c r="AX16" s="54"/>
      <c r="AY16" s="54"/>
      <c r="AZ16" s="54"/>
      <c r="BA16" s="54"/>
      <c r="BB16" s="54"/>
      <c r="BC16" s="54"/>
      <c r="BD16" s="54"/>
      <c r="BE16" s="54"/>
      <c r="BF16" s="54"/>
      <c r="BG16" s="54"/>
      <c r="BH16" s="54"/>
      <c r="BI16" s="54"/>
      <c r="BJ16" s="54"/>
      <c r="BK16" s="54"/>
      <c r="BL16" s="54"/>
      <c r="BM16" s="54"/>
      <c r="BN16" s="54"/>
      <c r="BO16" s="54"/>
      <c r="BP16" s="54"/>
      <c r="BQ16" s="54"/>
      <c r="BR16" s="54"/>
      <c r="BS16" s="54"/>
      <c r="BT16" s="54"/>
      <c r="BU16" s="54"/>
      <c r="BV16" s="54"/>
      <c r="BW16" s="54"/>
      <c r="BX16" s="54"/>
      <c r="BY16" s="54"/>
      <c r="BZ16" s="54"/>
    </row>
    <row r="17" spans="1:78" s="56" customFormat="1" x14ac:dyDescent="0.2">
      <c r="A17" s="54"/>
      <c r="B17" s="54"/>
      <c r="C17" s="54"/>
      <c r="D17" s="54"/>
      <c r="E17" s="54"/>
      <c r="F17" s="54"/>
      <c r="G17" s="54"/>
      <c r="H17" s="54"/>
      <c r="I17" s="54"/>
      <c r="J17" s="54"/>
      <c r="K17" s="54"/>
      <c r="L17" s="54"/>
      <c r="M17" s="54"/>
      <c r="N17" s="54"/>
      <c r="O17" s="54"/>
      <c r="P17" s="54"/>
      <c r="Q17" s="54"/>
      <c r="R17" s="54"/>
      <c r="S17" s="54"/>
      <c r="T17" s="54"/>
      <c r="U17" s="54"/>
      <c r="V17" s="54"/>
      <c r="W17" s="54"/>
      <c r="X17" s="54"/>
      <c r="Y17" s="54"/>
      <c r="Z17" s="54"/>
      <c r="AA17" s="54"/>
      <c r="AB17" s="54"/>
      <c r="AC17" s="54"/>
      <c r="AD17" s="54"/>
      <c r="AE17" s="54"/>
      <c r="AF17" s="54"/>
      <c r="AG17" s="54"/>
      <c r="AH17" s="54"/>
      <c r="AI17" s="54"/>
      <c r="AJ17" s="54"/>
      <c r="AK17" s="54"/>
      <c r="AL17" s="54"/>
      <c r="AM17" s="54"/>
      <c r="AN17" s="54"/>
      <c r="AO17" s="54"/>
      <c r="AP17" s="54"/>
      <c r="AQ17" s="54"/>
      <c r="AR17" s="54"/>
      <c r="AS17" s="54"/>
      <c r="AT17" s="54"/>
      <c r="AU17" s="54"/>
      <c r="AV17" s="54"/>
      <c r="AW17" s="54"/>
      <c r="AX17" s="54"/>
      <c r="AY17" s="54"/>
      <c r="AZ17" s="54"/>
      <c r="BA17" s="54"/>
      <c r="BB17" s="54"/>
      <c r="BC17" s="54"/>
      <c r="BD17" s="54"/>
      <c r="BE17" s="54"/>
      <c r="BF17" s="54"/>
      <c r="BG17" s="54"/>
      <c r="BH17" s="54"/>
      <c r="BI17" s="54"/>
      <c r="BJ17" s="54"/>
      <c r="BK17" s="54"/>
      <c r="BL17" s="54"/>
      <c r="BM17" s="54"/>
      <c r="BN17" s="54"/>
      <c r="BO17" s="54"/>
      <c r="BP17" s="54"/>
      <c r="BQ17" s="54"/>
      <c r="BR17" s="54"/>
      <c r="BS17" s="54"/>
      <c r="BT17" s="54"/>
      <c r="BU17" s="54"/>
      <c r="BV17" s="54"/>
      <c r="BW17" s="54"/>
      <c r="BX17" s="54"/>
      <c r="BY17" s="54"/>
      <c r="BZ17" s="54"/>
    </row>
    <row r="18" spans="1:78" s="56" customFormat="1" x14ac:dyDescent="0.2">
      <c r="A18" s="54"/>
      <c r="B18" s="54"/>
      <c r="C18" s="54"/>
      <c r="D18" s="54"/>
      <c r="E18" s="54"/>
      <c r="F18" s="54"/>
      <c r="G18" s="54"/>
      <c r="H18" s="54"/>
      <c r="I18" s="54"/>
      <c r="J18" s="54"/>
      <c r="K18" s="54"/>
      <c r="L18" s="54"/>
      <c r="M18" s="54"/>
      <c r="N18" s="54"/>
      <c r="O18" s="54"/>
      <c r="P18" s="54"/>
      <c r="Q18" s="54"/>
      <c r="R18" s="54"/>
      <c r="S18" s="54"/>
      <c r="T18" s="54"/>
      <c r="U18" s="54"/>
      <c r="V18" s="54"/>
      <c r="W18" s="54"/>
      <c r="X18" s="54"/>
      <c r="Y18" s="54"/>
      <c r="Z18" s="54"/>
      <c r="AA18" s="54"/>
      <c r="AB18" s="54"/>
      <c r="AC18" s="54"/>
      <c r="AD18" s="54"/>
      <c r="AE18" s="54"/>
      <c r="AF18" s="54"/>
      <c r="AG18" s="54"/>
      <c r="AH18" s="54"/>
      <c r="AI18" s="54"/>
      <c r="AJ18" s="54"/>
      <c r="AK18" s="54"/>
      <c r="AL18" s="54"/>
      <c r="AM18" s="54"/>
      <c r="AN18" s="54"/>
      <c r="AO18" s="54"/>
      <c r="AP18" s="54"/>
      <c r="AQ18" s="54"/>
      <c r="AR18" s="54"/>
      <c r="AS18" s="54"/>
      <c r="AT18" s="54"/>
      <c r="AU18" s="54"/>
      <c r="AV18" s="54"/>
      <c r="AW18" s="54"/>
      <c r="AX18" s="54"/>
      <c r="AY18" s="54"/>
      <c r="AZ18" s="54"/>
      <c r="BA18" s="54"/>
      <c r="BB18" s="54"/>
      <c r="BC18" s="54"/>
      <c r="BD18" s="54"/>
      <c r="BE18" s="54"/>
      <c r="BF18" s="54"/>
      <c r="BG18" s="54"/>
      <c r="BH18" s="54"/>
      <c r="BI18" s="54"/>
      <c r="BJ18" s="54"/>
      <c r="BK18" s="54"/>
      <c r="BL18" s="54"/>
      <c r="BM18" s="54"/>
      <c r="BN18" s="54"/>
      <c r="BO18" s="54"/>
      <c r="BP18" s="54"/>
      <c r="BQ18" s="54"/>
      <c r="BR18" s="54"/>
      <c r="BS18" s="54"/>
      <c r="BT18" s="54"/>
      <c r="BU18" s="54"/>
      <c r="BV18" s="54"/>
      <c r="BW18" s="54"/>
      <c r="BX18" s="54"/>
      <c r="BY18" s="54"/>
      <c r="BZ18" s="54"/>
    </row>
    <row r="19" spans="1:78" s="56" customFormat="1" x14ac:dyDescent="0.2">
      <c r="A19" s="54"/>
      <c r="B19" s="54"/>
      <c r="C19" s="54"/>
      <c r="D19" s="54"/>
      <c r="E19" s="54"/>
      <c r="F19" s="54"/>
      <c r="G19" s="54"/>
      <c r="H19" s="54"/>
      <c r="I19" s="54"/>
      <c r="J19" s="54"/>
      <c r="K19" s="54"/>
      <c r="L19" s="54"/>
      <c r="M19" s="54"/>
      <c r="N19" s="54"/>
      <c r="O19" s="54"/>
      <c r="P19" s="54"/>
      <c r="Q19" s="54"/>
      <c r="R19" s="54"/>
      <c r="S19" s="54"/>
      <c r="T19" s="54"/>
      <c r="U19" s="54"/>
      <c r="V19" s="54"/>
      <c r="W19" s="54"/>
      <c r="X19" s="54"/>
      <c r="Y19" s="54"/>
      <c r="Z19" s="54"/>
      <c r="AA19" s="54"/>
      <c r="AB19" s="54"/>
      <c r="AC19" s="54"/>
      <c r="AD19" s="54"/>
      <c r="AE19" s="54"/>
      <c r="AF19" s="54"/>
      <c r="AG19" s="54"/>
      <c r="AH19" s="54"/>
      <c r="AI19" s="54"/>
      <c r="AJ19" s="54"/>
      <c r="AK19" s="54"/>
      <c r="AL19" s="54"/>
      <c r="AM19" s="54"/>
      <c r="AN19" s="54"/>
      <c r="AO19" s="54"/>
      <c r="AP19" s="54"/>
      <c r="AQ19" s="54"/>
      <c r="AR19" s="54"/>
      <c r="AS19" s="54"/>
      <c r="AT19" s="54"/>
      <c r="AU19" s="54"/>
      <c r="AV19" s="54"/>
      <c r="AW19" s="54"/>
      <c r="AX19" s="54"/>
      <c r="AY19" s="54"/>
      <c r="AZ19" s="54"/>
      <c r="BA19" s="54"/>
      <c r="BB19" s="54"/>
      <c r="BC19" s="54"/>
      <c r="BD19" s="54"/>
      <c r="BE19" s="54"/>
      <c r="BF19" s="54"/>
      <c r="BG19" s="54"/>
      <c r="BH19" s="54"/>
      <c r="BI19" s="54"/>
      <c r="BJ19" s="54"/>
      <c r="BK19" s="54"/>
      <c r="BL19" s="54"/>
      <c r="BM19" s="54"/>
      <c r="BN19" s="54"/>
      <c r="BO19" s="54"/>
      <c r="BP19" s="54"/>
      <c r="BQ19" s="54"/>
      <c r="BR19" s="54"/>
      <c r="BS19" s="54"/>
      <c r="BT19" s="54"/>
      <c r="BU19" s="54"/>
      <c r="BV19" s="54"/>
      <c r="BW19" s="54"/>
      <c r="BX19" s="54"/>
      <c r="BY19" s="54"/>
      <c r="BZ19" s="54"/>
    </row>
    <row r="20" spans="1:78" s="56" customFormat="1" x14ac:dyDescent="0.2">
      <c r="A20" s="54"/>
      <c r="B20" s="54"/>
      <c r="C20" s="54"/>
      <c r="D20" s="54"/>
      <c r="E20" s="54"/>
      <c r="F20" s="54"/>
      <c r="G20" s="57" t="s">
        <v>1</v>
      </c>
      <c r="H20" s="54"/>
      <c r="I20" s="57" t="s">
        <v>2</v>
      </c>
      <c r="J20" s="54"/>
      <c r="K20" s="57"/>
      <c r="L20" s="57"/>
      <c r="M20" s="57"/>
      <c r="O20" s="54"/>
      <c r="P20" s="54"/>
      <c r="Q20" s="54"/>
      <c r="R20" s="54"/>
      <c r="S20" s="54"/>
      <c r="T20" s="54"/>
      <c r="U20" s="54"/>
      <c r="V20" s="54"/>
      <c r="W20" s="54"/>
      <c r="X20" s="54"/>
      <c r="Y20" s="54"/>
      <c r="Z20" s="54"/>
      <c r="AA20" s="54"/>
      <c r="AB20" s="54"/>
      <c r="AC20" s="54"/>
      <c r="AD20" s="54"/>
      <c r="AE20" s="54"/>
      <c r="AF20" s="54"/>
      <c r="AG20" s="54"/>
      <c r="AH20" s="54"/>
      <c r="AI20" s="54"/>
      <c r="AJ20" s="54"/>
      <c r="AK20" s="54"/>
      <c r="AL20" s="54"/>
      <c r="AM20" s="54"/>
      <c r="AN20" s="54"/>
      <c r="AO20" s="54"/>
      <c r="AP20" s="54"/>
      <c r="AQ20" s="54"/>
      <c r="AR20" s="54"/>
      <c r="AS20" s="54"/>
      <c r="AT20" s="54"/>
      <c r="AU20" s="54"/>
      <c r="AV20" s="5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54"/>
      <c r="BW20" s="54"/>
      <c r="BX20" s="54"/>
      <c r="BY20" s="54"/>
      <c r="BZ20" s="54"/>
    </row>
    <row r="21" spans="1:78" s="56" customFormat="1" x14ac:dyDescent="0.2">
      <c r="A21" s="54"/>
      <c r="B21" s="57" t="s">
        <v>3</v>
      </c>
      <c r="C21" s="57" t="s">
        <v>4</v>
      </c>
      <c r="D21" s="57" t="s">
        <v>5</v>
      </c>
      <c r="E21" s="57"/>
      <c r="F21" s="57"/>
      <c r="G21" s="57" t="s">
        <v>6</v>
      </c>
      <c r="I21" s="57" t="s">
        <v>6</v>
      </c>
      <c r="J21" s="54"/>
      <c r="K21" s="57"/>
      <c r="L21" s="58"/>
      <c r="M21" s="57"/>
      <c r="O21" s="54"/>
      <c r="P21" s="54"/>
      <c r="Q21" s="54"/>
      <c r="R21" s="54"/>
      <c r="S21" s="54"/>
      <c r="T21" s="54"/>
      <c r="U21" s="54"/>
      <c r="V21" s="54"/>
      <c r="W21" s="54"/>
      <c r="X21" s="54"/>
      <c r="Y21" s="54"/>
      <c r="Z21" s="54"/>
      <c r="AA21" s="54"/>
      <c r="AB21" s="54"/>
      <c r="AC21" s="54"/>
      <c r="AD21" s="54"/>
      <c r="AE21" s="54"/>
      <c r="AF21" s="54"/>
      <c r="AG21" s="54"/>
      <c r="AH21" s="54"/>
      <c r="AI21" s="54"/>
      <c r="AJ21" s="54"/>
      <c r="AK21" s="54"/>
      <c r="AL21" s="54"/>
      <c r="AM21" s="54"/>
      <c r="AN21" s="54"/>
      <c r="AO21" s="54"/>
      <c r="AP21" s="54"/>
      <c r="AQ21" s="54"/>
      <c r="AR21" s="54"/>
      <c r="AS21" s="54"/>
      <c r="AT21" s="54"/>
      <c r="AU21" s="54"/>
      <c r="AV21" s="5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row>
    <row r="22" spans="1:78" s="56" customFormat="1" x14ac:dyDescent="0.2">
      <c r="A22" s="54"/>
      <c r="B22" s="105" cm="1">
        <f t="array" aca="1" ref="B22" ca="1">_xll.GetPrice("FP-PNL-0499","Actual","AssessmentDate", TODAY())</f>
        <v>45639.454722222225</v>
      </c>
      <c r="C22" s="59">
        <f ca="1">YEAR(_LATESTvarPubDate)</f>
        <v>2024</v>
      </c>
      <c r="D22" s="60">
        <f ca="1">MONTH(_LATESTvarPubDate)</f>
        <v>12</v>
      </c>
      <c r="E22" s="60"/>
      <c r="F22" s="60"/>
      <c r="G22" s="104">
        <f ca="1">_xll.GetPrice("FP-PNL-0499","Actual","AssessmentDate",_LATESTvarPubDate-5)</f>
        <v>45632.440127314818</v>
      </c>
      <c r="I22" s="104" cm="1">
        <f t="array" aca="1" ref="I22" ca="1">_xll.GetPrice("FP-PNL-0499","Actual","AssessmentDate",IF(_xll.GetPrice("FP-PNL-0499","Actual","PreliminaryPrice",EDATE(_LATESTvarPubDate,-12)),_xll.GetPrice("FP-PNL-0499","Actual","AssessmentDate",EDATE(_LATESTvarPubDate,-12))-1,_xll.GetPrice("FP-PNL-0499","Actual","AssessmentDate",EDATE(_LATESTvarPubDate,-12))))</f>
        <v>45268.456018518518</v>
      </c>
      <c r="J22" s="54"/>
      <c r="K22" s="61"/>
      <c r="L22" s="61"/>
      <c r="M22" s="62"/>
      <c r="O22" s="54"/>
      <c r="P22" s="54"/>
      <c r="Q22" s="54"/>
      <c r="R22" s="54"/>
      <c r="S22" s="54"/>
      <c r="T22" s="54"/>
      <c r="U22" s="54"/>
      <c r="V22" s="54"/>
      <c r="W22" s="54"/>
      <c r="X22" s="54"/>
      <c r="Y22" s="54"/>
      <c r="Z22" s="54"/>
      <c r="AA22" s="54"/>
      <c r="AB22" s="54"/>
      <c r="AC22" s="54"/>
      <c r="AD22" s="54"/>
      <c r="AE22" s="54"/>
      <c r="AF22" s="54"/>
      <c r="AG22" s="54"/>
      <c r="AH22" s="54"/>
      <c r="AI22" s="54"/>
      <c r="AJ22" s="54"/>
      <c r="AK22" s="54"/>
      <c r="AL22" s="54"/>
      <c r="AM22" s="54"/>
      <c r="AN22" s="54"/>
      <c r="AO22" s="54"/>
      <c r="AP22" s="54"/>
      <c r="AQ22" s="54"/>
      <c r="AR22" s="54"/>
      <c r="AS22" s="54"/>
      <c r="AT22" s="54"/>
      <c r="AU22" s="54"/>
      <c r="AV22" s="54"/>
      <c r="AW22" s="54"/>
      <c r="AX22" s="54"/>
      <c r="AY22" s="54"/>
      <c r="AZ22" s="54"/>
      <c r="BA22" s="54"/>
      <c r="BB22" s="54"/>
      <c r="BC22" s="54"/>
      <c r="BD22" s="54"/>
      <c r="BE22" s="54"/>
      <c r="BF22" s="54"/>
      <c r="BG22" s="54"/>
      <c r="BH22" s="54"/>
      <c r="BI22" s="54"/>
      <c r="BJ22" s="54"/>
      <c r="BK22" s="54"/>
      <c r="BL22" s="54"/>
      <c r="BM22" s="54"/>
      <c r="BN22" s="54"/>
      <c r="BO22" s="54"/>
      <c r="BP22" s="54"/>
      <c r="BQ22" s="54"/>
      <c r="BR22" s="54"/>
      <c r="BS22" s="54"/>
      <c r="BT22" s="54"/>
      <c r="BU22" s="54"/>
      <c r="BV22" s="54"/>
      <c r="BW22" s="54"/>
      <c r="BX22" s="54"/>
      <c r="BY22" s="54"/>
      <c r="BZ22" s="54"/>
    </row>
    <row r="23" spans="1:78" s="56" customFormat="1" x14ac:dyDescent="0.2">
      <c r="A23" s="54"/>
      <c r="B23" s="63"/>
      <c r="C23" s="59"/>
      <c r="D23" s="59"/>
      <c r="E23" s="59"/>
      <c r="F23" s="59"/>
      <c r="G23" s="54"/>
      <c r="H23" s="54"/>
      <c r="I23" s="54"/>
      <c r="J23" s="54"/>
      <c r="K23" s="54"/>
      <c r="L23" s="54"/>
      <c r="M23" s="54"/>
      <c r="N23" s="54"/>
      <c r="O23" s="54"/>
      <c r="P23" s="54"/>
      <c r="Q23" s="54"/>
      <c r="R23" s="54"/>
      <c r="S23" s="54"/>
      <c r="T23" s="54"/>
      <c r="U23" s="54"/>
      <c r="V23" s="54"/>
      <c r="W23" s="54"/>
      <c r="X23" s="54"/>
      <c r="Y23" s="54"/>
      <c r="Z23" s="54"/>
      <c r="AA23" s="54"/>
      <c r="AB23" s="54"/>
      <c r="AC23" s="54"/>
      <c r="AD23" s="54"/>
      <c r="AE23" s="54"/>
      <c r="AF23" s="54"/>
      <c r="AG23" s="54"/>
      <c r="AH23" s="54"/>
      <c r="AI23" s="54"/>
      <c r="AJ23" s="54"/>
      <c r="AK23" s="54"/>
      <c r="AL23" s="54"/>
      <c r="AM23" s="54"/>
      <c r="AN23" s="54"/>
      <c r="AO23" s="54"/>
      <c r="AP23" s="54"/>
      <c r="AQ23" s="54"/>
      <c r="AR23" s="54"/>
      <c r="AS23" s="54"/>
      <c r="AT23" s="54"/>
      <c r="AU23" s="54"/>
      <c r="AV23" s="54"/>
      <c r="AW23" s="54"/>
      <c r="AX23" s="54"/>
      <c r="AY23" s="54"/>
      <c r="AZ23" s="54"/>
      <c r="BA23" s="54"/>
      <c r="BB23" s="54"/>
      <c r="BC23" s="54"/>
      <c r="BD23" s="54"/>
      <c r="BE23" s="54"/>
      <c r="BF23" s="54"/>
      <c r="BG23" s="54"/>
      <c r="BH23" s="54"/>
      <c r="BI23" s="54"/>
      <c r="BJ23" s="54"/>
      <c r="BK23" s="54"/>
      <c r="BL23" s="54"/>
      <c r="BM23" s="54"/>
      <c r="BN23" s="54"/>
      <c r="BO23" s="54"/>
      <c r="BP23" s="54"/>
      <c r="BQ23" s="54"/>
      <c r="BR23" s="54"/>
      <c r="BS23" s="54"/>
      <c r="BT23" s="54"/>
      <c r="BU23" s="54"/>
      <c r="BV23" s="54"/>
      <c r="BW23" s="54"/>
      <c r="BX23" s="54"/>
      <c r="BY23" s="54"/>
      <c r="BZ23" s="54"/>
    </row>
    <row r="24" spans="1:78" s="56" customFormat="1" x14ac:dyDescent="0.2">
      <c r="A24" s="54"/>
      <c r="B24" s="64"/>
      <c r="C24" s="54"/>
      <c r="D24" s="54"/>
      <c r="E24" s="54"/>
      <c r="F24" s="54"/>
      <c r="G24" s="54"/>
      <c r="H24" s="54"/>
      <c r="I24" s="54"/>
      <c r="J24" s="54"/>
      <c r="K24" s="54"/>
      <c r="L24" s="65"/>
      <c r="M24" s="54"/>
      <c r="N24" s="54"/>
      <c r="O24" s="54"/>
      <c r="P24" s="54"/>
      <c r="Q24" s="54"/>
      <c r="R24" s="54"/>
      <c r="S24" s="54"/>
      <c r="T24" s="54"/>
      <c r="U24" s="54"/>
      <c r="V24" s="54"/>
      <c r="W24" s="54"/>
      <c r="X24" s="54"/>
      <c r="Y24" s="54"/>
      <c r="Z24" s="54"/>
      <c r="AA24" s="54"/>
      <c r="AB24" s="54"/>
      <c r="AC24" s="54"/>
      <c r="AD24" s="54"/>
      <c r="AE24" s="54"/>
      <c r="AF24" s="54"/>
      <c r="AG24" s="54"/>
      <c r="AH24" s="54"/>
      <c r="AI24" s="54"/>
      <c r="AJ24" s="54"/>
      <c r="AK24" s="54"/>
      <c r="AL24" s="54"/>
      <c r="AM24" s="54"/>
      <c r="AN24" s="54"/>
      <c r="AO24" s="54"/>
      <c r="AP24" s="54"/>
      <c r="AQ24" s="54"/>
      <c r="AR24" s="54"/>
      <c r="AS24" s="54"/>
      <c r="AT24" s="54"/>
      <c r="AU24" s="54"/>
      <c r="AV24" s="54"/>
      <c r="AW24" s="54"/>
      <c r="AX24" s="54"/>
      <c r="AY24" s="54"/>
      <c r="AZ24" s="54"/>
      <c r="BA24" s="54"/>
      <c r="BB24" s="54"/>
      <c r="BC24" s="54"/>
      <c r="BD24" s="54"/>
      <c r="BE24" s="54"/>
      <c r="BF24" s="54"/>
      <c r="BG24" s="54"/>
      <c r="BH24" s="54"/>
      <c r="BI24" s="54"/>
      <c r="BJ24" s="54"/>
      <c r="BK24" s="54"/>
      <c r="BL24" s="54"/>
      <c r="BM24" s="54"/>
      <c r="BN24" s="54"/>
      <c r="BO24" s="54"/>
      <c r="BP24" s="54"/>
      <c r="BQ24" s="54"/>
      <c r="BR24" s="54"/>
      <c r="BS24" s="54"/>
      <c r="BT24" s="54"/>
      <c r="BU24" s="54"/>
      <c r="BV24" s="54"/>
      <c r="BW24" s="54"/>
      <c r="BX24" s="54"/>
      <c r="BY24" s="54"/>
      <c r="BZ24" s="54"/>
    </row>
    <row r="25" spans="1:78" s="56" customFormat="1" x14ac:dyDescent="0.2">
      <c r="A25" s="54"/>
      <c r="B25" s="54"/>
      <c r="C25" s="54"/>
      <c r="D25" s="54"/>
      <c r="E25" s="54"/>
      <c r="F25" s="54"/>
      <c r="G25" s="54"/>
      <c r="H25" s="54"/>
      <c r="I25" s="54"/>
      <c r="J25" s="54"/>
      <c r="K25" s="54"/>
      <c r="L25" s="54"/>
      <c r="M25" s="54"/>
      <c r="N25" s="54"/>
      <c r="O25" s="54"/>
      <c r="P25" s="54"/>
      <c r="Q25" s="54"/>
      <c r="R25" s="54"/>
      <c r="S25" s="54"/>
      <c r="T25" s="54"/>
      <c r="U25" s="54"/>
      <c r="V25" s="54"/>
      <c r="W25" s="54"/>
      <c r="X25" s="54"/>
      <c r="Y25" s="54"/>
      <c r="Z25" s="54"/>
      <c r="AA25" s="54"/>
      <c r="AB25" s="54"/>
      <c r="AC25" s="54"/>
      <c r="AD25" s="54"/>
      <c r="AE25" s="54"/>
      <c r="AF25" s="54"/>
      <c r="AG25" s="54"/>
      <c r="AH25" s="54"/>
      <c r="AI25" s="54"/>
      <c r="AJ25" s="54"/>
      <c r="AK25" s="54"/>
      <c r="AL25" s="54"/>
      <c r="AM25" s="54"/>
      <c r="AN25" s="54"/>
      <c r="AO25" s="54"/>
      <c r="AP25" s="54"/>
      <c r="AQ25" s="54"/>
      <c r="AR25" s="54"/>
      <c r="AS25" s="54"/>
      <c r="AT25" s="54"/>
      <c r="AU25" s="54"/>
      <c r="AV25" s="54"/>
      <c r="AW25" s="54"/>
      <c r="AX25" s="54"/>
      <c r="AY25" s="54"/>
      <c r="AZ25" s="54"/>
      <c r="BA25" s="54"/>
      <c r="BB25" s="54"/>
      <c r="BC25" s="54"/>
      <c r="BD25" s="54"/>
      <c r="BE25" s="54"/>
      <c r="BF25" s="54"/>
      <c r="BG25" s="54"/>
      <c r="BH25" s="54"/>
      <c r="BI25" s="54"/>
      <c r="BJ25" s="54"/>
      <c r="BK25" s="54"/>
      <c r="BL25" s="54"/>
      <c r="BM25" s="54"/>
      <c r="BN25" s="54"/>
      <c r="BO25" s="54"/>
      <c r="BP25" s="54"/>
      <c r="BQ25" s="54"/>
      <c r="BR25" s="54"/>
      <c r="BS25" s="54"/>
      <c r="BT25" s="54"/>
      <c r="BU25" s="54"/>
      <c r="BV25" s="54"/>
      <c r="BW25" s="54"/>
      <c r="BX25" s="54"/>
      <c r="BY25" s="54"/>
      <c r="BZ25" s="54"/>
    </row>
    <row r="26" spans="1:78" s="56" customFormat="1" x14ac:dyDescent="0.2">
      <c r="A26" s="54"/>
      <c r="B26" s="54"/>
      <c r="C26" s="54"/>
      <c r="D26" s="54"/>
      <c r="E26" s="54"/>
      <c r="F26" s="54"/>
      <c r="G26" s="54"/>
      <c r="H26" s="54"/>
      <c r="I26" s="54"/>
      <c r="J26" s="54"/>
      <c r="K26" s="54"/>
      <c r="L26" s="54"/>
      <c r="M26" s="54"/>
      <c r="N26" s="54"/>
      <c r="O26" s="54"/>
      <c r="P26" s="54"/>
      <c r="Q26" s="54"/>
      <c r="R26" s="54"/>
      <c r="S26" s="54"/>
      <c r="T26" s="54"/>
      <c r="U26" s="54"/>
      <c r="V26" s="54"/>
      <c r="W26" s="54"/>
      <c r="X26" s="54"/>
      <c r="Y26" s="54"/>
      <c r="Z26" s="54"/>
      <c r="AA26" s="54"/>
      <c r="AB26" s="54"/>
      <c r="AC26" s="54"/>
      <c r="AD26" s="54"/>
      <c r="AE26" s="54"/>
      <c r="AF26" s="54"/>
      <c r="AG26" s="54"/>
      <c r="AH26" s="54"/>
      <c r="AI26" s="54"/>
      <c r="AJ26" s="54"/>
      <c r="AK26" s="54"/>
      <c r="AL26" s="54"/>
      <c r="AM26" s="54"/>
      <c r="AN26" s="54"/>
      <c r="AO26" s="54"/>
      <c r="AP26" s="54"/>
      <c r="AQ26" s="54"/>
      <c r="AR26" s="54"/>
      <c r="AS26" s="54"/>
      <c r="AT26" s="54"/>
      <c r="AU26" s="54"/>
      <c r="AV26" s="54"/>
      <c r="AW26" s="54"/>
      <c r="AX26" s="54"/>
      <c r="AY26" s="54"/>
      <c r="AZ26" s="54"/>
      <c r="BA26" s="54"/>
      <c r="BB26" s="54"/>
      <c r="BC26" s="54"/>
      <c r="BD26" s="54"/>
      <c r="BE26" s="54"/>
      <c r="BF26" s="54"/>
      <c r="BG26" s="54"/>
      <c r="BH26" s="54"/>
      <c r="BI26" s="54"/>
      <c r="BJ26" s="54"/>
      <c r="BK26" s="54"/>
      <c r="BL26" s="54"/>
      <c r="BM26" s="54"/>
      <c r="BN26" s="54"/>
      <c r="BO26" s="54"/>
      <c r="BP26" s="54"/>
      <c r="BQ26" s="54"/>
      <c r="BR26" s="54"/>
      <c r="BS26" s="54"/>
      <c r="BT26" s="54"/>
      <c r="BU26" s="54"/>
      <c r="BV26" s="54"/>
      <c r="BW26" s="54"/>
      <c r="BX26" s="54"/>
      <c r="BY26" s="54"/>
      <c r="BZ26" s="54"/>
    </row>
    <row r="27" spans="1:78" s="56" customFormat="1" x14ac:dyDescent="0.2">
      <c r="A27" s="54"/>
      <c r="B27" s="54"/>
      <c r="C27" s="54"/>
      <c r="D27" s="54"/>
      <c r="E27" s="54"/>
      <c r="F27" s="54"/>
      <c r="G27" s="54"/>
      <c r="H27" s="54"/>
      <c r="I27" s="54"/>
      <c r="J27" s="54"/>
      <c r="K27" s="54"/>
      <c r="L27" s="54"/>
      <c r="M27" s="54"/>
      <c r="N27" s="54"/>
      <c r="O27" s="54"/>
      <c r="P27" s="54"/>
      <c r="Q27" s="54"/>
      <c r="R27" s="54"/>
      <c r="S27" s="54"/>
      <c r="T27" s="54"/>
      <c r="U27" s="54"/>
      <c r="V27" s="54"/>
      <c r="W27" s="54"/>
      <c r="X27" s="54"/>
      <c r="Y27" s="54"/>
      <c r="Z27" s="54"/>
      <c r="AA27" s="54"/>
      <c r="AB27" s="54"/>
      <c r="AC27" s="54"/>
      <c r="AD27" s="54"/>
      <c r="AE27" s="54"/>
      <c r="AF27" s="54"/>
      <c r="AG27" s="54"/>
      <c r="AH27" s="54"/>
      <c r="AI27" s="54"/>
      <c r="AJ27" s="54"/>
      <c r="AK27" s="54"/>
      <c r="AL27" s="54"/>
      <c r="AM27" s="54"/>
      <c r="AN27" s="54"/>
      <c r="AO27" s="54"/>
      <c r="AP27" s="54"/>
      <c r="AQ27" s="54"/>
      <c r="AR27" s="54"/>
      <c r="AS27" s="54"/>
      <c r="AT27" s="54"/>
      <c r="AU27" s="54"/>
      <c r="AV27" s="54"/>
      <c r="AW27" s="54"/>
      <c r="AX27" s="54"/>
      <c r="AY27" s="54"/>
      <c r="AZ27" s="54"/>
      <c r="BA27" s="54"/>
      <c r="BB27" s="54"/>
      <c r="BC27" s="54"/>
      <c r="BD27" s="54"/>
      <c r="BE27" s="54"/>
      <c r="BF27" s="54"/>
      <c r="BG27" s="54"/>
      <c r="BH27" s="54"/>
      <c r="BI27" s="54"/>
      <c r="BJ27" s="54"/>
      <c r="BK27" s="54"/>
      <c r="BL27" s="54"/>
      <c r="BM27" s="54"/>
      <c r="BN27" s="54"/>
      <c r="BO27" s="54"/>
      <c r="BP27" s="54"/>
      <c r="BQ27" s="54"/>
      <c r="BR27" s="54"/>
      <c r="BS27" s="54"/>
      <c r="BT27" s="54"/>
      <c r="BU27" s="54"/>
      <c r="BV27" s="54"/>
      <c r="BW27" s="54"/>
      <c r="BX27" s="54"/>
      <c r="BY27" s="54"/>
      <c r="BZ27" s="54"/>
    </row>
    <row r="28" spans="1:78" s="56" customFormat="1" x14ac:dyDescent="0.2">
      <c r="A28" s="54"/>
      <c r="I28" s="54"/>
      <c r="J28" s="54"/>
      <c r="K28" s="54"/>
      <c r="L28" s="54"/>
      <c r="M28" s="54"/>
      <c r="N28" s="54"/>
      <c r="O28" s="54"/>
      <c r="P28" s="54"/>
      <c r="Q28" s="54"/>
      <c r="R28" s="54"/>
      <c r="S28" s="54"/>
      <c r="T28" s="54"/>
      <c r="U28" s="54"/>
      <c r="V28" s="54"/>
      <c r="W28" s="54"/>
      <c r="X28" s="54"/>
      <c r="Y28" s="54"/>
      <c r="Z28" s="54"/>
      <c r="AA28" s="54"/>
      <c r="AB28" s="54"/>
      <c r="AC28" s="54"/>
      <c r="AD28" s="54"/>
      <c r="AE28" s="54"/>
      <c r="AF28" s="54"/>
      <c r="AG28" s="54"/>
      <c r="AH28" s="54"/>
      <c r="AI28" s="54"/>
      <c r="AJ28" s="54"/>
      <c r="AK28" s="54"/>
      <c r="AL28" s="54"/>
      <c r="AM28" s="54"/>
      <c r="AN28" s="54"/>
      <c r="AO28" s="54"/>
      <c r="AP28" s="54"/>
      <c r="AQ28" s="54"/>
      <c r="AR28" s="54"/>
      <c r="AS28" s="54"/>
      <c r="AT28" s="54"/>
      <c r="AU28" s="54"/>
      <c r="AV28" s="54"/>
      <c r="AW28" s="54"/>
      <c r="AX28" s="54"/>
      <c r="AY28" s="54"/>
      <c r="AZ28" s="54"/>
      <c r="BA28" s="54"/>
      <c r="BB28" s="54"/>
      <c r="BC28" s="54"/>
      <c r="BD28" s="54"/>
      <c r="BE28" s="54"/>
      <c r="BF28" s="54"/>
      <c r="BG28" s="54"/>
      <c r="BH28" s="54"/>
      <c r="BI28" s="54"/>
      <c r="BJ28" s="54"/>
      <c r="BK28" s="54"/>
      <c r="BL28" s="54"/>
      <c r="BM28" s="54"/>
      <c r="BN28" s="54"/>
      <c r="BO28" s="54"/>
      <c r="BP28" s="54"/>
      <c r="BQ28" s="54"/>
      <c r="BR28" s="54"/>
      <c r="BS28" s="54"/>
      <c r="BT28" s="54"/>
      <c r="BU28" s="54"/>
      <c r="BV28" s="54"/>
      <c r="BW28" s="54"/>
      <c r="BX28" s="54"/>
      <c r="BY28" s="54"/>
      <c r="BZ28" s="54"/>
    </row>
    <row r="29" spans="1:78" s="56" customFormat="1" x14ac:dyDescent="0.2">
      <c r="A29" s="54"/>
      <c r="B29" s="54"/>
      <c r="C29" s="54"/>
      <c r="D29" s="54"/>
      <c r="E29" s="54"/>
      <c r="F29" s="54"/>
      <c r="G29" s="54"/>
      <c r="H29" s="54"/>
      <c r="I29" s="54"/>
      <c r="J29" s="54"/>
      <c r="K29" s="54"/>
      <c r="L29" s="54"/>
      <c r="M29" s="54"/>
      <c r="N29" s="54"/>
      <c r="O29" s="54"/>
      <c r="P29" s="54"/>
      <c r="Q29" s="54"/>
      <c r="R29" s="54"/>
      <c r="S29" s="54"/>
      <c r="T29" s="54"/>
      <c r="U29" s="54"/>
      <c r="V29" s="54"/>
      <c r="W29" s="54"/>
      <c r="X29" s="54"/>
      <c r="Y29" s="54"/>
      <c r="Z29" s="54"/>
      <c r="AA29" s="54"/>
      <c r="AB29" s="54"/>
      <c r="AC29" s="54"/>
      <c r="AD29" s="54"/>
      <c r="AE29" s="54"/>
      <c r="AF29" s="54"/>
      <c r="AG29" s="54"/>
      <c r="AH29" s="54"/>
      <c r="AI29" s="54"/>
      <c r="AJ29" s="54"/>
      <c r="AK29" s="54"/>
      <c r="AL29" s="54"/>
      <c r="AM29" s="54"/>
      <c r="AN29" s="54"/>
      <c r="AO29" s="54"/>
      <c r="AP29" s="54"/>
      <c r="AQ29" s="54"/>
      <c r="AR29" s="54"/>
      <c r="AS29" s="54"/>
      <c r="AT29" s="54"/>
      <c r="AU29" s="54"/>
      <c r="AV29" s="54"/>
      <c r="AW29" s="54"/>
      <c r="AX29" s="54"/>
      <c r="AY29" s="54"/>
      <c r="AZ29" s="54"/>
      <c r="BA29" s="54"/>
      <c r="BB29" s="54"/>
      <c r="BC29" s="54"/>
      <c r="BD29" s="54"/>
      <c r="BE29" s="54"/>
      <c r="BF29" s="54"/>
      <c r="BG29" s="54"/>
      <c r="BH29" s="54"/>
      <c r="BI29" s="54"/>
      <c r="BJ29" s="54"/>
      <c r="BK29" s="54"/>
      <c r="BL29" s="54"/>
      <c r="BM29" s="54"/>
      <c r="BN29" s="54"/>
      <c r="BO29" s="54"/>
      <c r="BP29" s="54"/>
      <c r="BQ29" s="54"/>
      <c r="BR29" s="54"/>
      <c r="BS29" s="54"/>
      <c r="BT29" s="54"/>
      <c r="BU29" s="54"/>
      <c r="BV29" s="54"/>
      <c r="BW29" s="54"/>
      <c r="BX29" s="54"/>
      <c r="BY29" s="54"/>
      <c r="BZ29" s="54"/>
    </row>
    <row r="30" spans="1:78" s="56" customFormat="1" x14ac:dyDescent="0.2">
      <c r="A30" s="66"/>
      <c r="B30" s="66"/>
      <c r="C30" s="66"/>
      <c r="D30" s="66"/>
      <c r="E30" s="66"/>
      <c r="F30" s="66"/>
      <c r="G30" s="66"/>
      <c r="H30" s="66"/>
      <c r="I30" s="66"/>
      <c r="J30" s="66"/>
      <c r="K30" s="66"/>
      <c r="L30" s="54"/>
      <c r="M30" s="54"/>
      <c r="N30" s="54"/>
      <c r="O30" s="54"/>
      <c r="P30" s="54"/>
      <c r="Q30" s="54"/>
      <c r="R30" s="54"/>
      <c r="S30" s="54"/>
      <c r="T30" s="54"/>
      <c r="U30" s="54"/>
      <c r="V30" s="54"/>
      <c r="W30" s="54"/>
      <c r="X30" s="54"/>
      <c r="Y30" s="54"/>
      <c r="Z30" s="54"/>
      <c r="AA30" s="54"/>
      <c r="AB30" s="54"/>
      <c r="AC30" s="54"/>
      <c r="AD30" s="54"/>
      <c r="AE30" s="54"/>
      <c r="AF30" s="54"/>
      <c r="AG30" s="54"/>
      <c r="AH30" s="54"/>
      <c r="AI30" s="54"/>
      <c r="AJ30" s="54"/>
      <c r="AK30" s="54"/>
      <c r="AL30" s="54"/>
      <c r="AM30" s="54"/>
      <c r="AN30" s="54"/>
      <c r="AO30" s="54"/>
      <c r="AP30" s="54"/>
      <c r="AQ30" s="54"/>
      <c r="AR30" s="54"/>
      <c r="AS30" s="54"/>
      <c r="AT30" s="54"/>
      <c r="AU30" s="54"/>
      <c r="AV30" s="54"/>
      <c r="AW30" s="54"/>
      <c r="AX30" s="54"/>
      <c r="AY30" s="54"/>
      <c r="AZ30" s="54"/>
      <c r="BA30" s="54"/>
      <c r="BB30" s="54"/>
      <c r="BC30" s="54"/>
      <c r="BD30" s="54"/>
      <c r="BE30" s="54"/>
      <c r="BF30" s="54"/>
      <c r="BG30" s="54"/>
      <c r="BH30" s="54"/>
      <c r="BI30" s="54"/>
      <c r="BJ30" s="54"/>
      <c r="BK30" s="54"/>
      <c r="BL30" s="54"/>
      <c r="BM30" s="54"/>
      <c r="BN30" s="54"/>
      <c r="BO30" s="54"/>
      <c r="BP30" s="54"/>
      <c r="BQ30" s="54"/>
      <c r="BR30" s="54"/>
      <c r="BS30" s="54"/>
      <c r="BT30" s="54"/>
      <c r="BU30" s="54"/>
      <c r="BV30" s="54"/>
      <c r="BW30" s="54"/>
      <c r="BX30" s="54"/>
      <c r="BY30" s="54"/>
      <c r="BZ30" s="54"/>
    </row>
    <row r="31" spans="1:78" s="56" customFormat="1" x14ac:dyDescent="0.2">
      <c r="A31" s="66"/>
      <c r="B31" s="66"/>
      <c r="C31" s="66"/>
      <c r="D31" s="66"/>
      <c r="E31" s="66"/>
      <c r="F31" s="66"/>
      <c r="G31" s="66"/>
      <c r="H31" s="66"/>
      <c r="I31" s="66"/>
      <c r="J31" s="66"/>
      <c r="K31" s="66"/>
      <c r="L31" s="54"/>
      <c r="M31" s="54"/>
      <c r="N31" s="54"/>
      <c r="O31" s="54"/>
      <c r="P31" s="54"/>
      <c r="Q31" s="54"/>
      <c r="R31" s="54"/>
      <c r="S31" s="54"/>
      <c r="T31" s="54"/>
      <c r="U31" s="54"/>
      <c r="V31" s="54"/>
      <c r="W31" s="54"/>
      <c r="X31" s="54"/>
      <c r="Y31" s="54"/>
      <c r="Z31" s="54"/>
      <c r="AA31" s="54"/>
      <c r="AB31" s="54"/>
      <c r="AC31" s="54"/>
      <c r="AD31" s="54"/>
      <c r="AE31" s="54"/>
      <c r="AF31" s="54"/>
      <c r="AG31" s="54"/>
      <c r="AH31" s="54"/>
      <c r="AI31" s="54"/>
      <c r="AJ31" s="54"/>
      <c r="AK31" s="54"/>
      <c r="AL31" s="54"/>
      <c r="AM31" s="54"/>
      <c r="AN31" s="54"/>
      <c r="AO31" s="54"/>
      <c r="AP31" s="54"/>
      <c r="AQ31" s="54"/>
      <c r="AR31" s="54"/>
      <c r="AS31" s="54"/>
      <c r="AT31" s="54"/>
      <c r="AU31" s="54"/>
      <c r="AV31" s="54"/>
      <c r="AW31" s="54"/>
      <c r="AX31" s="54"/>
      <c r="AY31" s="54"/>
      <c r="AZ31" s="54"/>
      <c r="BA31" s="54"/>
      <c r="BB31" s="54"/>
      <c r="BC31" s="54"/>
      <c r="BD31" s="54"/>
      <c r="BE31" s="54"/>
      <c r="BF31" s="54"/>
      <c r="BG31" s="54"/>
      <c r="BH31" s="54"/>
      <c r="BI31" s="54"/>
      <c r="BJ31" s="54"/>
      <c r="BK31" s="54"/>
      <c r="BL31" s="54"/>
      <c r="BM31" s="54"/>
      <c r="BN31" s="54"/>
      <c r="BO31" s="54"/>
      <c r="BP31" s="54"/>
      <c r="BQ31" s="54"/>
      <c r="BR31" s="54"/>
      <c r="BS31" s="54"/>
      <c r="BT31" s="54"/>
      <c r="BU31" s="54"/>
      <c r="BV31" s="54"/>
      <c r="BW31" s="54"/>
      <c r="BX31" s="54"/>
      <c r="BY31" s="54"/>
      <c r="BZ31" s="54"/>
    </row>
    <row r="32" spans="1:78" s="56" customFormat="1" x14ac:dyDescent="0.2">
      <c r="A32" s="66"/>
      <c r="B32" s="66"/>
      <c r="C32" s="66"/>
      <c r="D32" s="66"/>
      <c r="E32" s="66"/>
      <c r="F32" s="66"/>
      <c r="G32" s="66"/>
      <c r="H32" s="66"/>
      <c r="I32" s="66"/>
      <c r="J32" s="66"/>
      <c r="K32" s="66"/>
      <c r="L32" s="54"/>
      <c r="M32" s="54"/>
      <c r="N32" s="54"/>
      <c r="O32" s="54"/>
      <c r="P32" s="54"/>
      <c r="Q32" s="54"/>
      <c r="R32" s="54"/>
      <c r="S32" s="54"/>
      <c r="T32" s="54"/>
      <c r="U32" s="54"/>
      <c r="V32" s="54"/>
      <c r="W32" s="54"/>
      <c r="X32" s="54"/>
      <c r="Y32" s="54"/>
      <c r="Z32" s="54"/>
      <c r="AA32" s="54"/>
      <c r="AB32" s="54"/>
      <c r="AC32" s="54"/>
      <c r="AD32" s="54"/>
      <c r="AE32" s="54"/>
      <c r="AF32" s="54"/>
      <c r="AG32" s="54"/>
      <c r="AH32" s="54"/>
      <c r="AI32" s="54"/>
      <c r="AJ32" s="54"/>
      <c r="AK32" s="54"/>
      <c r="AL32" s="54"/>
      <c r="AM32" s="54"/>
      <c r="AN32" s="54"/>
      <c r="AO32" s="54"/>
      <c r="AP32" s="54"/>
      <c r="AQ32" s="54"/>
      <c r="AR32" s="54"/>
      <c r="AS32" s="54"/>
      <c r="AT32" s="54"/>
      <c r="AU32" s="54"/>
      <c r="AV32" s="54"/>
      <c r="AW32" s="54"/>
      <c r="AX32" s="54"/>
      <c r="AY32" s="54"/>
      <c r="AZ32" s="54"/>
      <c r="BA32" s="54"/>
      <c r="BB32" s="54"/>
      <c r="BC32" s="54"/>
      <c r="BD32" s="54"/>
      <c r="BE32" s="54"/>
      <c r="BF32" s="54"/>
      <c r="BG32" s="54"/>
      <c r="BH32" s="54"/>
      <c r="BI32" s="54"/>
      <c r="BJ32" s="54"/>
      <c r="BK32" s="54"/>
      <c r="BL32" s="54"/>
      <c r="BM32" s="54"/>
      <c r="BN32" s="54"/>
      <c r="BO32" s="54"/>
      <c r="BP32" s="54"/>
      <c r="BQ32" s="54"/>
      <c r="BR32" s="54"/>
      <c r="BS32" s="54"/>
      <c r="BT32" s="54"/>
      <c r="BU32" s="54"/>
      <c r="BV32" s="54"/>
      <c r="BW32" s="54"/>
      <c r="BX32" s="54"/>
      <c r="BY32" s="54"/>
      <c r="BZ32" s="54"/>
    </row>
    <row r="33" spans="1:78" s="56" customFormat="1" x14ac:dyDescent="0.2">
      <c r="A33" s="66"/>
      <c r="B33" s="66"/>
      <c r="C33" s="66"/>
      <c r="D33" s="66"/>
      <c r="E33" s="66"/>
      <c r="F33" s="66"/>
      <c r="G33" s="66"/>
      <c r="H33" s="66"/>
      <c r="I33" s="66"/>
      <c r="J33" s="66"/>
      <c r="K33" s="66"/>
      <c r="L33" s="54"/>
      <c r="M33" s="54"/>
      <c r="N33" s="54"/>
      <c r="O33" s="54"/>
      <c r="P33" s="54"/>
      <c r="Q33" s="54"/>
      <c r="R33" s="54"/>
      <c r="S33" s="54"/>
      <c r="T33" s="54"/>
      <c r="U33" s="54"/>
      <c r="V33" s="54"/>
      <c r="W33" s="54"/>
      <c r="X33" s="54"/>
      <c r="Y33" s="54"/>
      <c r="Z33" s="54"/>
      <c r="AA33" s="54"/>
      <c r="AB33" s="54"/>
      <c r="AC33" s="54"/>
      <c r="AD33" s="54"/>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row>
    <row r="34" spans="1:78" s="56" customFormat="1" x14ac:dyDescent="0.2">
      <c r="A34" s="66"/>
      <c r="B34" s="66"/>
      <c r="C34" s="66"/>
      <c r="D34" s="66"/>
      <c r="E34" s="66"/>
      <c r="F34" s="66"/>
      <c r="G34" s="66"/>
      <c r="H34" s="66"/>
      <c r="I34" s="66"/>
      <c r="J34" s="66"/>
      <c r="K34" s="66"/>
      <c r="L34" s="54"/>
      <c r="M34" s="54"/>
      <c r="N34" s="54"/>
      <c r="O34" s="54"/>
      <c r="P34" s="54"/>
      <c r="Q34" s="54"/>
      <c r="R34" s="54"/>
      <c r="S34" s="54"/>
      <c r="T34" s="54"/>
      <c r="U34" s="54"/>
      <c r="V34" s="54"/>
      <c r="W34" s="54"/>
      <c r="X34" s="54"/>
      <c r="Y34" s="54"/>
      <c r="Z34" s="54"/>
      <c r="AA34" s="54"/>
      <c r="AB34" s="54"/>
      <c r="AC34" s="54"/>
      <c r="AD34" s="54"/>
      <c r="AE34" s="54"/>
      <c r="AF34" s="54"/>
      <c r="AG34" s="54"/>
      <c r="AH34" s="54"/>
      <c r="AI34" s="54"/>
      <c r="AJ34" s="54"/>
      <c r="AK34" s="54"/>
      <c r="AL34" s="54"/>
      <c r="AM34" s="54"/>
      <c r="AN34" s="54"/>
      <c r="AO34" s="54"/>
      <c r="AP34" s="54"/>
      <c r="AQ34" s="54"/>
      <c r="AR34" s="54"/>
      <c r="AS34" s="54"/>
      <c r="AT34" s="54"/>
      <c r="AU34" s="54"/>
      <c r="AV34" s="54"/>
      <c r="AW34" s="54"/>
      <c r="AX34" s="54"/>
      <c r="AY34" s="54"/>
      <c r="AZ34" s="54"/>
      <c r="BA34" s="54"/>
      <c r="BB34" s="54"/>
      <c r="BC34" s="54"/>
      <c r="BD34" s="54"/>
      <c r="BE34" s="54"/>
      <c r="BF34" s="54"/>
      <c r="BG34" s="54"/>
      <c r="BH34" s="54"/>
      <c r="BI34" s="54"/>
      <c r="BJ34" s="54"/>
      <c r="BK34" s="54"/>
      <c r="BL34" s="54"/>
      <c r="BM34" s="54"/>
      <c r="BN34" s="54"/>
      <c r="BO34" s="54"/>
      <c r="BP34" s="54"/>
      <c r="BQ34" s="54"/>
      <c r="BR34" s="54"/>
      <c r="BS34" s="54"/>
      <c r="BT34" s="54"/>
      <c r="BU34" s="54"/>
      <c r="BV34" s="54"/>
      <c r="BW34" s="54"/>
      <c r="BX34" s="54"/>
      <c r="BY34" s="54"/>
      <c r="BZ34" s="54"/>
    </row>
    <row r="35" spans="1:78" s="56" customFormat="1" x14ac:dyDescent="0.2">
      <c r="A35" s="66"/>
      <c r="B35" s="66"/>
      <c r="C35" s="66"/>
      <c r="D35" s="66"/>
      <c r="E35" s="66"/>
      <c r="F35" s="66"/>
      <c r="G35" s="66"/>
      <c r="H35" s="66"/>
      <c r="I35" s="66"/>
      <c r="J35" s="66"/>
      <c r="K35" s="66"/>
      <c r="L35" s="54"/>
      <c r="M35" s="54"/>
      <c r="N35" s="54"/>
      <c r="O35" s="54"/>
      <c r="P35" s="54"/>
      <c r="Q35" s="54"/>
      <c r="R35" s="54"/>
      <c r="S35" s="54"/>
      <c r="T35" s="54"/>
      <c r="U35" s="54"/>
      <c r="V35" s="54"/>
      <c r="W35" s="54"/>
      <c r="X35" s="54"/>
      <c r="Y35" s="54"/>
      <c r="Z35" s="54"/>
      <c r="AA35" s="54"/>
      <c r="AB35" s="54"/>
      <c r="AC35" s="54"/>
      <c r="AD35" s="54"/>
      <c r="AE35" s="54"/>
      <c r="AF35" s="54"/>
      <c r="AG35" s="54"/>
      <c r="AH35" s="54"/>
      <c r="AI35" s="54"/>
      <c r="AJ35" s="54"/>
      <c r="AK35" s="54"/>
      <c r="AL35" s="54"/>
      <c r="AM35" s="54"/>
      <c r="AN35" s="54"/>
      <c r="AO35" s="54"/>
      <c r="AP35" s="54"/>
      <c r="AQ35" s="54"/>
      <c r="AR35" s="54"/>
      <c r="AS35" s="54"/>
      <c r="AT35" s="54"/>
      <c r="AU35" s="54"/>
      <c r="AV35" s="54"/>
      <c r="AW35" s="54"/>
      <c r="AX35" s="54"/>
      <c r="AY35" s="54"/>
      <c r="AZ35" s="54"/>
      <c r="BA35" s="54"/>
      <c r="BB35" s="54"/>
      <c r="BC35" s="54"/>
      <c r="BD35" s="54"/>
      <c r="BE35" s="54"/>
      <c r="BF35" s="54"/>
      <c r="BG35" s="54"/>
      <c r="BH35" s="54"/>
      <c r="BI35" s="54"/>
      <c r="BJ35" s="54"/>
      <c r="BK35" s="54"/>
      <c r="BL35" s="54"/>
      <c r="BM35" s="54"/>
      <c r="BN35" s="54"/>
      <c r="BO35" s="54"/>
      <c r="BP35" s="54"/>
      <c r="BQ35" s="54"/>
      <c r="BR35" s="54"/>
      <c r="BS35" s="54"/>
      <c r="BT35" s="54"/>
      <c r="BU35" s="54"/>
      <c r="BV35" s="54"/>
      <c r="BW35" s="54"/>
      <c r="BX35" s="54"/>
      <c r="BY35" s="54"/>
      <c r="BZ35" s="54"/>
    </row>
    <row r="36" spans="1:78" s="56" customFormat="1" x14ac:dyDescent="0.2">
      <c r="A36" s="66"/>
      <c r="B36" s="66"/>
      <c r="C36" s="66"/>
      <c r="D36" s="66"/>
      <c r="E36" s="66"/>
      <c r="F36" s="66"/>
      <c r="G36" s="66"/>
      <c r="H36" s="66"/>
      <c r="I36" s="66"/>
      <c r="J36" s="66"/>
      <c r="K36" s="66"/>
      <c r="L36" s="54"/>
      <c r="M36" s="54"/>
      <c r="N36" s="54"/>
      <c r="O36" s="54"/>
      <c r="P36" s="54"/>
      <c r="Q36" s="54"/>
      <c r="R36" s="54"/>
      <c r="S36" s="54"/>
      <c r="T36" s="54"/>
      <c r="U36" s="54"/>
      <c r="V36" s="54"/>
      <c r="W36" s="54"/>
      <c r="X36" s="54"/>
      <c r="Y36" s="54"/>
      <c r="Z36" s="54"/>
      <c r="AA36" s="54"/>
      <c r="AB36" s="54"/>
      <c r="AC36" s="54"/>
      <c r="AD36" s="54"/>
      <c r="AE36" s="54"/>
      <c r="AF36" s="54"/>
      <c r="AG36" s="54"/>
      <c r="AH36" s="54"/>
      <c r="AI36" s="54"/>
      <c r="AJ36" s="54"/>
      <c r="AK36" s="54"/>
      <c r="AL36" s="54"/>
      <c r="AM36" s="54"/>
      <c r="AN36" s="54"/>
      <c r="AO36" s="54"/>
      <c r="AP36" s="54"/>
      <c r="AQ36" s="54"/>
      <c r="AR36" s="54"/>
      <c r="AS36" s="54"/>
      <c r="AT36" s="54"/>
      <c r="AU36" s="54"/>
      <c r="AV36" s="54"/>
      <c r="AW36" s="54"/>
      <c r="AX36" s="54"/>
      <c r="AY36" s="54"/>
      <c r="AZ36" s="54"/>
      <c r="BA36" s="54"/>
      <c r="BB36" s="54"/>
      <c r="BC36" s="54"/>
      <c r="BD36" s="54"/>
      <c r="BE36" s="54"/>
      <c r="BF36" s="54"/>
      <c r="BG36" s="54"/>
      <c r="BH36" s="54"/>
      <c r="BI36" s="54"/>
      <c r="BJ36" s="54"/>
      <c r="BK36" s="54"/>
      <c r="BL36" s="54"/>
      <c r="BM36" s="54"/>
      <c r="BN36" s="54"/>
      <c r="BO36" s="54"/>
      <c r="BP36" s="54"/>
      <c r="BQ36" s="54"/>
      <c r="BR36" s="54"/>
      <c r="BS36" s="54"/>
      <c r="BT36" s="54"/>
      <c r="BU36" s="54"/>
      <c r="BV36" s="54"/>
      <c r="BW36" s="54"/>
      <c r="BX36" s="54"/>
      <c r="BY36" s="54"/>
      <c r="BZ36" s="54"/>
    </row>
    <row r="37" spans="1:78" s="56" customFormat="1" x14ac:dyDescent="0.2">
      <c r="A37" s="66"/>
      <c r="B37" s="66"/>
      <c r="C37" s="66"/>
      <c r="D37" s="66"/>
      <c r="E37" s="66"/>
      <c r="F37" s="66"/>
      <c r="G37" s="66"/>
      <c r="H37" s="66"/>
      <c r="I37" s="66"/>
      <c r="J37" s="66"/>
      <c r="K37" s="66"/>
      <c r="L37" s="54"/>
      <c r="M37" s="54"/>
      <c r="N37" s="54"/>
      <c r="O37" s="54"/>
      <c r="P37" s="54"/>
      <c r="Q37" s="54"/>
      <c r="R37" s="54"/>
      <c r="S37" s="54"/>
      <c r="T37" s="54"/>
      <c r="U37" s="54"/>
      <c r="V37" s="54"/>
      <c r="W37" s="54"/>
      <c r="X37" s="54"/>
      <c r="Y37" s="54"/>
      <c r="Z37" s="54"/>
      <c r="AA37" s="54"/>
      <c r="AB37" s="54"/>
      <c r="AC37" s="54"/>
      <c r="AD37" s="54"/>
      <c r="AE37" s="54"/>
      <c r="AF37" s="54"/>
      <c r="AG37" s="54"/>
      <c r="AH37" s="54"/>
      <c r="AI37" s="54"/>
      <c r="AJ37" s="54"/>
      <c r="AK37" s="54"/>
      <c r="AL37" s="54"/>
      <c r="AM37" s="54"/>
      <c r="AN37" s="54"/>
      <c r="AO37" s="54"/>
      <c r="AP37" s="54"/>
      <c r="AQ37" s="54"/>
      <c r="AR37" s="54"/>
      <c r="AS37" s="54"/>
      <c r="AT37" s="54"/>
      <c r="AU37" s="54"/>
      <c r="AV37" s="54"/>
      <c r="AW37" s="54"/>
      <c r="AX37" s="54"/>
      <c r="AY37" s="54"/>
      <c r="AZ37" s="54"/>
      <c r="BA37" s="54"/>
      <c r="BB37" s="54"/>
      <c r="BC37" s="54"/>
      <c r="BD37" s="54"/>
      <c r="BE37" s="54"/>
      <c r="BF37" s="54"/>
      <c r="BG37" s="54"/>
      <c r="BH37" s="54"/>
      <c r="BI37" s="54"/>
      <c r="BJ37" s="54"/>
      <c r="BK37" s="54"/>
      <c r="BL37" s="54"/>
      <c r="BM37" s="54"/>
      <c r="BN37" s="54"/>
      <c r="BO37" s="54"/>
      <c r="BP37" s="54"/>
      <c r="BQ37" s="54"/>
      <c r="BR37" s="54"/>
      <c r="BS37" s="54"/>
      <c r="BT37" s="54"/>
      <c r="BU37" s="54"/>
      <c r="BV37" s="54"/>
      <c r="BW37" s="54"/>
      <c r="BX37" s="54"/>
      <c r="BY37" s="54"/>
      <c r="BZ37" s="54"/>
    </row>
    <row r="38" spans="1:78" s="56" customFormat="1" x14ac:dyDescent="0.2">
      <c r="A38" s="66"/>
      <c r="B38" s="66"/>
      <c r="C38" s="66"/>
      <c r="D38" s="66"/>
      <c r="E38" s="66"/>
      <c r="F38" s="66"/>
      <c r="G38" s="66"/>
      <c r="H38" s="66"/>
      <c r="I38" s="66"/>
      <c r="J38" s="66"/>
      <c r="K38" s="66"/>
      <c r="L38" s="54"/>
      <c r="M38" s="54"/>
      <c r="N38" s="54"/>
      <c r="O38" s="54"/>
      <c r="P38" s="54"/>
      <c r="Q38" s="54"/>
      <c r="R38" s="54"/>
      <c r="S38" s="54"/>
      <c r="T38" s="54"/>
      <c r="U38" s="54"/>
      <c r="V38" s="54"/>
      <c r="W38" s="54"/>
      <c r="X38" s="54"/>
      <c r="Y38" s="54"/>
      <c r="Z38" s="54"/>
      <c r="AA38" s="54"/>
      <c r="AB38" s="54"/>
      <c r="AC38" s="54"/>
      <c r="AD38" s="54"/>
      <c r="AE38" s="54"/>
      <c r="AF38" s="54"/>
      <c r="AG38" s="54"/>
      <c r="AH38" s="54"/>
      <c r="AI38" s="54"/>
      <c r="AJ38" s="54"/>
      <c r="AK38" s="54"/>
      <c r="AL38" s="54"/>
      <c r="AM38" s="54"/>
      <c r="AN38" s="54"/>
      <c r="AO38" s="54"/>
      <c r="AP38" s="54"/>
      <c r="AQ38" s="54"/>
      <c r="AR38" s="54"/>
      <c r="AS38" s="54"/>
      <c r="AT38" s="54"/>
      <c r="AU38" s="54"/>
      <c r="AV38" s="54"/>
      <c r="AW38" s="54"/>
      <c r="AX38" s="54"/>
      <c r="AY38" s="54"/>
      <c r="AZ38" s="54"/>
      <c r="BA38" s="54"/>
      <c r="BB38" s="54"/>
      <c r="BC38" s="54"/>
      <c r="BD38" s="54"/>
      <c r="BE38" s="54"/>
      <c r="BF38" s="54"/>
      <c r="BG38" s="54"/>
      <c r="BH38" s="54"/>
      <c r="BI38" s="54"/>
      <c r="BJ38" s="54"/>
      <c r="BK38" s="54"/>
      <c r="BL38" s="54"/>
      <c r="BM38" s="54"/>
      <c r="BN38" s="54"/>
      <c r="BO38" s="54"/>
      <c r="BP38" s="54"/>
      <c r="BQ38" s="54"/>
      <c r="BR38" s="54"/>
      <c r="BS38" s="54"/>
      <c r="BT38" s="54"/>
      <c r="BU38" s="54"/>
      <c r="BV38" s="54"/>
      <c r="BW38" s="54"/>
      <c r="BX38" s="54"/>
      <c r="BY38" s="54"/>
      <c r="BZ38" s="54"/>
    </row>
    <row r="39" spans="1:78" s="56" customFormat="1" x14ac:dyDescent="0.2">
      <c r="A39" s="66"/>
      <c r="B39" s="66"/>
      <c r="C39" s="66"/>
      <c r="D39" s="66"/>
      <c r="E39" s="66"/>
      <c r="F39" s="66"/>
      <c r="G39" s="66"/>
      <c r="H39" s="66"/>
      <c r="I39" s="66"/>
      <c r="J39" s="66"/>
      <c r="K39" s="66"/>
      <c r="L39" s="54"/>
      <c r="M39" s="54"/>
      <c r="N39" s="54"/>
      <c r="O39" s="54"/>
      <c r="P39" s="54"/>
      <c r="Q39" s="54"/>
      <c r="R39" s="54"/>
      <c r="S39" s="54"/>
      <c r="T39" s="54"/>
      <c r="U39" s="54"/>
      <c r="V39" s="54"/>
      <c r="W39" s="54"/>
      <c r="X39" s="54"/>
      <c r="Y39" s="54"/>
      <c r="Z39" s="54"/>
      <c r="AA39" s="54"/>
      <c r="AB39" s="54"/>
      <c r="AC39" s="54"/>
      <c r="AD39" s="54"/>
      <c r="AE39" s="54"/>
      <c r="AF39" s="54"/>
      <c r="AG39" s="54"/>
      <c r="AH39" s="54"/>
      <c r="AI39" s="54"/>
      <c r="AJ39" s="54"/>
      <c r="AK39" s="54"/>
      <c r="AL39" s="54"/>
      <c r="AM39" s="54"/>
      <c r="AN39" s="54"/>
      <c r="AO39" s="54"/>
      <c r="AP39" s="54"/>
      <c r="AQ39" s="54"/>
      <c r="AR39" s="54"/>
      <c r="AS39" s="54"/>
      <c r="AT39" s="54"/>
      <c r="AU39" s="54"/>
      <c r="AV39" s="54"/>
      <c r="AW39" s="54"/>
      <c r="AX39" s="54"/>
      <c r="AY39" s="54"/>
      <c r="AZ39" s="54"/>
      <c r="BA39" s="54"/>
      <c r="BB39" s="54"/>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row>
    <row r="40" spans="1:78" s="56" customFormat="1" x14ac:dyDescent="0.2">
      <c r="A40" s="66"/>
      <c r="B40" s="66"/>
      <c r="C40" s="66"/>
      <c r="D40" s="66"/>
      <c r="E40" s="66"/>
      <c r="F40" s="66"/>
      <c r="G40" s="66"/>
      <c r="H40" s="66"/>
      <c r="I40" s="66"/>
      <c r="J40" s="66"/>
      <c r="K40" s="66"/>
      <c r="L40" s="54"/>
      <c r="M40" s="54"/>
      <c r="N40" s="54"/>
      <c r="O40" s="54"/>
      <c r="P40" s="54"/>
      <c r="Q40" s="54"/>
      <c r="R40" s="54"/>
      <c r="S40" s="54"/>
      <c r="T40" s="54"/>
      <c r="U40" s="54"/>
      <c r="V40" s="54"/>
      <c r="W40" s="54"/>
      <c r="X40" s="54"/>
      <c r="Y40" s="54"/>
      <c r="Z40" s="54"/>
      <c r="AA40" s="54"/>
      <c r="AB40" s="54"/>
      <c r="AC40" s="54"/>
      <c r="AD40" s="54"/>
      <c r="AE40" s="54"/>
      <c r="AF40" s="54"/>
      <c r="AG40" s="54"/>
      <c r="AH40" s="54"/>
      <c r="AI40" s="54"/>
      <c r="AJ40" s="54"/>
      <c r="AK40" s="54"/>
      <c r="AL40" s="54"/>
      <c r="AM40" s="54"/>
      <c r="AN40" s="54"/>
      <c r="AO40" s="54"/>
      <c r="AP40" s="54"/>
      <c r="AQ40" s="54"/>
      <c r="AR40" s="54"/>
      <c r="AS40" s="54"/>
      <c r="AT40" s="54"/>
      <c r="AU40" s="54"/>
      <c r="AV40" s="54"/>
      <c r="AW40" s="54"/>
      <c r="AX40" s="54"/>
      <c r="AY40" s="54"/>
      <c r="AZ40" s="54"/>
      <c r="BA40" s="54"/>
      <c r="BB40" s="54"/>
      <c r="BC40" s="54"/>
      <c r="BD40" s="54"/>
      <c r="BE40" s="54"/>
      <c r="BF40" s="54"/>
      <c r="BG40" s="54"/>
      <c r="BH40" s="54"/>
      <c r="BI40" s="54"/>
      <c r="BJ40" s="54"/>
      <c r="BK40" s="54"/>
      <c r="BL40" s="54"/>
      <c r="BM40" s="54"/>
      <c r="BN40" s="54"/>
      <c r="BO40" s="54"/>
      <c r="BP40" s="54"/>
      <c r="BQ40" s="54"/>
      <c r="BR40" s="54"/>
      <c r="BS40" s="54"/>
      <c r="BT40" s="54"/>
      <c r="BU40" s="54"/>
      <c r="BV40" s="54"/>
      <c r="BW40" s="54"/>
      <c r="BX40" s="54"/>
      <c r="BY40" s="54"/>
      <c r="BZ40" s="54"/>
    </row>
    <row r="41" spans="1:78" s="56" customFormat="1" x14ac:dyDescent="0.2">
      <c r="A41" s="66"/>
      <c r="B41" s="66"/>
      <c r="C41" s="66"/>
      <c r="D41" s="66"/>
      <c r="E41" s="66"/>
      <c r="F41" s="66"/>
      <c r="G41" s="66"/>
      <c r="H41" s="66"/>
      <c r="I41" s="66"/>
      <c r="J41" s="66"/>
      <c r="K41" s="66"/>
      <c r="L41" s="54"/>
      <c r="M41" s="54"/>
      <c r="N41" s="54"/>
      <c r="O41" s="54"/>
      <c r="P41" s="54"/>
      <c r="Q41" s="54"/>
      <c r="R41" s="54"/>
      <c r="S41" s="54"/>
      <c r="T41" s="54"/>
      <c r="U41" s="54"/>
      <c r="V41" s="54"/>
      <c r="W41" s="54"/>
      <c r="X41" s="54"/>
      <c r="Y41" s="54"/>
      <c r="Z41" s="54"/>
      <c r="AA41" s="54"/>
      <c r="AB41" s="54"/>
      <c r="AC41" s="54"/>
      <c r="AD41" s="54"/>
      <c r="AE41" s="54"/>
      <c r="AF41" s="54"/>
      <c r="AG41" s="54"/>
      <c r="AH41" s="54"/>
      <c r="AI41" s="54"/>
      <c r="AJ41" s="54"/>
      <c r="AK41" s="54"/>
      <c r="AL41" s="54"/>
      <c r="AM41" s="54"/>
      <c r="AN41" s="54"/>
      <c r="AO41" s="54"/>
      <c r="AP41" s="54"/>
      <c r="AQ41" s="54"/>
      <c r="AR41" s="54"/>
      <c r="AS41" s="54"/>
      <c r="AT41" s="54"/>
      <c r="AU41" s="54"/>
      <c r="AV41" s="54"/>
      <c r="AW41" s="54"/>
      <c r="AX41" s="54"/>
      <c r="AY41" s="54"/>
      <c r="AZ41" s="54"/>
      <c r="BA41" s="54"/>
      <c r="BB41" s="54"/>
      <c r="BC41" s="54"/>
      <c r="BD41" s="54"/>
      <c r="BE41" s="54"/>
      <c r="BF41" s="54"/>
      <c r="BG41" s="54"/>
      <c r="BH41" s="54"/>
      <c r="BI41" s="54"/>
      <c r="BJ41" s="54"/>
      <c r="BK41" s="54"/>
      <c r="BL41" s="54"/>
      <c r="BM41" s="54"/>
      <c r="BN41" s="54"/>
      <c r="BO41" s="54"/>
      <c r="BP41" s="54"/>
      <c r="BQ41" s="54"/>
      <c r="BR41" s="54"/>
      <c r="BS41" s="54"/>
      <c r="BT41" s="54"/>
      <c r="BU41" s="54"/>
      <c r="BV41" s="54"/>
      <c r="BW41" s="54"/>
      <c r="BX41" s="54"/>
      <c r="BY41" s="54"/>
      <c r="BZ41" s="54"/>
    </row>
    <row r="42" spans="1:78" s="56" customFormat="1" ht="14.25" x14ac:dyDescent="0.2">
      <c r="A42" s="66"/>
      <c r="B42" s="66"/>
      <c r="C42" s="67"/>
      <c r="D42" s="66"/>
      <c r="E42" s="66"/>
      <c r="F42" s="66"/>
      <c r="G42" s="66"/>
      <c r="H42" s="66"/>
      <c r="I42" s="66"/>
      <c r="J42" s="66"/>
      <c r="K42" s="66"/>
      <c r="L42" s="54"/>
      <c r="M42" s="54"/>
      <c r="N42" s="54"/>
      <c r="O42" s="54"/>
      <c r="P42" s="54"/>
      <c r="Q42" s="54"/>
      <c r="R42" s="54"/>
      <c r="S42" s="54"/>
      <c r="T42" s="54"/>
      <c r="U42" s="54"/>
      <c r="V42" s="54"/>
      <c r="W42" s="54"/>
      <c r="X42" s="54"/>
      <c r="Y42" s="54"/>
      <c r="Z42" s="5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54"/>
      <c r="BR42" s="54"/>
      <c r="BS42" s="54"/>
      <c r="BT42" s="54"/>
      <c r="BU42" s="54"/>
      <c r="BV42" s="54"/>
      <c r="BW42" s="54"/>
      <c r="BX42" s="54"/>
      <c r="BY42" s="54"/>
      <c r="BZ42" s="54"/>
    </row>
    <row r="43" spans="1:78" s="56" customFormat="1" x14ac:dyDescent="0.2">
      <c r="A43" s="66"/>
      <c r="B43" s="66"/>
      <c r="C43" s="66"/>
      <c r="D43" s="66"/>
      <c r="E43" s="66"/>
      <c r="F43" s="66"/>
      <c r="G43" s="66"/>
      <c r="H43" s="66"/>
      <c r="I43" s="66"/>
      <c r="J43" s="66"/>
      <c r="K43" s="66"/>
      <c r="L43" s="54"/>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row>
    <row r="44" spans="1:78" s="56" customFormat="1" x14ac:dyDescent="0.2">
      <c r="A44" s="66"/>
      <c r="B44" s="66"/>
      <c r="C44" s="66"/>
      <c r="D44" s="66"/>
      <c r="E44" s="66"/>
      <c r="F44" s="66"/>
      <c r="G44" s="66"/>
      <c r="H44" s="66"/>
      <c r="I44" s="66"/>
      <c r="J44" s="66"/>
      <c r="K44" s="66"/>
      <c r="L44" s="54"/>
      <c r="M44" s="54"/>
      <c r="N44" s="54"/>
      <c r="O44" s="54"/>
      <c r="P44" s="54"/>
      <c r="Q44" s="54"/>
      <c r="R44" s="54"/>
      <c r="S44" s="54"/>
      <c r="T44" s="54"/>
      <c r="U44" s="54"/>
      <c r="V44" s="54"/>
      <c r="W44" s="54"/>
      <c r="X44" s="54"/>
      <c r="Y44" s="54"/>
      <c r="Z44" s="54"/>
      <c r="AA44" s="54"/>
      <c r="AB44" s="54"/>
      <c r="AC44" s="54"/>
      <c r="AD44" s="54"/>
      <c r="AE44" s="54"/>
      <c r="AF44" s="54"/>
      <c r="AG44" s="54"/>
      <c r="AH44" s="54"/>
      <c r="AI44" s="54"/>
      <c r="AJ44" s="54"/>
      <c r="AK44" s="54"/>
      <c r="AL44" s="54"/>
      <c r="AM44" s="54"/>
      <c r="AN44" s="54"/>
      <c r="AO44" s="54"/>
      <c r="AP44" s="54"/>
      <c r="AQ44" s="54"/>
      <c r="AR44" s="54"/>
      <c r="AS44" s="54"/>
      <c r="AT44" s="54"/>
      <c r="AU44" s="54"/>
      <c r="AV44" s="54"/>
      <c r="AW44" s="54"/>
      <c r="AX44" s="54"/>
      <c r="AY44" s="54"/>
      <c r="AZ44" s="54"/>
      <c r="BA44" s="54"/>
      <c r="BB44" s="54"/>
      <c r="BC44" s="54"/>
      <c r="BD44" s="54"/>
      <c r="BE44" s="54"/>
      <c r="BF44" s="54"/>
      <c r="BG44" s="54"/>
      <c r="BH44" s="54"/>
      <c r="BI44" s="54"/>
      <c r="BJ44" s="54"/>
      <c r="BK44" s="54"/>
      <c r="BL44" s="54"/>
      <c r="BM44" s="54"/>
      <c r="BN44" s="54"/>
      <c r="BO44" s="54"/>
      <c r="BP44" s="54"/>
      <c r="BQ44" s="54"/>
      <c r="BR44" s="54"/>
      <c r="BS44" s="54"/>
      <c r="BT44" s="54"/>
      <c r="BU44" s="54"/>
      <c r="BV44" s="54"/>
      <c r="BW44" s="54"/>
      <c r="BX44" s="54"/>
      <c r="BY44" s="54"/>
      <c r="BZ44" s="54"/>
    </row>
    <row r="45" spans="1:78" s="56" customFormat="1" x14ac:dyDescent="0.2">
      <c r="A45" s="66"/>
      <c r="B45" s="66"/>
      <c r="C45" s="66"/>
      <c r="D45" s="66"/>
      <c r="E45" s="66"/>
      <c r="F45" s="66"/>
      <c r="G45" s="66"/>
      <c r="H45" s="66"/>
      <c r="I45" s="66"/>
      <c r="J45" s="66"/>
      <c r="K45" s="66"/>
      <c r="L45" s="54"/>
      <c r="M45" s="54"/>
      <c r="N45" s="54"/>
      <c r="O45" s="54"/>
      <c r="P45" s="54"/>
      <c r="Q45" s="54"/>
      <c r="R45" s="54"/>
      <c r="S45" s="54"/>
      <c r="T45" s="54"/>
      <c r="U45" s="54"/>
      <c r="V45" s="54"/>
      <c r="W45" s="54"/>
      <c r="X45" s="54"/>
      <c r="Y45" s="54"/>
      <c r="Z45" s="54"/>
      <c r="AA45" s="54"/>
      <c r="AB45" s="54"/>
      <c r="AC45" s="54"/>
      <c r="AD45" s="54"/>
      <c r="AE45" s="54"/>
      <c r="AF45" s="54"/>
      <c r="AG45" s="54"/>
      <c r="AH45" s="54"/>
      <c r="AI45" s="54"/>
      <c r="AJ45" s="54"/>
      <c r="AK45" s="54"/>
      <c r="AL45" s="54"/>
      <c r="AM45" s="54"/>
      <c r="AN45" s="54"/>
      <c r="AO45" s="54"/>
      <c r="AP45" s="54"/>
      <c r="AQ45" s="54"/>
      <c r="AR45" s="54"/>
      <c r="AS45" s="54"/>
      <c r="AT45" s="54"/>
      <c r="AU45" s="54"/>
      <c r="AV45" s="54"/>
      <c r="AW45" s="54"/>
      <c r="AX45" s="54"/>
      <c r="AY45" s="54"/>
      <c r="AZ45" s="54"/>
      <c r="BA45" s="54"/>
      <c r="BB45" s="54"/>
      <c r="BC45" s="54"/>
      <c r="BD45" s="54"/>
      <c r="BE45" s="54"/>
      <c r="BF45" s="54"/>
      <c r="BG45" s="54"/>
      <c r="BH45" s="54"/>
      <c r="BI45" s="54"/>
      <c r="BJ45" s="54"/>
      <c r="BK45" s="54"/>
      <c r="BL45" s="54"/>
      <c r="BM45" s="54"/>
      <c r="BN45" s="54"/>
      <c r="BO45" s="54"/>
      <c r="BP45" s="54"/>
      <c r="BQ45" s="54"/>
      <c r="BR45" s="54"/>
      <c r="BS45" s="54"/>
      <c r="BT45" s="54"/>
      <c r="BU45" s="54"/>
      <c r="BV45" s="54"/>
      <c r="BW45" s="54"/>
      <c r="BX45" s="54"/>
      <c r="BY45" s="54"/>
      <c r="BZ45" s="54"/>
    </row>
    <row r="46" spans="1:78" s="56" customFormat="1" x14ac:dyDescent="0.2">
      <c r="A46" s="66"/>
      <c r="B46" s="66"/>
      <c r="C46" s="66"/>
      <c r="D46" s="66"/>
      <c r="E46" s="66"/>
      <c r="F46" s="66"/>
      <c r="G46" s="66"/>
      <c r="H46" s="66"/>
      <c r="I46" s="66"/>
      <c r="J46" s="66"/>
      <c r="K46" s="66"/>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c r="AP46" s="54"/>
      <c r="AQ46" s="54"/>
      <c r="AR46" s="54"/>
      <c r="AS46" s="54"/>
      <c r="AT46" s="54"/>
      <c r="AU46" s="54"/>
      <c r="AV46" s="5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54"/>
      <c r="BU46" s="54"/>
      <c r="BV46" s="54"/>
      <c r="BW46" s="54"/>
      <c r="BX46" s="54"/>
      <c r="BY46" s="54"/>
      <c r="BZ46" s="54"/>
    </row>
    <row r="47" spans="1:78" s="56" customFormat="1" x14ac:dyDescent="0.2">
      <c r="A47" s="66"/>
      <c r="B47" s="66"/>
      <c r="C47" s="66"/>
      <c r="D47" s="66"/>
      <c r="E47" s="66"/>
      <c r="F47" s="66"/>
      <c r="G47" s="66"/>
      <c r="H47" s="66"/>
      <c r="I47" s="66"/>
      <c r="J47" s="66"/>
      <c r="K47" s="66"/>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4"/>
      <c r="AM47" s="54"/>
      <c r="AN47" s="54"/>
      <c r="AO47" s="54"/>
      <c r="AP47" s="54"/>
      <c r="AQ47" s="54"/>
      <c r="AR47" s="54"/>
      <c r="AS47" s="54"/>
      <c r="AT47" s="54"/>
      <c r="AU47" s="54"/>
      <c r="AV47" s="54"/>
      <c r="AW47" s="54"/>
      <c r="AX47" s="54"/>
      <c r="AY47" s="54"/>
      <c r="AZ47" s="54"/>
      <c r="BA47" s="54"/>
      <c r="BB47" s="54"/>
      <c r="BC47" s="54"/>
      <c r="BD47" s="54"/>
      <c r="BE47" s="54"/>
      <c r="BF47" s="54"/>
      <c r="BG47" s="54"/>
      <c r="BH47" s="54"/>
      <c r="BI47" s="54"/>
      <c r="BJ47" s="54"/>
      <c r="BK47" s="54"/>
      <c r="BL47" s="54"/>
      <c r="BM47" s="54"/>
      <c r="BN47" s="54"/>
      <c r="BO47" s="54"/>
      <c r="BP47" s="54"/>
      <c r="BQ47" s="54"/>
      <c r="BR47" s="54"/>
      <c r="BS47" s="54"/>
      <c r="BT47" s="54"/>
      <c r="BU47" s="54"/>
      <c r="BV47" s="54"/>
      <c r="BW47" s="54"/>
      <c r="BX47" s="54"/>
      <c r="BY47" s="54"/>
      <c r="BZ47" s="54"/>
    </row>
    <row r="48" spans="1:78" s="56" customFormat="1" ht="11.25" customHeight="1" x14ac:dyDescent="0.2">
      <c r="A48" s="66"/>
      <c r="B48" s="66"/>
      <c r="C48" s="66"/>
      <c r="D48" s="66"/>
      <c r="E48" s="66"/>
      <c r="F48" s="66"/>
      <c r="G48" s="66"/>
      <c r="H48" s="66"/>
      <c r="I48" s="66"/>
      <c r="J48" s="66"/>
      <c r="K48" s="66"/>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c r="AM48" s="54"/>
      <c r="AN48" s="54"/>
      <c r="AO48" s="54"/>
      <c r="AP48" s="54"/>
      <c r="AQ48" s="54"/>
      <c r="AR48" s="54"/>
      <c r="AS48" s="54"/>
      <c r="AT48" s="54"/>
      <c r="AU48" s="54"/>
      <c r="AV48" s="5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54"/>
      <c r="BU48" s="54"/>
      <c r="BV48" s="54"/>
      <c r="BW48" s="54"/>
      <c r="BX48" s="54"/>
      <c r="BY48" s="54"/>
      <c r="BZ48" s="54"/>
    </row>
    <row r="49" spans="1:78" s="56" customFormat="1" x14ac:dyDescent="0.2">
      <c r="A49" s="66"/>
      <c r="B49" s="66"/>
      <c r="C49" s="66"/>
      <c r="D49" s="66"/>
      <c r="E49" s="66"/>
      <c r="F49" s="66"/>
      <c r="G49" s="66"/>
      <c r="H49" s="66"/>
      <c r="I49" s="66"/>
      <c r="J49" s="66"/>
      <c r="K49" s="66"/>
      <c r="L49" s="54"/>
      <c r="M49" s="54"/>
      <c r="N49" s="54"/>
      <c r="O49" s="54"/>
      <c r="P49" s="54"/>
      <c r="Q49" s="54"/>
      <c r="R49" s="54"/>
      <c r="S49" s="54"/>
      <c r="T49" s="54"/>
      <c r="U49" s="54"/>
      <c r="V49" s="54"/>
      <c r="W49" s="54"/>
      <c r="X49" s="54"/>
      <c r="Y49" s="54"/>
      <c r="Z49" s="54"/>
      <c r="AA49" s="54"/>
      <c r="AB49" s="54"/>
      <c r="AC49" s="54"/>
      <c r="AD49" s="54"/>
      <c r="AE49" s="54"/>
      <c r="AF49" s="54"/>
      <c r="AG49" s="54"/>
      <c r="AH49" s="54"/>
      <c r="AI49" s="54"/>
      <c r="AJ49" s="54"/>
      <c r="AK49" s="54"/>
      <c r="AL49" s="54"/>
      <c r="AM49" s="54"/>
      <c r="AN49" s="54"/>
      <c r="AO49" s="54"/>
      <c r="AP49" s="54"/>
      <c r="AQ49" s="54"/>
      <c r="AR49" s="54"/>
      <c r="AS49" s="54"/>
      <c r="AT49" s="54"/>
      <c r="AU49" s="54"/>
      <c r="AV49" s="5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54"/>
      <c r="BU49" s="54"/>
      <c r="BV49" s="54"/>
      <c r="BW49" s="54"/>
      <c r="BX49" s="54"/>
      <c r="BY49" s="54"/>
      <c r="BZ49" s="54"/>
    </row>
    <row r="50" spans="1:78" s="56" customFormat="1" x14ac:dyDescent="0.2">
      <c r="A50" s="66"/>
      <c r="B50" s="66"/>
      <c r="C50" s="66"/>
      <c r="D50" s="66"/>
      <c r="E50" s="66"/>
      <c r="F50" s="66"/>
      <c r="G50" s="66"/>
      <c r="H50" s="66"/>
      <c r="I50" s="66"/>
      <c r="J50" s="66"/>
      <c r="K50" s="66"/>
      <c r="L50" s="54"/>
      <c r="M50" s="54"/>
      <c r="N50" s="54"/>
      <c r="O50" s="54"/>
      <c r="P50" s="54"/>
      <c r="Q50" s="54"/>
      <c r="R50" s="54"/>
      <c r="S50" s="54"/>
      <c r="T50" s="54"/>
      <c r="U50" s="54"/>
      <c r="V50" s="54"/>
      <c r="W50" s="54"/>
      <c r="X50" s="54"/>
      <c r="Y50" s="54"/>
      <c r="Z50" s="54"/>
      <c r="AA50" s="54"/>
      <c r="AB50" s="54"/>
      <c r="AC50" s="54"/>
      <c r="AD50" s="54"/>
      <c r="AE50" s="54"/>
      <c r="AF50" s="54"/>
      <c r="AG50" s="54"/>
      <c r="AH50" s="54"/>
      <c r="AI50" s="54"/>
      <c r="AJ50" s="54"/>
      <c r="AK50" s="54"/>
      <c r="AL50" s="54"/>
      <c r="AM50" s="54"/>
      <c r="AN50" s="54"/>
      <c r="AO50" s="54"/>
      <c r="AP50" s="54"/>
      <c r="AQ50" s="54"/>
      <c r="AR50" s="54"/>
      <c r="AS50" s="54"/>
      <c r="AT50" s="54"/>
      <c r="AU50" s="54"/>
      <c r="AV50" s="5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54"/>
      <c r="BU50" s="54"/>
      <c r="BV50" s="54"/>
      <c r="BW50" s="54"/>
      <c r="BX50" s="54"/>
      <c r="BY50" s="54"/>
      <c r="BZ50" s="54"/>
    </row>
    <row r="51" spans="1:78" s="56" customFormat="1" x14ac:dyDescent="0.2">
      <c r="A51" s="66"/>
      <c r="B51" s="66"/>
      <c r="C51" s="66"/>
      <c r="D51" s="66"/>
      <c r="E51" s="66"/>
      <c r="F51" s="66"/>
      <c r="G51" s="66"/>
      <c r="H51" s="66"/>
      <c r="I51" s="66"/>
      <c r="J51" s="66"/>
      <c r="K51" s="66"/>
      <c r="L51" s="54"/>
      <c r="M51" s="54"/>
      <c r="N51" s="54"/>
      <c r="O51" s="54"/>
      <c r="P51" s="54"/>
      <c r="Q51" s="54"/>
      <c r="R51" s="54"/>
      <c r="S51" s="54"/>
      <c r="T51" s="54"/>
      <c r="U51" s="54"/>
      <c r="V51" s="54"/>
      <c r="W51" s="54"/>
      <c r="X51" s="54"/>
      <c r="Y51" s="54"/>
      <c r="Z51" s="54"/>
      <c r="AA51" s="54"/>
      <c r="AB51" s="54"/>
      <c r="AC51" s="54"/>
      <c r="AD51" s="54"/>
      <c r="AE51" s="54"/>
      <c r="AF51" s="54"/>
      <c r="AG51" s="54"/>
      <c r="AH51" s="54"/>
      <c r="AI51" s="54"/>
      <c r="AJ51" s="54"/>
      <c r="AK51" s="54"/>
      <c r="AL51" s="54"/>
      <c r="AM51" s="54"/>
      <c r="AN51" s="54"/>
      <c r="AO51" s="54"/>
      <c r="AP51" s="54"/>
      <c r="AQ51" s="54"/>
      <c r="AR51" s="54"/>
      <c r="AS51" s="54"/>
      <c r="AT51" s="54"/>
      <c r="AU51" s="54"/>
      <c r="AV51" s="54"/>
      <c r="AW51" s="54"/>
      <c r="AX51" s="54"/>
      <c r="AY51" s="54"/>
      <c r="AZ51" s="54"/>
      <c r="BA51" s="54"/>
      <c r="BB51" s="54"/>
      <c r="BC51" s="54"/>
      <c r="BD51" s="54"/>
      <c r="BE51" s="54"/>
      <c r="BF51" s="54"/>
      <c r="BG51" s="54"/>
      <c r="BH51" s="54"/>
      <c r="BI51" s="54"/>
      <c r="BJ51" s="54"/>
      <c r="BK51" s="54"/>
      <c r="BL51" s="54"/>
      <c r="BM51" s="54"/>
      <c r="BN51" s="54"/>
      <c r="BO51" s="54"/>
      <c r="BP51" s="54"/>
      <c r="BQ51" s="54"/>
      <c r="BR51" s="54"/>
      <c r="BS51" s="54"/>
      <c r="BT51" s="54"/>
      <c r="BU51" s="54"/>
      <c r="BV51" s="54"/>
      <c r="BW51" s="54"/>
      <c r="BX51" s="54"/>
      <c r="BY51" s="54"/>
      <c r="BZ51" s="54"/>
    </row>
    <row r="52" spans="1:78" s="56" customFormat="1" x14ac:dyDescent="0.2">
      <c r="A52" s="66"/>
      <c r="B52" s="66"/>
      <c r="C52" s="66"/>
      <c r="D52" s="66"/>
      <c r="E52" s="66"/>
      <c r="F52" s="66"/>
      <c r="G52" s="66"/>
      <c r="H52" s="66"/>
      <c r="I52" s="66"/>
      <c r="J52" s="66"/>
      <c r="K52" s="66"/>
      <c r="L52" s="54"/>
      <c r="M52" s="54"/>
      <c r="N52" s="54"/>
      <c r="O52" s="54"/>
      <c r="P52" s="54"/>
      <c r="Q52" s="54"/>
      <c r="R52" s="54"/>
      <c r="S52" s="54"/>
      <c r="T52" s="54"/>
      <c r="U52" s="54"/>
      <c r="V52" s="54"/>
      <c r="W52" s="54"/>
      <c r="X52" s="54"/>
      <c r="Y52" s="54"/>
      <c r="Z52" s="54"/>
      <c r="AA52" s="54"/>
      <c r="AB52" s="54"/>
      <c r="AC52" s="54"/>
      <c r="AD52" s="54"/>
      <c r="AE52" s="54"/>
      <c r="AF52" s="54"/>
      <c r="AG52" s="54"/>
      <c r="AH52" s="54"/>
      <c r="AI52" s="54"/>
      <c r="AJ52" s="54"/>
      <c r="AK52" s="54"/>
      <c r="AL52" s="54"/>
      <c r="AM52" s="54"/>
      <c r="AN52" s="54"/>
      <c r="AO52" s="54"/>
      <c r="AP52" s="54"/>
      <c r="AQ52" s="54"/>
      <c r="AR52" s="54"/>
      <c r="AS52" s="54"/>
      <c r="AT52" s="54"/>
      <c r="AU52" s="54"/>
      <c r="AV52" s="5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54"/>
      <c r="BU52" s="54"/>
      <c r="BV52" s="54"/>
      <c r="BW52" s="54"/>
      <c r="BX52" s="54"/>
      <c r="BY52" s="54"/>
      <c r="BZ52" s="54"/>
    </row>
    <row r="53" spans="1:78" s="56" customFormat="1" x14ac:dyDescent="0.2">
      <c r="A53" s="66"/>
      <c r="B53" s="66"/>
      <c r="C53" s="66"/>
      <c r="D53" s="66"/>
      <c r="E53" s="66"/>
      <c r="F53" s="66"/>
      <c r="G53" s="66"/>
      <c r="H53" s="66"/>
      <c r="I53" s="66"/>
      <c r="J53" s="66"/>
      <c r="K53" s="66"/>
      <c r="L53" s="54"/>
      <c r="M53" s="54"/>
      <c r="N53" s="54"/>
      <c r="O53" s="54"/>
      <c r="P53" s="54"/>
      <c r="Q53" s="54"/>
      <c r="R53" s="54"/>
      <c r="S53" s="54"/>
      <c r="T53" s="54"/>
      <c r="U53" s="54"/>
      <c r="V53" s="54"/>
      <c r="W53" s="54"/>
      <c r="X53" s="54"/>
      <c r="Y53" s="54"/>
      <c r="Z53" s="54"/>
      <c r="AA53" s="54"/>
      <c r="AB53" s="54"/>
      <c r="AC53" s="54"/>
      <c r="AD53" s="54"/>
      <c r="AE53" s="54"/>
      <c r="AF53" s="54"/>
      <c r="AG53" s="54"/>
      <c r="AH53" s="54"/>
      <c r="AI53" s="54"/>
      <c r="AJ53" s="54"/>
      <c r="AK53" s="54"/>
      <c r="AL53" s="54"/>
      <c r="AM53" s="54"/>
      <c r="AN53" s="54"/>
      <c r="AO53" s="54"/>
      <c r="AP53" s="54"/>
      <c r="AQ53" s="54"/>
      <c r="AR53" s="54"/>
      <c r="AS53" s="54"/>
      <c r="AT53" s="54"/>
      <c r="AU53" s="54"/>
      <c r="AV53" s="54"/>
      <c r="AW53" s="54"/>
      <c r="AX53" s="54"/>
      <c r="AY53" s="54"/>
      <c r="AZ53" s="54"/>
      <c r="BA53" s="54"/>
      <c r="BB53" s="54"/>
      <c r="BC53" s="54"/>
      <c r="BD53" s="54"/>
      <c r="BE53" s="54"/>
      <c r="BF53" s="54"/>
      <c r="BG53" s="54"/>
      <c r="BH53" s="54"/>
      <c r="BI53" s="54"/>
      <c r="BJ53" s="54"/>
      <c r="BK53" s="54"/>
      <c r="BL53" s="54"/>
      <c r="BM53" s="54"/>
      <c r="BN53" s="54"/>
      <c r="BO53" s="54"/>
      <c r="BP53" s="54"/>
      <c r="BQ53" s="54"/>
      <c r="BR53" s="54"/>
      <c r="BS53" s="54"/>
      <c r="BT53" s="54"/>
      <c r="BU53" s="54"/>
      <c r="BV53" s="54"/>
      <c r="BW53" s="54"/>
      <c r="BX53" s="54"/>
      <c r="BY53" s="54"/>
      <c r="BZ53" s="54"/>
    </row>
    <row r="54" spans="1:78" s="56" customFormat="1" x14ac:dyDescent="0.2">
      <c r="A54" s="66"/>
      <c r="B54" s="66"/>
      <c r="C54" s="66"/>
      <c r="D54" s="66"/>
      <c r="E54" s="66"/>
      <c r="F54" s="66"/>
      <c r="G54" s="66"/>
      <c r="H54" s="66"/>
      <c r="I54" s="66"/>
      <c r="J54" s="66"/>
      <c r="K54" s="66"/>
      <c r="L54" s="54"/>
      <c r="M54" s="54"/>
      <c r="N54" s="54"/>
      <c r="O54" s="54"/>
      <c r="P54" s="54"/>
      <c r="Q54" s="54"/>
      <c r="R54" s="54"/>
      <c r="S54" s="54"/>
      <c r="T54" s="54"/>
      <c r="U54" s="54"/>
      <c r="V54" s="54"/>
      <c r="W54" s="54"/>
      <c r="X54" s="54"/>
      <c r="Y54" s="54"/>
      <c r="Z54" s="54"/>
      <c r="AA54" s="54"/>
      <c r="AB54" s="54"/>
      <c r="AC54" s="54"/>
      <c r="AD54" s="54"/>
      <c r="AE54" s="54"/>
      <c r="AF54" s="54"/>
      <c r="AG54" s="54"/>
      <c r="AH54" s="54"/>
      <c r="AI54" s="54"/>
      <c r="AJ54" s="54"/>
      <c r="AK54" s="54"/>
      <c r="AL54" s="54"/>
      <c r="AM54" s="54"/>
      <c r="AN54" s="54"/>
      <c r="AO54" s="54"/>
      <c r="AP54" s="54"/>
      <c r="AQ54" s="54"/>
      <c r="AR54" s="54"/>
      <c r="AS54" s="54"/>
      <c r="AT54" s="54"/>
      <c r="AU54" s="54"/>
      <c r="AV54" s="54"/>
      <c r="AW54" s="54"/>
      <c r="AX54" s="54"/>
      <c r="AY54" s="54"/>
      <c r="AZ54" s="54"/>
      <c r="BA54" s="54"/>
      <c r="BB54" s="54"/>
      <c r="BC54" s="54"/>
      <c r="BD54" s="54"/>
      <c r="BE54" s="54"/>
      <c r="BF54" s="54"/>
      <c r="BG54" s="54"/>
      <c r="BH54" s="54"/>
      <c r="BI54" s="54"/>
      <c r="BJ54" s="54"/>
      <c r="BK54" s="54"/>
      <c r="BL54" s="54"/>
      <c r="BM54" s="54"/>
      <c r="BN54" s="54"/>
      <c r="BO54" s="54"/>
      <c r="BP54" s="54"/>
      <c r="BQ54" s="54"/>
      <c r="BR54" s="54"/>
      <c r="BS54" s="54"/>
      <c r="BT54" s="54"/>
      <c r="BU54" s="54"/>
      <c r="BV54" s="54"/>
      <c r="BW54" s="54"/>
      <c r="BX54" s="54"/>
      <c r="BY54" s="54"/>
      <c r="BZ54" s="54"/>
    </row>
    <row r="55" spans="1:78" s="56" customFormat="1" x14ac:dyDescent="0.2">
      <c r="A55" s="66"/>
      <c r="B55" s="66"/>
      <c r="C55" s="66"/>
      <c r="D55" s="66"/>
      <c r="E55" s="66"/>
      <c r="F55" s="66"/>
      <c r="G55" s="66"/>
      <c r="H55" s="66"/>
      <c r="I55" s="66"/>
      <c r="J55" s="66"/>
      <c r="K55" s="66"/>
      <c r="L55" s="54"/>
      <c r="M55" s="54"/>
      <c r="N55" s="54"/>
      <c r="O55" s="54"/>
      <c r="P55" s="54"/>
      <c r="Q55" s="54"/>
      <c r="R55" s="54"/>
      <c r="S55" s="54"/>
      <c r="T55" s="54"/>
      <c r="U55" s="54"/>
      <c r="V55" s="54"/>
      <c r="W55" s="54"/>
      <c r="X55" s="54"/>
      <c r="Y55" s="54"/>
      <c r="Z55" s="54"/>
      <c r="AA55" s="54"/>
      <c r="AB55" s="54"/>
      <c r="AC55" s="54"/>
      <c r="AD55" s="54"/>
      <c r="AE55" s="54"/>
      <c r="AF55" s="54"/>
      <c r="AG55" s="54"/>
      <c r="AH55" s="54"/>
      <c r="AI55" s="54"/>
      <c r="AJ55" s="54"/>
      <c r="AK55" s="54"/>
      <c r="AL55" s="54"/>
      <c r="AM55" s="54"/>
      <c r="AN55" s="54"/>
      <c r="AO55" s="54"/>
      <c r="AP55" s="54"/>
      <c r="AQ55" s="54"/>
      <c r="AR55" s="54"/>
      <c r="AS55" s="54"/>
      <c r="AT55" s="54"/>
      <c r="AU55" s="54"/>
      <c r="AV55" s="54"/>
      <c r="AW55" s="54"/>
      <c r="AX55" s="54"/>
      <c r="AY55" s="54"/>
      <c r="AZ55" s="54"/>
      <c r="BA55" s="54"/>
      <c r="BB55" s="54"/>
      <c r="BC55" s="54"/>
      <c r="BD55" s="54"/>
      <c r="BE55" s="54"/>
      <c r="BF55" s="54"/>
      <c r="BG55" s="54"/>
      <c r="BH55" s="54"/>
      <c r="BI55" s="54"/>
      <c r="BJ55" s="54"/>
      <c r="BK55" s="54"/>
      <c r="BL55" s="54"/>
      <c r="BM55" s="54"/>
      <c r="BN55" s="54"/>
      <c r="BO55" s="54"/>
      <c r="BP55" s="54"/>
      <c r="BQ55" s="54"/>
      <c r="BR55" s="54"/>
      <c r="BS55" s="54"/>
      <c r="BT55" s="54"/>
      <c r="BU55" s="54"/>
      <c r="BV55" s="54"/>
      <c r="BW55" s="54"/>
      <c r="BX55" s="54"/>
      <c r="BY55" s="54"/>
      <c r="BZ55" s="54"/>
    </row>
    <row r="56" spans="1:78" s="56" customFormat="1" x14ac:dyDescent="0.2">
      <c r="A56" s="66"/>
      <c r="B56" s="66"/>
      <c r="C56" s="66"/>
      <c r="D56" s="66"/>
      <c r="E56" s="66"/>
      <c r="F56" s="66"/>
      <c r="G56" s="66"/>
      <c r="H56" s="66"/>
      <c r="I56" s="66"/>
      <c r="J56" s="66"/>
      <c r="K56" s="66"/>
      <c r="L56" s="54"/>
      <c r="M56" s="54"/>
      <c r="N56" s="54"/>
      <c r="O56" s="54"/>
      <c r="P56" s="54"/>
      <c r="Q56" s="54"/>
      <c r="R56" s="54"/>
      <c r="S56" s="54"/>
      <c r="T56" s="54"/>
      <c r="U56" s="54"/>
      <c r="V56" s="54"/>
      <c r="W56" s="54"/>
      <c r="X56" s="54"/>
      <c r="Y56" s="54"/>
      <c r="Z56" s="54"/>
      <c r="AA56" s="54"/>
      <c r="AB56" s="54"/>
      <c r="AC56" s="54"/>
      <c r="AD56" s="54"/>
      <c r="AE56" s="54"/>
      <c r="AF56" s="54"/>
      <c r="AG56" s="54"/>
      <c r="AH56" s="54"/>
      <c r="AI56" s="54"/>
      <c r="AJ56" s="54"/>
      <c r="AK56" s="54"/>
      <c r="AL56" s="54"/>
      <c r="AM56" s="54"/>
      <c r="AN56" s="54"/>
      <c r="AO56" s="54"/>
      <c r="AP56" s="54"/>
      <c r="AQ56" s="54"/>
      <c r="AR56" s="54"/>
      <c r="AS56" s="54"/>
      <c r="AT56" s="54"/>
      <c r="AU56" s="54"/>
      <c r="AV56" s="54"/>
      <c r="AW56" s="54"/>
      <c r="AX56" s="54"/>
      <c r="AY56" s="54"/>
      <c r="AZ56" s="54"/>
      <c r="BA56" s="54"/>
      <c r="BB56" s="54"/>
      <c r="BC56" s="54"/>
      <c r="BD56" s="54"/>
      <c r="BE56" s="54"/>
      <c r="BF56" s="54"/>
      <c r="BG56" s="54"/>
      <c r="BH56" s="54"/>
      <c r="BI56" s="54"/>
      <c r="BJ56" s="54"/>
      <c r="BK56" s="54"/>
      <c r="BL56" s="54"/>
      <c r="BM56" s="54"/>
      <c r="BN56" s="54"/>
      <c r="BO56" s="54"/>
      <c r="BP56" s="54"/>
      <c r="BQ56" s="54"/>
      <c r="BR56" s="54"/>
      <c r="BS56" s="54"/>
      <c r="BT56" s="54"/>
      <c r="BU56" s="54"/>
      <c r="BV56" s="54"/>
      <c r="BW56" s="54"/>
      <c r="BX56" s="54"/>
      <c r="BY56" s="54"/>
      <c r="BZ56" s="54"/>
    </row>
    <row r="57" spans="1:78" s="56" customFormat="1" x14ac:dyDescent="0.2">
      <c r="A57" s="66"/>
      <c r="B57" s="66"/>
      <c r="C57" s="66"/>
      <c r="D57" s="66"/>
      <c r="E57" s="66"/>
      <c r="F57" s="66"/>
      <c r="G57" s="66"/>
      <c r="H57" s="66"/>
      <c r="I57" s="66"/>
      <c r="J57" s="66"/>
      <c r="K57" s="66"/>
      <c r="L57" s="54"/>
      <c r="M57" s="54"/>
      <c r="N57" s="54"/>
      <c r="O57" s="54"/>
      <c r="P57" s="54"/>
      <c r="Q57" s="54"/>
      <c r="R57" s="54"/>
      <c r="S57" s="54"/>
      <c r="T57" s="54"/>
      <c r="U57" s="54"/>
      <c r="V57" s="54"/>
      <c r="W57" s="54"/>
      <c r="X57" s="54"/>
      <c r="Y57" s="54"/>
      <c r="Z57" s="54"/>
      <c r="AA57" s="54"/>
      <c r="AB57" s="54"/>
      <c r="AC57" s="54"/>
      <c r="AD57" s="54"/>
      <c r="AE57" s="54"/>
      <c r="AF57" s="54"/>
      <c r="AG57" s="54"/>
      <c r="AH57" s="54"/>
      <c r="AI57" s="54"/>
      <c r="AJ57" s="54"/>
      <c r="AK57" s="54"/>
      <c r="AL57" s="54"/>
      <c r="AM57" s="54"/>
      <c r="AN57" s="54"/>
      <c r="AO57" s="54"/>
      <c r="AP57" s="54"/>
      <c r="AQ57" s="54"/>
      <c r="AR57" s="54"/>
      <c r="AS57" s="54"/>
      <c r="AT57" s="54"/>
      <c r="AU57" s="54"/>
      <c r="AV57" s="54"/>
      <c r="AW57" s="54"/>
      <c r="AX57" s="54"/>
      <c r="AY57" s="54"/>
      <c r="AZ57" s="54"/>
      <c r="BA57" s="54"/>
      <c r="BB57" s="54"/>
      <c r="BC57" s="54"/>
      <c r="BD57" s="54"/>
      <c r="BE57" s="54"/>
      <c r="BF57" s="54"/>
      <c r="BG57" s="54"/>
      <c r="BH57" s="54"/>
      <c r="BI57" s="54"/>
      <c r="BJ57" s="54"/>
      <c r="BK57" s="54"/>
      <c r="BL57" s="54"/>
      <c r="BM57" s="54"/>
      <c r="BN57" s="54"/>
      <c r="BO57" s="54"/>
      <c r="BP57" s="54"/>
      <c r="BQ57" s="54"/>
      <c r="BR57" s="54"/>
      <c r="BS57" s="54"/>
      <c r="BT57" s="54"/>
      <c r="BU57" s="54"/>
      <c r="BV57" s="54"/>
      <c r="BW57" s="54"/>
      <c r="BX57" s="54"/>
      <c r="BY57" s="54"/>
      <c r="BZ57" s="54"/>
    </row>
    <row r="58" spans="1:78" s="56" customFormat="1" x14ac:dyDescent="0.2">
      <c r="A58" s="66"/>
      <c r="B58" s="66"/>
      <c r="C58" s="66"/>
      <c r="D58" s="66"/>
      <c r="E58" s="66"/>
      <c r="F58" s="66"/>
      <c r="G58" s="66"/>
      <c r="H58" s="66"/>
      <c r="I58" s="66"/>
      <c r="J58" s="66"/>
      <c r="K58" s="66"/>
      <c r="L58" s="54"/>
      <c r="M58" s="54"/>
      <c r="N58" s="54"/>
      <c r="O58" s="54"/>
      <c r="P58" s="54"/>
      <c r="Q58" s="54"/>
      <c r="R58" s="54"/>
      <c r="S58" s="54"/>
      <c r="T58" s="54"/>
      <c r="U58" s="54"/>
      <c r="V58" s="54"/>
      <c r="W58" s="54"/>
      <c r="X58" s="54"/>
      <c r="Y58" s="54"/>
      <c r="Z58" s="54"/>
      <c r="AA58" s="54"/>
      <c r="AB58" s="54"/>
      <c r="AC58" s="54"/>
      <c r="AD58" s="54"/>
      <c r="AE58" s="54"/>
      <c r="AF58" s="54"/>
      <c r="AG58" s="54"/>
      <c r="AH58" s="54"/>
      <c r="AI58" s="54"/>
      <c r="AJ58" s="54"/>
      <c r="AK58" s="54"/>
      <c r="AL58" s="54"/>
      <c r="AM58" s="54"/>
      <c r="AN58" s="54"/>
      <c r="AO58" s="54"/>
      <c r="AP58" s="54"/>
      <c r="AQ58" s="54"/>
      <c r="AR58" s="54"/>
      <c r="AS58" s="54"/>
      <c r="AT58" s="54"/>
      <c r="AU58" s="54"/>
      <c r="AV58" s="54"/>
      <c r="AW58" s="54"/>
      <c r="AX58" s="54"/>
      <c r="AY58" s="54"/>
      <c r="AZ58" s="54"/>
      <c r="BA58" s="54"/>
      <c r="BB58" s="54"/>
      <c r="BC58" s="54"/>
      <c r="BD58" s="54"/>
      <c r="BE58" s="54"/>
      <c r="BF58" s="54"/>
      <c r="BG58" s="54"/>
      <c r="BH58" s="54"/>
      <c r="BI58" s="54"/>
      <c r="BJ58" s="54"/>
      <c r="BK58" s="54"/>
      <c r="BL58" s="54"/>
      <c r="BM58" s="54"/>
      <c r="BN58" s="54"/>
      <c r="BO58" s="54"/>
      <c r="BP58" s="54"/>
      <c r="BQ58" s="54"/>
      <c r="BR58" s="54"/>
      <c r="BS58" s="54"/>
      <c r="BT58" s="54"/>
      <c r="BU58" s="54"/>
      <c r="BV58" s="54"/>
      <c r="BW58" s="54"/>
      <c r="BX58" s="54"/>
      <c r="BY58" s="54"/>
      <c r="BZ58" s="54"/>
    </row>
    <row r="59" spans="1:78" s="56" customFormat="1" x14ac:dyDescent="0.2">
      <c r="A59" s="66"/>
      <c r="B59" s="66"/>
      <c r="C59" s="66"/>
      <c r="D59" s="66"/>
      <c r="E59" s="66"/>
      <c r="F59" s="66"/>
      <c r="G59" s="66"/>
      <c r="H59" s="66"/>
      <c r="I59" s="66"/>
      <c r="J59" s="66"/>
      <c r="K59" s="66"/>
      <c r="L59" s="54"/>
      <c r="M59" s="54"/>
      <c r="N59" s="54"/>
      <c r="O59" s="54"/>
      <c r="P59" s="54"/>
      <c r="Q59" s="54"/>
      <c r="R59" s="54"/>
      <c r="S59" s="54"/>
      <c r="T59" s="54"/>
      <c r="U59" s="54"/>
      <c r="V59" s="54"/>
      <c r="W59" s="54"/>
      <c r="X59" s="54"/>
      <c r="Y59" s="54"/>
      <c r="Z59" s="54"/>
      <c r="AA59" s="54"/>
      <c r="AB59" s="54"/>
      <c r="AC59" s="54"/>
      <c r="AD59" s="54"/>
      <c r="AE59" s="54"/>
      <c r="AF59" s="54"/>
      <c r="AG59" s="54"/>
      <c r="AH59" s="54"/>
      <c r="AI59" s="54"/>
      <c r="AJ59" s="54"/>
      <c r="AK59" s="54"/>
      <c r="AL59" s="54"/>
      <c r="AM59" s="54"/>
      <c r="AN59" s="54"/>
      <c r="AO59" s="54"/>
      <c r="AP59" s="54"/>
      <c r="AQ59" s="54"/>
      <c r="AR59" s="54"/>
      <c r="AS59" s="54"/>
      <c r="AT59" s="54"/>
      <c r="AU59" s="54"/>
      <c r="AV59" s="54"/>
      <c r="AW59" s="54"/>
      <c r="AX59" s="54"/>
      <c r="AY59" s="54"/>
      <c r="AZ59" s="54"/>
      <c r="BA59" s="54"/>
      <c r="BB59" s="54"/>
      <c r="BC59" s="54"/>
      <c r="BD59" s="54"/>
      <c r="BE59" s="54"/>
      <c r="BF59" s="54"/>
      <c r="BG59" s="54"/>
      <c r="BH59" s="54"/>
      <c r="BI59" s="54"/>
      <c r="BJ59" s="54"/>
      <c r="BK59" s="54"/>
      <c r="BL59" s="54"/>
      <c r="BM59" s="54"/>
      <c r="BN59" s="54"/>
      <c r="BO59" s="54"/>
      <c r="BP59" s="54"/>
      <c r="BQ59" s="54"/>
      <c r="BR59" s="54"/>
      <c r="BS59" s="54"/>
      <c r="BT59" s="54"/>
      <c r="BU59" s="54"/>
      <c r="BV59" s="54"/>
      <c r="BW59" s="54"/>
      <c r="BX59" s="54"/>
      <c r="BY59" s="54"/>
      <c r="BZ59" s="54"/>
    </row>
    <row r="60" spans="1:78" s="56" customFormat="1" x14ac:dyDescent="0.2">
      <c r="A60" s="66"/>
      <c r="B60" s="66"/>
      <c r="C60" s="66"/>
      <c r="D60" s="66"/>
      <c r="E60" s="66"/>
      <c r="F60" s="66"/>
      <c r="G60" s="66"/>
      <c r="H60" s="66"/>
      <c r="I60" s="66"/>
      <c r="J60" s="66"/>
      <c r="K60" s="66"/>
      <c r="L60" s="54"/>
      <c r="M60" s="54"/>
      <c r="N60" s="54"/>
      <c r="O60" s="54"/>
      <c r="P60" s="54"/>
      <c r="Q60" s="54"/>
      <c r="R60" s="54"/>
      <c r="S60" s="54"/>
      <c r="T60" s="54"/>
      <c r="U60" s="54"/>
      <c r="V60" s="54"/>
      <c r="W60" s="54"/>
      <c r="X60" s="54"/>
      <c r="Y60" s="54"/>
      <c r="Z60" s="54"/>
      <c r="AA60" s="54"/>
      <c r="AB60" s="54"/>
      <c r="AC60" s="54"/>
      <c r="AD60" s="54"/>
      <c r="AE60" s="54"/>
      <c r="AF60" s="54"/>
      <c r="AG60" s="54"/>
      <c r="AH60" s="54"/>
      <c r="AI60" s="54"/>
      <c r="AJ60" s="54"/>
      <c r="AK60" s="54"/>
      <c r="AL60" s="54"/>
      <c r="AM60" s="54"/>
      <c r="AN60" s="54"/>
      <c r="AO60" s="54"/>
      <c r="AP60" s="54"/>
      <c r="AQ60" s="54"/>
      <c r="AR60" s="54"/>
      <c r="AS60" s="54"/>
      <c r="AT60" s="54"/>
      <c r="AU60" s="54"/>
      <c r="AV60" s="54"/>
      <c r="AW60" s="54"/>
      <c r="AX60" s="54"/>
      <c r="AY60" s="54"/>
      <c r="AZ60" s="54"/>
      <c r="BA60" s="54"/>
      <c r="BB60" s="54"/>
      <c r="BC60" s="54"/>
      <c r="BD60" s="54"/>
      <c r="BE60" s="54"/>
      <c r="BF60" s="54"/>
      <c r="BG60" s="54"/>
      <c r="BH60" s="54"/>
      <c r="BI60" s="54"/>
      <c r="BJ60" s="54"/>
      <c r="BK60" s="54"/>
      <c r="BL60" s="54"/>
      <c r="BM60" s="54"/>
      <c r="BN60" s="54"/>
      <c r="BO60" s="54"/>
      <c r="BP60" s="54"/>
      <c r="BQ60" s="54"/>
      <c r="BR60" s="54"/>
      <c r="BS60" s="54"/>
      <c r="BT60" s="54"/>
      <c r="BU60" s="54"/>
      <c r="BV60" s="54"/>
      <c r="BW60" s="54"/>
      <c r="BX60" s="54"/>
      <c r="BY60" s="54"/>
      <c r="BZ60" s="54"/>
    </row>
    <row r="61" spans="1:78" s="56" customFormat="1" x14ac:dyDescent="0.2">
      <c r="A61" s="66"/>
      <c r="B61" s="66"/>
      <c r="C61" s="66"/>
      <c r="D61" s="66"/>
      <c r="E61" s="66"/>
      <c r="F61" s="66"/>
      <c r="G61" s="66"/>
      <c r="H61" s="66"/>
      <c r="I61" s="66"/>
      <c r="J61" s="66"/>
      <c r="K61" s="66"/>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4"/>
      <c r="BK61" s="54"/>
      <c r="BL61" s="54"/>
      <c r="BM61" s="54"/>
      <c r="BN61" s="54"/>
      <c r="BO61" s="54"/>
      <c r="BP61" s="54"/>
      <c r="BQ61" s="54"/>
      <c r="BR61" s="54"/>
      <c r="BS61" s="54"/>
      <c r="BT61" s="54"/>
      <c r="BU61" s="54"/>
      <c r="BV61" s="54"/>
      <c r="BW61" s="54"/>
      <c r="BX61" s="54"/>
      <c r="BY61" s="54"/>
      <c r="BZ61" s="54"/>
    </row>
    <row r="62" spans="1:78" s="56" customFormat="1" x14ac:dyDescent="0.2">
      <c r="A62" s="66"/>
      <c r="B62" s="66"/>
      <c r="C62" s="66"/>
      <c r="D62" s="66"/>
      <c r="E62" s="66"/>
      <c r="F62" s="66"/>
      <c r="G62" s="66"/>
      <c r="H62" s="66"/>
      <c r="I62" s="66"/>
      <c r="J62" s="66"/>
      <c r="K62" s="66"/>
      <c r="L62" s="54"/>
      <c r="M62" s="54"/>
      <c r="N62" s="54"/>
      <c r="O62" s="54"/>
      <c r="P62" s="54"/>
      <c r="Q62" s="54"/>
      <c r="R62" s="54"/>
      <c r="S62" s="54"/>
      <c r="T62" s="54"/>
      <c r="U62" s="54"/>
      <c r="V62" s="54"/>
      <c r="W62" s="54"/>
      <c r="X62" s="54"/>
      <c r="Y62" s="54"/>
      <c r="Z62" s="54"/>
      <c r="AA62" s="54"/>
      <c r="AB62" s="54"/>
      <c r="AC62" s="54"/>
      <c r="AD62" s="54"/>
      <c r="AE62" s="54"/>
      <c r="AF62" s="54"/>
      <c r="AG62" s="54"/>
      <c r="AH62" s="54"/>
      <c r="AI62" s="54"/>
      <c r="AJ62" s="54"/>
      <c r="AK62" s="54"/>
      <c r="AL62" s="54"/>
      <c r="AM62" s="54"/>
      <c r="AN62" s="54"/>
      <c r="AO62" s="54"/>
      <c r="AP62" s="54"/>
      <c r="AQ62" s="54"/>
      <c r="AR62" s="54"/>
      <c r="AS62" s="54"/>
      <c r="AT62" s="54"/>
      <c r="AU62" s="54"/>
      <c r="AV62" s="54"/>
      <c r="AW62" s="54"/>
      <c r="AX62" s="54"/>
      <c r="AY62" s="54"/>
      <c r="AZ62" s="54"/>
      <c r="BA62" s="54"/>
      <c r="BB62" s="54"/>
      <c r="BC62" s="54"/>
      <c r="BD62" s="54"/>
      <c r="BE62" s="54"/>
      <c r="BF62" s="54"/>
      <c r="BG62" s="54"/>
      <c r="BH62" s="54"/>
      <c r="BI62" s="54"/>
      <c r="BJ62" s="54"/>
      <c r="BK62" s="54"/>
      <c r="BL62" s="54"/>
      <c r="BM62" s="54"/>
      <c r="BN62" s="54"/>
      <c r="BO62" s="54"/>
      <c r="BP62" s="54"/>
      <c r="BQ62" s="54"/>
      <c r="BR62" s="54"/>
      <c r="BS62" s="54"/>
      <c r="BT62" s="54"/>
      <c r="BU62" s="54"/>
      <c r="BV62" s="54"/>
      <c r="BW62" s="54"/>
      <c r="BX62" s="54"/>
      <c r="BY62" s="54"/>
      <c r="BZ62" s="54"/>
    </row>
    <row r="63" spans="1:78" s="56" customFormat="1" x14ac:dyDescent="0.2">
      <c r="A63" s="66"/>
      <c r="B63" s="66"/>
      <c r="C63" s="66"/>
      <c r="D63" s="66"/>
      <c r="E63" s="66"/>
      <c r="F63" s="66"/>
      <c r="G63" s="66"/>
      <c r="H63" s="66"/>
      <c r="I63" s="66"/>
      <c r="J63" s="66"/>
      <c r="K63" s="66"/>
      <c r="L63" s="54"/>
      <c r="M63" s="54"/>
      <c r="N63" s="54"/>
      <c r="O63" s="54"/>
      <c r="P63" s="54"/>
      <c r="Q63" s="54"/>
      <c r="R63" s="54"/>
      <c r="S63" s="54"/>
      <c r="T63" s="54"/>
      <c r="U63" s="54"/>
      <c r="V63" s="54"/>
      <c r="W63" s="54"/>
      <c r="X63" s="54"/>
      <c r="Y63" s="54"/>
      <c r="Z63" s="54"/>
      <c r="AA63" s="54"/>
      <c r="AB63" s="54"/>
      <c r="AC63" s="54"/>
      <c r="AD63" s="54"/>
      <c r="AE63" s="54"/>
      <c r="AF63" s="54"/>
      <c r="AG63" s="54"/>
      <c r="AH63" s="54"/>
      <c r="AI63" s="54"/>
      <c r="AJ63" s="54"/>
      <c r="AK63" s="54"/>
      <c r="AL63" s="54"/>
      <c r="AM63" s="54"/>
      <c r="AN63" s="54"/>
      <c r="AO63" s="54"/>
      <c r="AP63" s="54"/>
      <c r="AQ63" s="54"/>
      <c r="AR63" s="54"/>
      <c r="AS63" s="54"/>
      <c r="AT63" s="54"/>
      <c r="AU63" s="54"/>
      <c r="AV63" s="54"/>
      <c r="AW63" s="54"/>
      <c r="AX63" s="54"/>
      <c r="AY63" s="54"/>
      <c r="AZ63" s="54"/>
      <c r="BA63" s="54"/>
      <c r="BB63" s="54"/>
      <c r="BC63" s="54"/>
      <c r="BD63" s="54"/>
      <c r="BE63" s="54"/>
      <c r="BF63" s="54"/>
      <c r="BG63" s="54"/>
      <c r="BH63" s="54"/>
      <c r="BI63" s="54"/>
      <c r="BJ63" s="54"/>
      <c r="BK63" s="54"/>
      <c r="BL63" s="54"/>
      <c r="BM63" s="54"/>
      <c r="BN63" s="54"/>
      <c r="BO63" s="54"/>
      <c r="BP63" s="54"/>
      <c r="BQ63" s="54"/>
      <c r="BR63" s="54"/>
      <c r="BS63" s="54"/>
      <c r="BT63" s="54"/>
      <c r="BU63" s="54"/>
      <c r="BV63" s="54"/>
      <c r="BW63" s="54"/>
      <c r="BX63" s="54"/>
      <c r="BY63" s="54"/>
      <c r="BZ63" s="54"/>
    </row>
    <row r="64" spans="1:78" s="56" customFormat="1" x14ac:dyDescent="0.2">
      <c r="A64" s="66"/>
      <c r="B64" s="66"/>
      <c r="C64" s="66"/>
      <c r="D64" s="66"/>
      <c r="E64" s="66"/>
      <c r="F64" s="66"/>
      <c r="G64" s="66"/>
      <c r="H64" s="66"/>
      <c r="I64" s="66"/>
      <c r="J64" s="66"/>
      <c r="K64" s="66"/>
      <c r="L64" s="54"/>
      <c r="M64" s="54"/>
      <c r="N64" s="54"/>
      <c r="O64" s="54"/>
      <c r="P64" s="54"/>
      <c r="Q64" s="54"/>
      <c r="R64" s="54"/>
      <c r="S64" s="54"/>
      <c r="T64" s="54"/>
      <c r="U64" s="54"/>
      <c r="V64" s="54"/>
      <c r="W64" s="54"/>
      <c r="X64" s="54"/>
      <c r="Y64" s="54"/>
      <c r="Z64" s="54"/>
      <c r="AA64" s="54"/>
      <c r="AB64" s="54"/>
      <c r="AC64" s="54"/>
      <c r="AD64" s="54"/>
      <c r="AE64" s="54"/>
      <c r="AF64" s="54"/>
      <c r="AG64" s="54"/>
      <c r="AH64" s="54"/>
      <c r="AI64" s="54"/>
      <c r="AJ64" s="54"/>
      <c r="AK64" s="54"/>
      <c r="AL64" s="54"/>
      <c r="AM64" s="54"/>
      <c r="AN64" s="54"/>
      <c r="AO64" s="54"/>
      <c r="AP64" s="54"/>
      <c r="AQ64" s="54"/>
      <c r="AR64" s="54"/>
      <c r="AS64" s="54"/>
      <c r="AT64" s="54"/>
      <c r="AU64" s="54"/>
      <c r="AV64" s="54"/>
      <c r="AW64" s="54"/>
      <c r="AX64" s="54"/>
      <c r="AY64" s="54"/>
      <c r="AZ64" s="54"/>
      <c r="BA64" s="54"/>
      <c r="BB64" s="54"/>
      <c r="BC64" s="54"/>
      <c r="BD64" s="54"/>
      <c r="BE64" s="54"/>
      <c r="BF64" s="54"/>
      <c r="BG64" s="54"/>
      <c r="BH64" s="54"/>
      <c r="BI64" s="54"/>
      <c r="BJ64" s="54"/>
      <c r="BK64" s="54"/>
      <c r="BL64" s="54"/>
      <c r="BM64" s="54"/>
      <c r="BN64" s="54"/>
      <c r="BO64" s="54"/>
      <c r="BP64" s="54"/>
      <c r="BQ64" s="54"/>
      <c r="BR64" s="54"/>
      <c r="BS64" s="54"/>
      <c r="BT64" s="54"/>
      <c r="BU64" s="54"/>
      <c r="BV64" s="54"/>
      <c r="BW64" s="54"/>
      <c r="BX64" s="54"/>
      <c r="BY64" s="54"/>
      <c r="BZ64" s="54"/>
    </row>
    <row r="65" spans="1:78" s="56" customFormat="1" x14ac:dyDescent="0.2">
      <c r="A65" s="66"/>
      <c r="B65" s="66"/>
      <c r="C65" s="66"/>
      <c r="D65" s="66"/>
      <c r="E65" s="66"/>
      <c r="F65" s="66"/>
      <c r="G65" s="66"/>
      <c r="H65" s="66"/>
      <c r="I65" s="66"/>
      <c r="J65" s="66"/>
      <c r="K65" s="66"/>
      <c r="L65" s="54"/>
      <c r="M65" s="54"/>
      <c r="N65" s="54"/>
      <c r="O65" s="54"/>
      <c r="P65" s="54"/>
      <c r="Q65" s="54"/>
      <c r="R65" s="54"/>
      <c r="S65" s="54"/>
      <c r="T65" s="54"/>
      <c r="U65" s="54"/>
      <c r="V65" s="54"/>
      <c r="W65" s="54"/>
      <c r="X65" s="54"/>
      <c r="Y65" s="54"/>
      <c r="Z65" s="54"/>
      <c r="AA65" s="54"/>
      <c r="AB65" s="54"/>
      <c r="AC65" s="54"/>
      <c r="AD65" s="54"/>
      <c r="AE65" s="54"/>
      <c r="AF65" s="54"/>
      <c r="AG65" s="54"/>
      <c r="AH65" s="54"/>
      <c r="AI65" s="54"/>
      <c r="AJ65" s="54"/>
      <c r="AK65" s="54"/>
      <c r="AL65" s="54"/>
      <c r="AM65" s="54"/>
      <c r="AN65" s="54"/>
      <c r="AO65" s="54"/>
      <c r="AP65" s="54"/>
      <c r="AQ65" s="54"/>
      <c r="AR65" s="54"/>
      <c r="AS65" s="54"/>
      <c r="AT65" s="54"/>
      <c r="AU65" s="54"/>
      <c r="AV65" s="54"/>
      <c r="AW65" s="54"/>
      <c r="AX65" s="54"/>
      <c r="AY65" s="54"/>
      <c r="AZ65" s="54"/>
      <c r="BA65" s="54"/>
      <c r="BB65" s="54"/>
      <c r="BC65" s="54"/>
      <c r="BD65" s="54"/>
      <c r="BE65" s="54"/>
      <c r="BF65" s="54"/>
      <c r="BG65" s="54"/>
      <c r="BH65" s="54"/>
      <c r="BI65" s="54"/>
      <c r="BJ65" s="54"/>
      <c r="BK65" s="54"/>
      <c r="BL65" s="54"/>
      <c r="BM65" s="54"/>
      <c r="BN65" s="54"/>
      <c r="BO65" s="54"/>
      <c r="BP65" s="54"/>
      <c r="BQ65" s="54"/>
      <c r="BR65" s="54"/>
      <c r="BS65" s="54"/>
      <c r="BT65" s="54"/>
      <c r="BU65" s="54"/>
      <c r="BV65" s="54"/>
      <c r="BW65" s="54"/>
      <c r="BX65" s="54"/>
      <c r="BY65" s="54"/>
      <c r="BZ65" s="54"/>
    </row>
    <row r="66" spans="1:78" s="56" customFormat="1" x14ac:dyDescent="0.2">
      <c r="A66" s="66"/>
      <c r="B66" s="66"/>
      <c r="C66" s="66"/>
      <c r="D66" s="66"/>
      <c r="E66" s="66"/>
      <c r="F66" s="66"/>
      <c r="G66" s="66"/>
      <c r="H66" s="66"/>
      <c r="I66" s="66"/>
      <c r="J66" s="66"/>
      <c r="K66" s="66"/>
      <c r="L66" s="54"/>
      <c r="M66" s="54"/>
      <c r="N66" s="54"/>
      <c r="O66" s="54"/>
      <c r="P66" s="54"/>
      <c r="Q66" s="54"/>
      <c r="R66" s="54"/>
      <c r="S66" s="54"/>
      <c r="T66" s="54"/>
      <c r="U66" s="54"/>
      <c r="V66" s="54"/>
      <c r="W66" s="54"/>
      <c r="X66" s="54"/>
      <c r="Y66" s="54"/>
      <c r="Z66" s="54"/>
      <c r="AA66" s="54"/>
      <c r="AB66" s="54"/>
      <c r="AC66" s="54"/>
      <c r="AD66" s="54"/>
      <c r="AE66" s="54"/>
      <c r="AF66" s="54"/>
      <c r="AG66" s="54"/>
      <c r="AH66" s="54"/>
      <c r="AI66" s="54"/>
      <c r="AJ66" s="54"/>
      <c r="AK66" s="54"/>
      <c r="AL66" s="54"/>
      <c r="AM66" s="54"/>
      <c r="AN66" s="54"/>
      <c r="AO66" s="54"/>
      <c r="AP66" s="54"/>
      <c r="AQ66" s="54"/>
      <c r="AR66" s="54"/>
      <c r="AS66" s="54"/>
      <c r="AT66" s="54"/>
      <c r="AU66" s="54"/>
      <c r="AV66" s="54"/>
      <c r="AW66" s="54"/>
      <c r="AX66" s="54"/>
      <c r="AY66" s="54"/>
      <c r="AZ66" s="54"/>
      <c r="BA66" s="54"/>
      <c r="BB66" s="54"/>
      <c r="BC66" s="54"/>
      <c r="BD66" s="54"/>
      <c r="BE66" s="54"/>
      <c r="BF66" s="54"/>
      <c r="BG66" s="54"/>
      <c r="BH66" s="54"/>
      <c r="BI66" s="54"/>
      <c r="BJ66" s="54"/>
      <c r="BK66" s="54"/>
      <c r="BL66" s="54"/>
      <c r="BM66" s="54"/>
      <c r="BN66" s="54"/>
      <c r="BO66" s="54"/>
      <c r="BP66" s="54"/>
      <c r="BQ66" s="54"/>
      <c r="BR66" s="54"/>
      <c r="BS66" s="54"/>
      <c r="BT66" s="54"/>
      <c r="BU66" s="54"/>
      <c r="BV66" s="54"/>
      <c r="BW66" s="54"/>
      <c r="BX66" s="54"/>
      <c r="BY66" s="54"/>
      <c r="BZ66" s="54"/>
    </row>
    <row r="67" spans="1:78" s="56" customFormat="1" x14ac:dyDescent="0.2">
      <c r="A67" s="66"/>
      <c r="B67" s="66"/>
      <c r="C67" s="66"/>
      <c r="D67" s="66"/>
      <c r="E67" s="66"/>
      <c r="F67" s="66"/>
      <c r="G67" s="66"/>
      <c r="H67" s="66"/>
      <c r="I67" s="66"/>
      <c r="J67" s="66"/>
      <c r="K67" s="66"/>
      <c r="L67" s="54"/>
      <c r="M67" s="54"/>
      <c r="N67" s="54"/>
      <c r="O67" s="54"/>
      <c r="P67" s="54"/>
      <c r="Q67" s="54"/>
      <c r="R67" s="54"/>
      <c r="S67" s="54"/>
      <c r="T67" s="54"/>
      <c r="U67" s="54"/>
      <c r="V67" s="54"/>
      <c r="W67" s="54"/>
      <c r="X67" s="54"/>
      <c r="Y67" s="54"/>
      <c r="Z67" s="54"/>
      <c r="AA67" s="54"/>
      <c r="AB67" s="54"/>
      <c r="AC67" s="54"/>
      <c r="AD67" s="54"/>
      <c r="AE67" s="54"/>
      <c r="AF67" s="54"/>
      <c r="AG67" s="54"/>
      <c r="AH67" s="54"/>
      <c r="AI67" s="54"/>
      <c r="AJ67" s="54"/>
      <c r="AK67" s="54"/>
      <c r="AL67" s="54"/>
      <c r="AM67" s="54"/>
      <c r="AN67" s="54"/>
      <c r="AO67" s="54"/>
      <c r="AP67" s="54"/>
      <c r="AQ67" s="54"/>
      <c r="AR67" s="54"/>
      <c r="AS67" s="54"/>
      <c r="AT67" s="54"/>
      <c r="AU67" s="54"/>
      <c r="AV67" s="54"/>
      <c r="AW67" s="54"/>
      <c r="AX67" s="54"/>
      <c r="AY67" s="54"/>
      <c r="AZ67" s="54"/>
      <c r="BA67" s="54"/>
      <c r="BB67" s="54"/>
      <c r="BC67" s="54"/>
      <c r="BD67" s="54"/>
      <c r="BE67" s="54"/>
      <c r="BF67" s="54"/>
      <c r="BG67" s="54"/>
      <c r="BH67" s="54"/>
      <c r="BI67" s="54"/>
      <c r="BJ67" s="54"/>
      <c r="BK67" s="54"/>
      <c r="BL67" s="54"/>
      <c r="BM67" s="54"/>
      <c r="BN67" s="54"/>
      <c r="BO67" s="54"/>
      <c r="BP67" s="54"/>
      <c r="BQ67" s="54"/>
      <c r="BR67" s="54"/>
      <c r="BS67" s="54"/>
      <c r="BT67" s="54"/>
      <c r="BU67" s="54"/>
      <c r="BV67" s="54"/>
      <c r="BW67" s="54"/>
      <c r="BX67" s="54"/>
      <c r="BY67" s="54"/>
      <c r="BZ67" s="54"/>
    </row>
    <row r="68" spans="1:78" s="56" customFormat="1" x14ac:dyDescent="0.2">
      <c r="A68" s="68"/>
      <c r="B68" s="68"/>
      <c r="C68" s="68"/>
      <c r="D68" s="68"/>
      <c r="E68" s="68"/>
      <c r="F68" s="68"/>
      <c r="G68" s="68"/>
      <c r="H68" s="68"/>
      <c r="I68" s="68"/>
      <c r="J68" s="68"/>
      <c r="K68" s="68"/>
      <c r="L68" s="68"/>
      <c r="M68" s="68"/>
      <c r="N68" s="68"/>
      <c r="O68" s="68"/>
      <c r="P68" s="68"/>
      <c r="Q68" s="68"/>
      <c r="R68" s="68"/>
      <c r="S68" s="68"/>
      <c r="T68" s="68"/>
      <c r="U68" s="68"/>
      <c r="V68" s="68"/>
      <c r="W68" s="68"/>
      <c r="X68" s="68"/>
      <c r="Y68" s="68"/>
      <c r="Z68" s="68"/>
      <c r="AA68" s="68"/>
      <c r="AB68" s="68"/>
      <c r="AC68" s="68"/>
      <c r="AD68" s="68"/>
      <c r="AE68" s="68"/>
      <c r="AF68" s="68"/>
      <c r="AG68" s="68"/>
      <c r="AH68" s="68"/>
      <c r="AI68" s="68"/>
      <c r="AJ68" s="68"/>
      <c r="AK68" s="68"/>
      <c r="AL68" s="68"/>
      <c r="AM68" s="68"/>
      <c r="AN68" s="68"/>
      <c r="AO68" s="68"/>
      <c r="AP68" s="68"/>
      <c r="AQ68" s="68"/>
      <c r="AR68" s="68"/>
      <c r="AS68" s="68"/>
      <c r="AT68" s="68"/>
      <c r="AU68" s="68"/>
      <c r="AV68" s="68"/>
      <c r="AW68" s="68"/>
      <c r="AX68" s="68"/>
      <c r="AY68" s="68"/>
      <c r="AZ68" s="68"/>
      <c r="BA68" s="68"/>
      <c r="BB68" s="68"/>
      <c r="BC68" s="68"/>
      <c r="BD68" s="68"/>
      <c r="BE68" s="68"/>
      <c r="BF68" s="68"/>
      <c r="BG68" s="68"/>
      <c r="BH68" s="68"/>
      <c r="BI68" s="68"/>
      <c r="BJ68" s="68"/>
      <c r="BK68" s="68"/>
      <c r="BL68" s="68"/>
      <c r="BM68" s="68"/>
      <c r="BN68" s="68"/>
      <c r="BO68" s="68"/>
      <c r="BP68" s="68"/>
      <c r="BQ68" s="68"/>
      <c r="BR68" s="68"/>
      <c r="BS68" s="68"/>
      <c r="BT68" s="68"/>
      <c r="BU68" s="54"/>
      <c r="BV68" s="54"/>
      <c r="BW68" s="54"/>
      <c r="BX68" s="54"/>
      <c r="BY68" s="54"/>
      <c r="BZ68" s="54"/>
    </row>
    <row r="69" spans="1:78" s="56" customFormat="1" x14ac:dyDescent="0.2">
      <c r="A69" s="66"/>
      <c r="B69" s="66"/>
      <c r="C69" s="66"/>
      <c r="D69" s="66"/>
      <c r="E69" s="66"/>
      <c r="F69" s="66"/>
      <c r="G69" s="66"/>
      <c r="H69" s="66"/>
      <c r="I69" s="66"/>
      <c r="J69" s="66"/>
      <c r="K69" s="66"/>
      <c r="L69" s="54"/>
      <c r="M69" s="54"/>
      <c r="N69" s="54"/>
      <c r="O69" s="54"/>
      <c r="P69" s="54"/>
      <c r="Q69" s="54"/>
      <c r="R69" s="54"/>
      <c r="S69" s="54"/>
      <c r="T69" s="54"/>
      <c r="U69" s="54"/>
      <c r="V69" s="54"/>
      <c r="W69" s="54"/>
      <c r="X69" s="54"/>
      <c r="Y69" s="54"/>
      <c r="Z69" s="54"/>
      <c r="AA69" s="54"/>
      <c r="AB69" s="54"/>
      <c r="AC69" s="54"/>
      <c r="AD69" s="54"/>
      <c r="AE69" s="54"/>
      <c r="AF69" s="54"/>
      <c r="AG69" s="54"/>
      <c r="AH69" s="54"/>
      <c r="AI69" s="54"/>
      <c r="AJ69" s="54"/>
      <c r="AK69" s="54"/>
      <c r="AL69" s="54"/>
      <c r="AM69" s="54"/>
      <c r="AN69" s="54"/>
      <c r="AO69" s="54"/>
      <c r="AP69" s="54"/>
      <c r="AQ69" s="54"/>
      <c r="AR69" s="54"/>
      <c r="AS69" s="54"/>
      <c r="AT69" s="54"/>
      <c r="AU69" s="54"/>
      <c r="AV69" s="54"/>
      <c r="AW69" s="54"/>
      <c r="AX69" s="54"/>
      <c r="AY69" s="54"/>
      <c r="AZ69" s="54"/>
      <c r="BA69" s="54"/>
      <c r="BB69" s="54"/>
      <c r="BC69" s="54"/>
      <c r="BD69" s="54"/>
      <c r="BE69" s="54"/>
      <c r="BF69" s="54"/>
      <c r="BG69" s="54"/>
      <c r="BH69" s="54"/>
      <c r="BI69" s="54"/>
      <c r="BJ69" s="54"/>
      <c r="BK69" s="54"/>
      <c r="BL69" s="54"/>
      <c r="BM69" s="54"/>
      <c r="BN69" s="54"/>
      <c r="BO69" s="54"/>
      <c r="BP69" s="54"/>
      <c r="BQ69" s="54"/>
      <c r="BR69" s="54"/>
      <c r="BS69" s="54"/>
      <c r="BT69" s="54"/>
      <c r="BU69" s="54"/>
      <c r="BV69" s="54"/>
      <c r="BW69" s="54"/>
      <c r="BX69" s="54"/>
      <c r="BY69" s="54"/>
      <c r="BZ69" s="54"/>
    </row>
    <row r="70" spans="1:78" s="56" customFormat="1" x14ac:dyDescent="0.2">
      <c r="A70" s="66"/>
      <c r="B70" s="66"/>
      <c r="C70" s="66"/>
      <c r="D70" s="66"/>
      <c r="E70" s="66"/>
      <c r="F70" s="66"/>
      <c r="G70" s="66"/>
      <c r="H70" s="66"/>
      <c r="I70" s="66"/>
      <c r="J70" s="66"/>
      <c r="K70" s="66"/>
      <c r="L70" s="54"/>
      <c r="M70" s="54"/>
      <c r="N70" s="54"/>
      <c r="O70" s="54"/>
      <c r="P70" s="54"/>
      <c r="Q70" s="54"/>
      <c r="R70" s="54"/>
      <c r="S70" s="54"/>
      <c r="T70" s="54"/>
      <c r="U70" s="54"/>
      <c r="V70" s="54"/>
      <c r="W70" s="54"/>
      <c r="X70" s="54"/>
      <c r="Y70" s="54"/>
      <c r="Z70" s="54"/>
      <c r="AA70" s="54"/>
      <c r="AB70" s="54"/>
      <c r="AC70" s="54"/>
      <c r="AD70" s="54"/>
      <c r="AE70" s="54"/>
      <c r="AF70" s="54"/>
      <c r="AG70" s="54"/>
      <c r="AH70" s="54"/>
      <c r="AI70" s="54"/>
      <c r="AJ70" s="54"/>
      <c r="AK70" s="54"/>
      <c r="AL70" s="54"/>
      <c r="AM70" s="54"/>
      <c r="AN70" s="54"/>
      <c r="AO70" s="54"/>
      <c r="AP70" s="54"/>
      <c r="AQ70" s="54"/>
      <c r="AR70" s="54"/>
      <c r="AS70" s="54"/>
      <c r="AT70" s="54"/>
      <c r="AU70" s="54"/>
      <c r="AV70" s="54"/>
      <c r="AW70" s="54"/>
      <c r="AX70" s="54"/>
      <c r="AY70" s="54"/>
      <c r="AZ70" s="54"/>
      <c r="BA70" s="54"/>
      <c r="BB70" s="54"/>
      <c r="BC70" s="54"/>
      <c r="BD70" s="54"/>
      <c r="BE70" s="54"/>
      <c r="BF70" s="54"/>
      <c r="BG70" s="54"/>
      <c r="BH70" s="54"/>
      <c r="BI70" s="54"/>
      <c r="BJ70" s="54"/>
      <c r="BK70" s="54"/>
      <c r="BL70" s="54"/>
      <c r="BM70" s="54"/>
      <c r="BN70" s="54"/>
      <c r="BO70" s="54"/>
      <c r="BP70" s="54"/>
      <c r="BQ70" s="54"/>
      <c r="BR70" s="54"/>
      <c r="BS70" s="54"/>
      <c r="BT70" s="54"/>
      <c r="BU70" s="54"/>
      <c r="BV70" s="54"/>
      <c r="BW70" s="54"/>
      <c r="BX70" s="54"/>
      <c r="BY70" s="54"/>
      <c r="BZ70" s="54"/>
    </row>
    <row r="71" spans="1:78" s="56" customFormat="1" x14ac:dyDescent="0.2">
      <c r="A71" s="66"/>
      <c r="B71" s="66"/>
      <c r="C71" s="66"/>
      <c r="D71" s="66"/>
      <c r="E71" s="66"/>
      <c r="F71" s="66"/>
      <c r="G71" s="66"/>
      <c r="H71" s="66"/>
      <c r="I71" s="66"/>
      <c r="J71" s="66"/>
      <c r="K71" s="66"/>
      <c r="L71" s="54"/>
      <c r="M71" s="54"/>
      <c r="N71" s="54"/>
      <c r="O71" s="54"/>
      <c r="P71" s="54"/>
      <c r="Q71" s="54"/>
      <c r="R71" s="54"/>
      <c r="S71" s="54"/>
      <c r="T71" s="54"/>
      <c r="U71" s="54"/>
      <c r="V71" s="54"/>
      <c r="W71" s="54"/>
      <c r="X71" s="54"/>
      <c r="Y71" s="54"/>
      <c r="Z71" s="54"/>
      <c r="AA71" s="54"/>
      <c r="AB71" s="54"/>
      <c r="AC71" s="54"/>
      <c r="AD71" s="54"/>
      <c r="AE71" s="54"/>
      <c r="AF71" s="54"/>
      <c r="AG71" s="54"/>
      <c r="AH71" s="54"/>
      <c r="AI71" s="54"/>
      <c r="AJ71" s="54"/>
      <c r="AK71" s="54"/>
      <c r="AL71" s="54"/>
      <c r="AM71" s="54"/>
      <c r="AN71" s="54"/>
      <c r="AO71" s="54"/>
      <c r="AP71" s="54"/>
      <c r="AQ71" s="54"/>
      <c r="AR71" s="54"/>
      <c r="AS71" s="54"/>
      <c r="AT71" s="54"/>
      <c r="AU71" s="54"/>
      <c r="AV71" s="54"/>
      <c r="AW71" s="54"/>
      <c r="AX71" s="5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c r="BW71" s="54"/>
      <c r="BX71" s="54"/>
      <c r="BY71" s="54"/>
      <c r="BZ71" s="54"/>
    </row>
    <row r="72" spans="1:78" s="56" customFormat="1" x14ac:dyDescent="0.2">
      <c r="A72" s="66"/>
      <c r="B72" s="66"/>
      <c r="C72" s="66"/>
      <c r="D72" s="66"/>
      <c r="E72" s="66"/>
      <c r="F72" s="66"/>
      <c r="G72" s="66"/>
      <c r="H72" s="66"/>
      <c r="I72" s="66"/>
      <c r="J72" s="66"/>
      <c r="K72" s="66"/>
      <c r="L72" s="54"/>
      <c r="M72" s="54"/>
      <c r="N72" s="54"/>
      <c r="O72" s="54"/>
      <c r="P72" s="54"/>
      <c r="Q72" s="54"/>
      <c r="R72" s="54"/>
      <c r="S72" s="54"/>
      <c r="T72" s="54"/>
      <c r="U72" s="54"/>
      <c r="V72" s="54"/>
      <c r="W72" s="54"/>
      <c r="X72" s="54"/>
      <c r="Y72" s="54"/>
      <c r="Z72" s="54"/>
      <c r="AA72" s="54"/>
      <c r="AB72" s="54"/>
      <c r="AC72" s="54"/>
      <c r="AD72" s="54"/>
      <c r="AE72" s="54"/>
      <c r="AF72" s="54"/>
      <c r="AG72" s="54"/>
      <c r="AH72" s="54"/>
      <c r="AI72" s="54"/>
      <c r="AJ72" s="54"/>
      <c r="AK72" s="54"/>
      <c r="AL72" s="54"/>
      <c r="AM72" s="54"/>
      <c r="AN72" s="54"/>
      <c r="AO72" s="54"/>
      <c r="AP72" s="54"/>
      <c r="AQ72" s="54"/>
      <c r="AR72" s="54"/>
      <c r="AS72" s="54"/>
      <c r="AT72" s="54"/>
      <c r="AU72" s="54"/>
      <c r="AV72" s="54"/>
      <c r="AW72" s="54"/>
      <c r="AX72" s="54"/>
      <c r="AY72" s="54"/>
      <c r="AZ72" s="54"/>
      <c r="BA72" s="54"/>
      <c r="BB72" s="54"/>
      <c r="BC72" s="54"/>
      <c r="BD72" s="54"/>
      <c r="BE72" s="54"/>
      <c r="BF72" s="54"/>
      <c r="BG72" s="54"/>
      <c r="BH72" s="54"/>
      <c r="BI72" s="54"/>
      <c r="BJ72" s="54"/>
      <c r="BK72" s="54"/>
      <c r="BL72" s="54"/>
      <c r="BM72" s="54"/>
      <c r="BN72" s="54"/>
      <c r="BO72" s="54"/>
      <c r="BP72" s="54"/>
      <c r="BQ72" s="54"/>
      <c r="BR72" s="54"/>
      <c r="BS72" s="54"/>
      <c r="BT72" s="54"/>
      <c r="BU72" s="54"/>
      <c r="BV72" s="54"/>
      <c r="BW72" s="54"/>
      <c r="BX72" s="54"/>
      <c r="BY72" s="54"/>
      <c r="BZ72" s="54"/>
    </row>
    <row r="73" spans="1:78" s="56" customFormat="1" x14ac:dyDescent="0.2">
      <c r="A73" s="66"/>
      <c r="B73" s="66"/>
      <c r="C73" s="66"/>
      <c r="D73" s="66"/>
      <c r="E73" s="66"/>
      <c r="F73" s="66"/>
      <c r="G73" s="66"/>
      <c r="H73" s="66"/>
      <c r="I73" s="66"/>
      <c r="J73" s="66"/>
      <c r="K73" s="66"/>
      <c r="L73" s="54"/>
      <c r="M73" s="54"/>
      <c r="N73" s="54"/>
      <c r="O73" s="54"/>
      <c r="P73" s="54"/>
      <c r="Q73" s="54"/>
      <c r="R73" s="54"/>
      <c r="S73" s="54"/>
      <c r="T73" s="54"/>
      <c r="U73" s="54"/>
      <c r="V73" s="54"/>
      <c r="W73" s="54"/>
      <c r="X73" s="54"/>
      <c r="Y73" s="54"/>
      <c r="Z73" s="54"/>
      <c r="AA73" s="54"/>
      <c r="AB73" s="54"/>
      <c r="AC73" s="54"/>
      <c r="AD73" s="54"/>
      <c r="AE73" s="54"/>
      <c r="AF73" s="54"/>
      <c r="AG73" s="54"/>
      <c r="AH73" s="54"/>
      <c r="AI73" s="54"/>
      <c r="AJ73" s="54"/>
      <c r="AK73" s="54"/>
      <c r="AL73" s="54"/>
      <c r="AM73" s="54"/>
      <c r="AN73" s="54"/>
      <c r="AO73" s="54"/>
      <c r="AP73" s="54"/>
      <c r="AQ73" s="54"/>
      <c r="AR73" s="54"/>
      <c r="AS73" s="54"/>
      <c r="AT73" s="54"/>
      <c r="AU73" s="54"/>
      <c r="AV73" s="54"/>
      <c r="AW73" s="54"/>
      <c r="AX73" s="54"/>
      <c r="AY73" s="54"/>
      <c r="AZ73" s="54"/>
      <c r="BA73" s="54"/>
      <c r="BB73" s="54"/>
      <c r="BC73" s="54"/>
      <c r="BD73" s="54"/>
      <c r="BE73" s="54"/>
      <c r="BF73" s="54"/>
      <c r="BG73" s="54"/>
      <c r="BH73" s="54"/>
      <c r="BI73" s="54"/>
      <c r="BJ73" s="54"/>
      <c r="BK73" s="54"/>
      <c r="BL73" s="54"/>
      <c r="BM73" s="54"/>
      <c r="BN73" s="54"/>
      <c r="BO73" s="54"/>
      <c r="BP73" s="54"/>
      <c r="BQ73" s="54"/>
      <c r="BR73" s="54"/>
      <c r="BS73" s="54"/>
      <c r="BT73" s="54"/>
      <c r="BU73" s="54"/>
      <c r="BV73" s="54"/>
      <c r="BW73" s="54"/>
      <c r="BX73" s="54"/>
      <c r="BY73" s="54"/>
      <c r="BZ73" s="54"/>
    </row>
    <row r="74" spans="1:78" s="56" customFormat="1" x14ac:dyDescent="0.2">
      <c r="A74" s="66"/>
      <c r="B74" s="66"/>
      <c r="C74" s="66"/>
      <c r="D74" s="66"/>
      <c r="E74" s="66"/>
      <c r="F74" s="66"/>
      <c r="G74" s="66"/>
      <c r="H74" s="66"/>
      <c r="I74" s="66"/>
      <c r="J74" s="66"/>
      <c r="K74" s="66"/>
      <c r="L74" s="54"/>
      <c r="M74" s="54"/>
      <c r="N74" s="54"/>
      <c r="O74" s="54"/>
      <c r="P74" s="54"/>
      <c r="Q74" s="54"/>
      <c r="R74" s="54"/>
      <c r="S74" s="54"/>
      <c r="T74" s="54"/>
      <c r="U74" s="54"/>
      <c r="V74" s="54"/>
      <c r="W74" s="54"/>
      <c r="X74" s="54"/>
      <c r="Y74" s="54"/>
      <c r="Z74" s="54"/>
      <c r="AA74" s="54"/>
      <c r="AB74" s="54"/>
      <c r="AC74" s="54"/>
      <c r="AD74" s="54"/>
      <c r="AE74" s="54"/>
      <c r="AF74" s="54"/>
      <c r="AG74" s="54"/>
      <c r="AH74" s="54"/>
      <c r="AI74" s="54"/>
      <c r="AJ74" s="54"/>
      <c r="AK74" s="54"/>
      <c r="AL74" s="54"/>
      <c r="AM74" s="54"/>
      <c r="AN74" s="54"/>
      <c r="AO74" s="54"/>
      <c r="AP74" s="54"/>
      <c r="AQ74" s="54"/>
      <c r="AR74" s="54"/>
      <c r="AS74" s="54"/>
      <c r="AT74" s="54"/>
      <c r="AU74" s="54"/>
      <c r="AV74" s="54"/>
      <c r="AW74" s="54"/>
      <c r="AX74" s="54"/>
      <c r="AY74" s="54"/>
      <c r="AZ74" s="54"/>
      <c r="BA74" s="54"/>
      <c r="BB74" s="54"/>
      <c r="BC74" s="54"/>
      <c r="BD74" s="54"/>
      <c r="BE74" s="54"/>
      <c r="BF74" s="54"/>
      <c r="BG74" s="54"/>
      <c r="BH74" s="54"/>
      <c r="BI74" s="54"/>
      <c r="BJ74" s="54"/>
      <c r="BK74" s="54"/>
      <c r="BL74" s="54"/>
      <c r="BM74" s="54"/>
      <c r="BN74" s="54"/>
      <c r="BO74" s="54"/>
      <c r="BP74" s="54"/>
      <c r="BQ74" s="54"/>
      <c r="BR74" s="54"/>
      <c r="BS74" s="54"/>
      <c r="BT74" s="54"/>
      <c r="BU74" s="54"/>
      <c r="BV74" s="54"/>
      <c r="BW74" s="54"/>
      <c r="BX74" s="54"/>
      <c r="BY74" s="54"/>
      <c r="BZ74" s="54"/>
    </row>
    <row r="75" spans="1:78" x14ac:dyDescent="0.2">
      <c r="A75" s="66"/>
      <c r="B75" s="66"/>
      <c r="C75" s="66"/>
      <c r="D75" s="66"/>
      <c r="E75" s="66"/>
      <c r="F75" s="66"/>
      <c r="G75" s="66"/>
      <c r="H75" s="66"/>
      <c r="I75" s="66"/>
      <c r="J75" s="66"/>
      <c r="K75" s="66"/>
    </row>
    <row r="76" spans="1:78" x14ac:dyDescent="0.2">
      <c r="A76" s="66"/>
      <c r="B76" s="66"/>
      <c r="C76" s="66"/>
      <c r="D76" s="66"/>
      <c r="E76" s="66"/>
      <c r="F76" s="66"/>
      <c r="G76" s="66"/>
      <c r="H76" s="66"/>
      <c r="I76" s="66"/>
      <c r="J76" s="66"/>
      <c r="K76" s="66"/>
    </row>
    <row r="77" spans="1:78" x14ac:dyDescent="0.2">
      <c r="A77" s="66"/>
      <c r="B77" s="66"/>
      <c r="C77" s="66"/>
      <c r="D77" s="66"/>
      <c r="E77" s="66"/>
      <c r="F77" s="66"/>
      <c r="G77" s="66"/>
      <c r="H77" s="66"/>
      <c r="I77" s="66"/>
      <c r="J77" s="66"/>
      <c r="K77" s="66"/>
    </row>
    <row r="78" spans="1:78" x14ac:dyDescent="0.2">
      <c r="A78" s="66"/>
      <c r="B78" s="66"/>
      <c r="C78" s="66"/>
      <c r="D78" s="66"/>
      <c r="E78" s="66"/>
      <c r="F78" s="66"/>
      <c r="G78" s="66"/>
      <c r="H78" s="66"/>
      <c r="I78" s="66"/>
      <c r="J78" s="66"/>
      <c r="K78" s="66"/>
    </row>
    <row r="79" spans="1:78" x14ac:dyDescent="0.2">
      <c r="A79" s="66"/>
      <c r="B79" s="66"/>
      <c r="C79" s="66"/>
      <c r="D79" s="66"/>
      <c r="E79" s="66"/>
      <c r="F79" s="66"/>
      <c r="G79" s="66"/>
      <c r="H79" s="66"/>
      <c r="I79" s="66"/>
      <c r="J79" s="66"/>
      <c r="K79" s="66"/>
    </row>
    <row r="80" spans="1:78" x14ac:dyDescent="0.2">
      <c r="A80" s="66"/>
      <c r="B80" s="66"/>
      <c r="C80" s="66"/>
      <c r="D80" s="66"/>
      <c r="E80" s="66"/>
      <c r="F80" s="66"/>
      <c r="G80" s="66"/>
      <c r="H80" s="66"/>
      <c r="I80" s="66"/>
      <c r="J80" s="66"/>
      <c r="K80" s="66"/>
    </row>
    <row r="81" spans="1:11" x14ac:dyDescent="0.2">
      <c r="A81" s="66"/>
      <c r="B81" s="66"/>
      <c r="C81" s="66"/>
      <c r="D81" s="66"/>
      <c r="E81" s="66"/>
      <c r="F81" s="66"/>
      <c r="G81" s="66"/>
      <c r="H81" s="66"/>
      <c r="I81" s="66"/>
      <c r="J81" s="66"/>
      <c r="K81" s="66"/>
    </row>
    <row r="82" spans="1:11" x14ac:dyDescent="0.2">
      <c r="A82" s="66"/>
      <c r="B82" s="66"/>
      <c r="C82" s="66"/>
      <c r="D82" s="66"/>
      <c r="E82" s="66"/>
      <c r="F82" s="66"/>
      <c r="G82" s="66"/>
      <c r="H82" s="66"/>
      <c r="I82" s="66"/>
      <c r="J82" s="66"/>
      <c r="K82" s="66"/>
    </row>
    <row r="83" spans="1:11" x14ac:dyDescent="0.2">
      <c r="A83" s="66"/>
      <c r="B83" s="66"/>
      <c r="C83" s="66"/>
      <c r="D83" s="66"/>
      <c r="E83" s="66"/>
      <c r="F83" s="66"/>
      <c r="G83" s="66"/>
      <c r="H83" s="66"/>
      <c r="I83" s="66"/>
      <c r="J83" s="66"/>
      <c r="K83" s="66"/>
    </row>
    <row r="84" spans="1:11" x14ac:dyDescent="0.2">
      <c r="A84" s="66"/>
      <c r="B84" s="66"/>
      <c r="C84" s="66"/>
      <c r="D84" s="66"/>
      <c r="E84" s="66"/>
      <c r="F84" s="66"/>
      <c r="G84" s="66"/>
      <c r="H84" s="66"/>
      <c r="I84" s="66"/>
      <c r="J84" s="66"/>
      <c r="K84" s="66"/>
    </row>
    <row r="85" spans="1:11" x14ac:dyDescent="0.2">
      <c r="A85" s="66"/>
      <c r="B85" s="66"/>
      <c r="C85" s="66"/>
      <c r="D85" s="66"/>
      <c r="E85" s="66"/>
      <c r="F85" s="66"/>
      <c r="G85" s="66"/>
      <c r="H85" s="66"/>
      <c r="I85" s="66"/>
      <c r="J85" s="66"/>
      <c r="K85" s="66"/>
    </row>
    <row r="86" spans="1:11" x14ac:dyDescent="0.2">
      <c r="A86" s="66"/>
      <c r="B86" s="66"/>
      <c r="C86" s="66"/>
      <c r="D86" s="66"/>
      <c r="E86" s="66"/>
      <c r="F86" s="66"/>
      <c r="G86" s="66"/>
      <c r="H86" s="66"/>
      <c r="I86" s="66"/>
      <c r="J86" s="66"/>
      <c r="K86" s="66"/>
    </row>
    <row r="87" spans="1:11" x14ac:dyDescent="0.2">
      <c r="A87" s="66"/>
      <c r="B87" s="66"/>
      <c r="C87" s="66"/>
      <c r="D87" s="66"/>
      <c r="E87" s="66"/>
      <c r="F87" s="66"/>
      <c r="G87" s="66"/>
      <c r="H87" s="66"/>
      <c r="I87" s="66"/>
      <c r="J87" s="66"/>
      <c r="K87" s="66"/>
    </row>
    <row r="88" spans="1:11" x14ac:dyDescent="0.2">
      <c r="A88" s="66"/>
      <c r="B88" s="66"/>
      <c r="C88" s="66"/>
      <c r="D88" s="66"/>
      <c r="E88" s="66"/>
      <c r="F88" s="66"/>
      <c r="G88" s="66"/>
      <c r="H88" s="66"/>
      <c r="I88" s="66"/>
      <c r="J88" s="66"/>
      <c r="K88" s="66"/>
    </row>
    <row r="89" spans="1:11" x14ac:dyDescent="0.2">
      <c r="A89" s="66"/>
      <c r="B89" s="66"/>
      <c r="C89" s="66"/>
      <c r="D89" s="66"/>
      <c r="E89" s="66"/>
      <c r="F89" s="66"/>
      <c r="G89" s="66"/>
      <c r="H89" s="66"/>
      <c r="I89" s="66"/>
      <c r="J89" s="66"/>
      <c r="K89" s="66"/>
    </row>
    <row r="90" spans="1:11" x14ac:dyDescent="0.2">
      <c r="A90" s="66"/>
      <c r="B90" s="66"/>
      <c r="C90" s="66"/>
      <c r="D90" s="66"/>
      <c r="E90" s="66"/>
      <c r="F90" s="66"/>
      <c r="G90" s="66"/>
      <c r="H90" s="66"/>
      <c r="I90" s="66"/>
      <c r="J90" s="66"/>
      <c r="K90" s="66"/>
    </row>
    <row r="91" spans="1:11" x14ac:dyDescent="0.2">
      <c r="A91" s="66"/>
      <c r="B91" s="66"/>
      <c r="C91" s="66"/>
      <c r="D91" s="66"/>
      <c r="E91" s="66"/>
      <c r="F91" s="66"/>
      <c r="G91" s="66"/>
      <c r="H91" s="66"/>
      <c r="I91" s="66"/>
      <c r="J91" s="66"/>
      <c r="K91" s="66"/>
    </row>
    <row r="92" spans="1:11" x14ac:dyDescent="0.2">
      <c r="A92" s="66"/>
      <c r="B92" s="66"/>
      <c r="C92" s="66"/>
      <c r="D92" s="66"/>
      <c r="E92" s="66"/>
      <c r="F92" s="66"/>
      <c r="G92" s="66"/>
      <c r="H92" s="66"/>
      <c r="I92" s="66"/>
      <c r="J92" s="66"/>
      <c r="K92" s="66"/>
    </row>
    <row r="93" spans="1:11" x14ac:dyDescent="0.2">
      <c r="A93" s="66"/>
      <c r="B93" s="66"/>
      <c r="C93" s="66"/>
      <c r="D93" s="66"/>
      <c r="E93" s="66"/>
      <c r="F93" s="66"/>
      <c r="G93" s="66"/>
      <c r="H93" s="66"/>
      <c r="I93" s="66"/>
      <c r="J93" s="66"/>
      <c r="K93" s="66"/>
    </row>
    <row r="94" spans="1:11" x14ac:dyDescent="0.2">
      <c r="A94" s="66"/>
      <c r="B94" s="66"/>
      <c r="C94" s="66"/>
      <c r="D94" s="66"/>
      <c r="E94" s="66"/>
      <c r="F94" s="66"/>
      <c r="G94" s="66"/>
      <c r="H94" s="66"/>
      <c r="I94" s="66"/>
      <c r="J94" s="66"/>
      <c r="K94" s="66"/>
    </row>
    <row r="95" spans="1:11" x14ac:dyDescent="0.2">
      <c r="A95" s="66"/>
      <c r="B95" s="66"/>
      <c r="C95" s="66"/>
      <c r="D95" s="66"/>
      <c r="E95" s="66"/>
      <c r="F95" s="66"/>
      <c r="G95" s="66"/>
      <c r="H95" s="66"/>
      <c r="I95" s="66"/>
      <c r="J95" s="66"/>
      <c r="K95" s="66"/>
    </row>
    <row r="96" spans="1:11" x14ac:dyDescent="0.2">
      <c r="A96" s="66"/>
      <c r="B96" s="66"/>
      <c r="C96" s="66"/>
      <c r="D96" s="66"/>
      <c r="E96" s="66"/>
      <c r="F96" s="66"/>
      <c r="G96" s="66"/>
      <c r="H96" s="66"/>
      <c r="I96" s="66"/>
      <c r="J96" s="66"/>
      <c r="K96" s="66"/>
    </row>
    <row r="97" spans="1:17" x14ac:dyDescent="0.2">
      <c r="A97" s="66"/>
      <c r="B97" s="66"/>
      <c r="C97" s="66"/>
      <c r="D97" s="66"/>
      <c r="E97" s="66"/>
      <c r="F97" s="66"/>
      <c r="G97" s="66"/>
      <c r="H97" s="66"/>
      <c r="I97" s="66"/>
      <c r="J97" s="66"/>
      <c r="K97" s="66"/>
    </row>
    <row r="98" spans="1:17" x14ac:dyDescent="0.2">
      <c r="A98" s="66"/>
      <c r="B98" s="66"/>
      <c r="C98" s="66"/>
      <c r="D98" s="66"/>
      <c r="E98" s="66"/>
      <c r="F98" s="66"/>
      <c r="G98" s="66"/>
      <c r="H98" s="66"/>
      <c r="I98" s="66"/>
      <c r="J98" s="66"/>
      <c r="K98" s="66"/>
    </row>
    <row r="99" spans="1:17" x14ac:dyDescent="0.2">
      <c r="A99" s="66"/>
      <c r="B99" s="66"/>
      <c r="C99" s="66"/>
      <c r="D99" s="66"/>
      <c r="E99" s="66"/>
      <c r="F99" s="66"/>
      <c r="G99" s="66"/>
      <c r="H99" s="66"/>
      <c r="I99" s="66"/>
      <c r="J99" s="66"/>
      <c r="K99" s="66"/>
    </row>
    <row r="100" spans="1:17" x14ac:dyDescent="0.2">
      <c r="A100" s="66"/>
      <c r="B100" s="66"/>
      <c r="C100" s="66"/>
      <c r="D100" s="66"/>
      <c r="E100" s="66"/>
      <c r="F100" s="66"/>
      <c r="G100" s="66"/>
      <c r="H100" s="66"/>
      <c r="I100" s="66"/>
      <c r="J100" s="66"/>
      <c r="K100" s="66"/>
    </row>
    <row r="101" spans="1:17" ht="15" x14ac:dyDescent="0.2">
      <c r="A101" s="69">
        <f ca="1">_LATESTvarPubDate</f>
        <v>45639.454722222225</v>
      </c>
      <c r="B101" s="70" t="str">
        <f>$A$1</f>
        <v>RANDOM LENGTHS PANEL REPORT</v>
      </c>
      <c r="C101" s="71"/>
      <c r="D101" s="71"/>
      <c r="E101" s="71"/>
      <c r="F101" s="71"/>
      <c r="G101" s="71"/>
      <c r="H101" s="72" t="s">
        <v>7</v>
      </c>
      <c r="I101" s="71"/>
      <c r="J101" s="71"/>
      <c r="K101" s="71"/>
      <c r="L101" s="71"/>
      <c r="M101" s="56"/>
      <c r="N101" s="56"/>
      <c r="O101" s="56"/>
      <c r="P101" s="56"/>
    </row>
    <row r="105" spans="1:17" x14ac:dyDescent="0.2">
      <c r="A105" s="73" t="s">
        <v>8</v>
      </c>
      <c r="B105" s="56"/>
      <c r="C105" s="56"/>
      <c r="D105" s="56"/>
      <c r="E105" s="56"/>
      <c r="F105" s="56"/>
      <c r="G105" s="56"/>
      <c r="H105" s="56"/>
      <c r="K105" s="74" t="s">
        <v>9</v>
      </c>
      <c r="L105" s="56"/>
      <c r="M105" s="56"/>
      <c r="N105" s="75"/>
      <c r="Q105" s="56"/>
    </row>
    <row r="106" spans="1:17" x14ac:dyDescent="0.2">
      <c r="A106" s="76" t="s">
        <v>10</v>
      </c>
      <c r="K106" s="76" t="s">
        <v>11</v>
      </c>
      <c r="L106" s="77"/>
      <c r="M106" s="56"/>
      <c r="N106" s="78"/>
      <c r="O106" s="78"/>
      <c r="Q106" s="78"/>
    </row>
    <row r="107" spans="1:17" x14ac:dyDescent="0.2">
      <c r="B107" s="79" t="s">
        <v>12</v>
      </c>
      <c r="C107" s="79" t="s">
        <v>13</v>
      </c>
      <c r="D107" s="79" t="s">
        <v>14</v>
      </c>
      <c r="E107" s="79" t="s">
        <v>15</v>
      </c>
      <c r="F107" s="79" t="s">
        <v>15</v>
      </c>
      <c r="G107" s="80" t="s">
        <v>16</v>
      </c>
      <c r="H107" s="81"/>
      <c r="K107" s="56"/>
      <c r="L107" s="79"/>
      <c r="M107" s="82"/>
      <c r="N107" s="79" t="s">
        <v>17</v>
      </c>
      <c r="O107" s="79"/>
      <c r="P107" s="79" t="s">
        <v>18</v>
      </c>
      <c r="Q107" s="79" t="s">
        <v>19</v>
      </c>
    </row>
    <row r="108" spans="1:17" x14ac:dyDescent="0.2">
      <c r="A108" s="56"/>
      <c r="B108" s="79" t="s">
        <v>20</v>
      </c>
      <c r="C108" s="79" t="s">
        <v>21</v>
      </c>
      <c r="D108" s="79" t="s">
        <v>21</v>
      </c>
      <c r="E108" s="79" t="s">
        <v>22</v>
      </c>
      <c r="F108" s="79" t="s">
        <v>23</v>
      </c>
      <c r="G108" s="79" t="s">
        <v>24</v>
      </c>
      <c r="K108" s="56"/>
      <c r="L108" s="79" t="s">
        <v>25</v>
      </c>
      <c r="M108" s="82"/>
      <c r="N108" s="79" t="s">
        <v>26</v>
      </c>
      <c r="O108" s="79" t="s">
        <v>18</v>
      </c>
      <c r="P108" s="79" t="s">
        <v>27</v>
      </c>
      <c r="Q108" s="79" t="s">
        <v>28</v>
      </c>
    </row>
    <row r="109" spans="1:17" x14ac:dyDescent="0.2">
      <c r="A109" s="79" t="s">
        <v>29</v>
      </c>
      <c r="B109" s="83" cm="1">
        <f t="array" aca="1" ref="B109" ca="1">_xll.GetPrice("FP-PNL-0027","Actual","Low",_LATESTvarPubDate)</f>
        <v>415</v>
      </c>
      <c r="C109" s="83">
        <f t="array" aca="1" ref="C109" ca="1">_xll.GetPrice("FP-PNL-0033","Actual","Low",_LATESTvarPubDate)</f>
        <v>385</v>
      </c>
      <c r="D109" s="83">
        <f t="array" aca="1" ref="D109" ca="1">_xll.GetPrice("FP-PNL-0039","Actual","Low",_LATESTvarPubDate)</f>
        <v>345</v>
      </c>
      <c r="E109" s="83">
        <f t="array" aca="1" ref="E109" ca="1">_xll.GetPrice("FP-PNL-0109","Actual","Low",_LATESTvarPubDate)</f>
        <v>380</v>
      </c>
      <c r="F109" s="83">
        <f t="array" aca="1" ref="F109" ca="1">_xll.GetPrice("FP-PNL-0115","Actual","Low",_LATESTvarPubDate)</f>
        <v>375</v>
      </c>
      <c r="G109" s="83">
        <f t="array" aca="1" ref="G109" ca="1">_xll.GetPrice("FP-PNL-0121","Actual","Low",_LATESTvarPubDate)</f>
        <v>380</v>
      </c>
      <c r="I109" s="65"/>
      <c r="K109" s="79" t="s">
        <v>29</v>
      </c>
      <c r="L109" s="83">
        <f t="array" aca="1" ref="L109" ca="1">_xll.GetPrice("FP-PNL-0219","Actual","Low",_LATESTvarPubDate)</f>
        <v>445</v>
      </c>
      <c r="M109" s="56"/>
      <c r="N109" s="83">
        <f t="array" aca="1" ref="N109" ca="1">_xll.GetPrice("FP-PNL-0227","Actual","Low",_LATESTvarPubDate)</f>
        <v>475</v>
      </c>
      <c r="O109" s="83">
        <f t="array" aca="1" ref="O109" ca="1">_xll.GetPrice("FP-PNL-0231","Actual","Low",_LATESTvarPubDate)</f>
        <v>565</v>
      </c>
      <c r="P109" s="83">
        <f t="array" aca="1" ref="P109" ca="1">_xll.GetPrice("FP-PNL-0235","Actual","Low",_LATESTvarPubDate)</f>
        <v>1210</v>
      </c>
      <c r="Q109" s="83">
        <f t="array" aca="1" ref="Q109" ca="1">_xll.GetPrice("FP-PNL-0239","Actual","Low",_LATESTvarPubDate)</f>
        <v>305</v>
      </c>
    </row>
    <row r="110" spans="1:17" x14ac:dyDescent="0.2">
      <c r="A110" s="79" t="s">
        <v>30</v>
      </c>
      <c r="B110" s="83">
        <f t="array" aca="1" ref="B110" ca="1">_xll.GetPrice("FP-PNL-0028","Actual","Low",_LATESTvarPubDate)</f>
        <v>420</v>
      </c>
      <c r="C110" s="83">
        <f t="array" aca="1" ref="C110" ca="1">_xll.GetPrice("FP-PNL-0034","Actual","Low",_LATESTvarPubDate)</f>
        <v>385</v>
      </c>
      <c r="D110" s="83">
        <f t="array" aca="1" ref="D110" ca="1">_xll.GetPrice("FP-PNL-0040","Actual","Low",_LATESTvarPubDate)</f>
        <v>350</v>
      </c>
      <c r="E110" s="83">
        <f t="array" aca="1" ref="E110" ca="1">_xll.GetPrice("FP-PNL-0110","Actual","Low",_LATESTvarPubDate)</f>
        <v>380</v>
      </c>
      <c r="F110" s="83">
        <f t="array" aca="1" ref="F110" ca="1">_xll.GetPrice("FP-PNL-0116","Actual","Low",_LATESTvarPubDate)</f>
        <v>375</v>
      </c>
      <c r="G110" s="83">
        <f t="array" aca="1" ref="G110" ca="1">_xll.GetPrice("FP-PNL-0122","Actual","Low",_LATESTvarPubDate)</f>
        <v>390</v>
      </c>
      <c r="K110" s="79" t="s">
        <v>31</v>
      </c>
      <c r="L110" s="83">
        <f t="array" aca="1" ref="L110" ca="1">_xll.GetPrice("FP-PNL-0220","Actual","Low",_LATESTvarPubDate)</f>
        <v>510</v>
      </c>
      <c r="M110" s="56"/>
      <c r="N110" s="84" t="s">
        <v>32</v>
      </c>
      <c r="O110" s="85" t="s">
        <v>32</v>
      </c>
      <c r="P110" s="85" t="s">
        <v>32</v>
      </c>
      <c r="Q110" s="85" t="s">
        <v>32</v>
      </c>
    </row>
    <row r="111" spans="1:17" x14ac:dyDescent="0.2">
      <c r="A111" s="79" t="s">
        <v>33</v>
      </c>
      <c r="B111" s="83">
        <f t="array" aca="1" ref="B111" ca="1">_xll.GetPrice("FP-PNL-0029","Actual","Low",_LATESTvarPubDate)</f>
        <v>435</v>
      </c>
      <c r="C111" s="83">
        <f t="array" aca="1" ref="C111" ca="1">_xll.GetPrice("FP-PNL-0035","Actual","Low",_LATESTvarPubDate)</f>
        <v>420</v>
      </c>
      <c r="D111" s="83">
        <f t="array" aca="1" ref="D111" ca="1">_xll.GetPrice("FP-PNL-0041","Actual","Low",_LATESTvarPubDate)</f>
        <v>370</v>
      </c>
      <c r="E111" s="83">
        <f t="array" aca="1" ref="E111" ca="1">_xll.GetPrice("FP-PNL-0111","Actual","Low",_LATESTvarPubDate)</f>
        <v>400</v>
      </c>
      <c r="F111" s="83">
        <f t="array" aca="1" ref="F111" ca="1">_xll.GetPrice("FP-PNL-0117","Actual","Low",_LATESTvarPubDate)</f>
        <v>395</v>
      </c>
      <c r="G111" s="83">
        <f t="array" aca="1" ref="G111" ca="1">_xll.GetPrice("FP-PNL-0123","Actual","Low",_LATESTvarPubDate)</f>
        <v>410</v>
      </c>
      <c r="K111" s="79" t="s">
        <v>34</v>
      </c>
      <c r="L111" s="83">
        <f t="array" aca="1" ref="L111" ca="1">_xll.GetPrice("FP-PNL-0221","Actual","Low",_LATESTvarPubDate)</f>
        <v>525</v>
      </c>
      <c r="M111" s="83">
        <f t="array" aca="1" ref="M111" ca="1">_xll.GetPrice("FP-PNL-0222","Actual","Low",_LATESTvarPubDate)</f>
        <v>625</v>
      </c>
      <c r="N111" s="83">
        <f t="array" aca="1" ref="N111" ca="1">_xll.GetPrice("FP-PNL-0228","Actual","Low",_LATESTvarPubDate)</f>
        <v>650</v>
      </c>
      <c r="O111" s="83">
        <f t="array" aca="1" ref="O111" ca="1">_xll.GetPrice("FP-PNL-0232","Actual","Low",_LATESTvarPubDate)</f>
        <v>585</v>
      </c>
      <c r="P111" s="83">
        <f t="array" aca="1" ref="P111" ca="1">_xll.GetPrice("FP-PNL-0236","Actual","Low",_LATESTvarPubDate)</f>
        <v>1545</v>
      </c>
      <c r="Q111" s="83">
        <f t="array" aca="1" ref="Q111" ca="1">_xll.GetPrice("FP-PNL-0240","Actual","Low",_LATESTvarPubDate)</f>
        <v>315</v>
      </c>
    </row>
    <row r="112" spans="1:17" x14ac:dyDescent="0.2">
      <c r="A112" s="79" t="s">
        <v>35</v>
      </c>
      <c r="B112" s="83">
        <f t="array" aca="1" ref="B112" ca="1">_xll.GetPrice("FP-PNL-0030","Actual","Low",_LATESTvarPubDate)</f>
        <v>445</v>
      </c>
      <c r="C112" s="83">
        <f t="array" aca="1" ref="C112" ca="1">_xll.GetPrice("FP-PNL-0036","Actual","Low",_LATESTvarPubDate)</f>
        <v>445</v>
      </c>
      <c r="D112" s="83">
        <f t="array" aca="1" ref="D112" ca="1">_xll.GetPrice("FP-PNL-0042","Actual","Low",_LATESTvarPubDate)</f>
        <v>380</v>
      </c>
      <c r="E112" s="83">
        <f t="array" aca="1" ref="E112" ca="1">_xll.GetPrice("FP-PNL-0112","Actual","Low",_LATESTvarPubDate)</f>
        <v>420</v>
      </c>
      <c r="F112" s="83">
        <f t="array" aca="1" ref="F112" ca="1">_xll.GetPrice("FP-PNL-0118","Actual","Low",_LATESTvarPubDate)</f>
        <v>415</v>
      </c>
      <c r="G112" s="83">
        <f t="array" aca="1" ref="G112" ca="1">_xll.GetPrice("FP-PNL-0124","Actual","Low",_LATESTvarPubDate)</f>
        <v>430</v>
      </c>
      <c r="K112" s="79" t="s">
        <v>36</v>
      </c>
      <c r="L112" s="83">
        <f t="array" aca="1" ref="L112" ca="1">_xll.GetPrice("FP-PNL-0223","Actual","Low",_LATESTvarPubDate)</f>
        <v>670</v>
      </c>
      <c r="M112" s="83">
        <f t="array" aca="1" ref="M112" ca="1">_xll.GetPrice("FP-PNL-0224","Actual","Low",_LATESTvarPubDate)</f>
        <v>690</v>
      </c>
      <c r="N112" s="83">
        <f t="array" aca="1" ref="N112" ca="1">_xll.GetPrice("FP-PNL-0229","Actual","Low",_LATESTvarPubDate)</f>
        <v>720</v>
      </c>
      <c r="O112" s="83">
        <f t="array" aca="1" ref="O112" ca="1">_xll.GetPrice("FP-PNL-0233","Actual","Low",_LATESTvarPubDate)</f>
        <v>740</v>
      </c>
      <c r="P112" s="83">
        <f t="array" aca="1" ref="P112" ca="1">_xll.GetPrice("FP-PNL-0237","Actual","Low",_LATESTvarPubDate)</f>
        <v>1695</v>
      </c>
      <c r="Q112" s="83">
        <f t="array" aca="1" ref="Q112" ca="1">_xll.GetPrice("FP-PNL-0241","Actual","Low",_LATESTvarPubDate)</f>
        <v>385</v>
      </c>
    </row>
    <row r="113" spans="1:26" x14ac:dyDescent="0.2">
      <c r="A113" s="79" t="s">
        <v>37</v>
      </c>
      <c r="B113" s="83">
        <f t="array" aca="1" ref="B113" ca="1">_xll.GetPrice("FP-PNL-0031","Actual","Low",_LATESTvarPubDate)</f>
        <v>535</v>
      </c>
      <c r="C113" s="83">
        <f t="array" aca="1" ref="C113" ca="1">_xll.GetPrice("FP-PNL-0037","Actual","Low",_LATESTvarPubDate)</f>
        <v>500</v>
      </c>
      <c r="D113" s="83">
        <f t="array" aca="1" ref="D113" ca="1">_xll.GetPrice("FP-PNL-0043","Actual","Low",_LATESTvarPubDate)</f>
        <v>450</v>
      </c>
      <c r="E113" s="83">
        <f t="array" aca="1" ref="E113" ca="1">_xll.GetPrice("FP-PNL-0113","Actual","Low",_LATESTvarPubDate)</f>
        <v>450</v>
      </c>
      <c r="F113" s="83">
        <f t="array" aca="1" ref="F113" ca="1">_xll.GetPrice("FP-PNL-0119","Actual","Low",_LATESTvarPubDate)</f>
        <v>470</v>
      </c>
      <c r="G113" s="83">
        <f t="array" aca="1" ref="G113" ca="1">_xll.GetPrice("FP-PNL-0125","Actual","Low",_LATESTvarPubDate)</f>
        <v>475</v>
      </c>
      <c r="K113" s="79" t="s">
        <v>38</v>
      </c>
      <c r="L113" s="83">
        <f t="array" aca="1" ref="L113" ca="1">_xll.GetPrice("FP-PNL-0225","Actual","Low",_LATESTvarPubDate)</f>
        <v>835</v>
      </c>
      <c r="M113" s="83">
        <f t="array" aca="1" ref="M113" ca="1">_xll.GetPrice("FP-PNL-0226","Actual","Low",_LATESTvarPubDate)</f>
        <v>840</v>
      </c>
      <c r="N113" s="83">
        <f t="array" aca="1" ref="N113" ca="1">_xll.GetPrice("FP-PNL-0230","Actual","Low",_LATESTvarPubDate)</f>
        <v>880</v>
      </c>
      <c r="O113" s="83">
        <f t="array" aca="1" ref="O113" ca="1">_xll.GetPrice("FP-PNL-0234","Actual","Low",_LATESTvarPubDate)</f>
        <v>920</v>
      </c>
      <c r="P113" s="83">
        <f t="array" aca="1" ref="P113" ca="1">_xll.GetPrice("FP-PNL-0238","Actual","Low",_LATESTvarPubDate)</f>
        <v>1785</v>
      </c>
      <c r="Q113" s="83">
        <f t="array" aca="1" ref="Q113" ca="1">_xll.GetPrice("FP-PNL-0242","Actual","Low",_LATESTvarPubDate)</f>
        <v>510</v>
      </c>
    </row>
    <row r="114" spans="1:26" x14ac:dyDescent="0.2">
      <c r="A114" s="79" t="s">
        <v>39</v>
      </c>
      <c r="B114" s="83">
        <f t="array" aca="1" ref="B114" ca="1">_xll.GetPrice("FP-PNL-0032","Actual","Low",_LATESTvarPubDate)</f>
        <v>605</v>
      </c>
      <c r="C114" s="83">
        <f t="array" aca="1" ref="C114" ca="1">_xll.GetPrice("FP-PNL-0038","Actual","Low",_LATESTvarPubDate)</f>
        <v>585</v>
      </c>
      <c r="D114" s="83">
        <f t="array" aca="1" ref="D114" ca="1">_xll.GetPrice("FP-PNL-0044","Actual","Low",_LATESTvarPubDate)</f>
        <v>535</v>
      </c>
      <c r="E114" s="83">
        <f t="array" aca="1" ref="E114" ca="1">_xll.GetPrice("FP-PNL-0114","Actual","Low",_LATESTvarPubDate)</f>
        <v>490</v>
      </c>
      <c r="F114" s="83">
        <f t="array" aca="1" ref="F114" ca="1">_xll.GetPrice("FP-PNL-0120","Actual","Low",_LATESTvarPubDate)</f>
        <v>525</v>
      </c>
      <c r="G114" s="83">
        <f t="array" aca="1" ref="G114" ca="1">_xll.GetPrice("FP-PNL-0126","Actual","Low",_LATESTvarPubDate)</f>
        <v>535</v>
      </c>
      <c r="I114" s="56"/>
      <c r="J114" s="56"/>
      <c r="K114" s="86" t="s">
        <v>40</v>
      </c>
      <c r="M114" s="83">
        <f t="array" aca="1" ref="M114" ca="1">_xll.GetPrice("FP-PNL-0286","Actual","Low",_LATESTvarPubDate)</f>
        <v>25</v>
      </c>
    </row>
    <row r="115" spans="1:26" x14ac:dyDescent="0.2">
      <c r="I115" s="56"/>
      <c r="J115" s="56"/>
    </row>
    <row r="116" spans="1:26" x14ac:dyDescent="0.2">
      <c r="A116" s="56"/>
      <c r="B116" s="56"/>
      <c r="C116" s="56"/>
      <c r="D116" s="56"/>
      <c r="E116" s="56"/>
      <c r="F116" s="56"/>
      <c r="G116" s="56"/>
      <c r="H116" s="56"/>
    </row>
    <row r="117" spans="1:26" x14ac:dyDescent="0.2">
      <c r="A117" s="76" t="s">
        <v>41</v>
      </c>
      <c r="B117" s="87"/>
      <c r="C117" s="56"/>
      <c r="D117" s="56"/>
      <c r="E117" s="56"/>
      <c r="F117" s="56"/>
      <c r="G117" s="56"/>
      <c r="H117" s="56"/>
      <c r="K117" s="88" t="s">
        <v>42</v>
      </c>
      <c r="L117" s="56"/>
      <c r="M117" s="56"/>
      <c r="N117" s="56"/>
      <c r="O117" s="56"/>
    </row>
    <row r="118" spans="1:26" x14ac:dyDescent="0.2">
      <c r="A118" s="89"/>
      <c r="B118" s="79" t="s">
        <v>29</v>
      </c>
      <c r="C118" s="79" t="s">
        <v>30</v>
      </c>
      <c r="D118" s="79" t="s">
        <v>33</v>
      </c>
      <c r="E118" s="79" t="s">
        <v>37</v>
      </c>
      <c r="F118" s="79" t="s">
        <v>39</v>
      </c>
      <c r="G118" s="56"/>
      <c r="H118" s="56"/>
      <c r="K118" s="56"/>
      <c r="L118" s="79" t="s">
        <v>43</v>
      </c>
      <c r="M118" s="79" t="s">
        <v>44</v>
      </c>
      <c r="N118" s="79" t="s">
        <v>45</v>
      </c>
      <c r="O118" s="79" t="s">
        <v>46</v>
      </c>
    </row>
    <row r="119" spans="1:26" x14ac:dyDescent="0.2">
      <c r="A119" s="90" t="s">
        <v>47</v>
      </c>
      <c r="B119" s="83">
        <f t="array" aca="1" ref="B119" ca="1">_xll.GetPrice("FP-PNL-0045","Actual","Low",_LATESTvarPubDate)</f>
        <v>465</v>
      </c>
      <c r="C119" s="83">
        <f t="array" aca="1" ref="C119" ca="1">_xll.GetPrice("FP-PNL-0046","Actual","Low",_LATESTvarPubDate)</f>
        <v>465</v>
      </c>
      <c r="D119" s="83">
        <f t="array" aca="1" ref="D119" ca="1">_xll.GetPrice("FP-PNL-0047","Actual","Low",_LATESTvarPubDate)</f>
        <v>485</v>
      </c>
      <c r="E119" s="83">
        <f t="array" aca="1" ref="E119" ca="1">_xll.GetPrice("FP-PNL-0048","Actual","Low",_LATESTvarPubDate)</f>
        <v>580</v>
      </c>
      <c r="F119" s="83">
        <f t="array" aca="1" ref="F119" ca="1">_xll.GetPrice("FP-PNL-0049","Actual","Low",_LATESTvarPubDate)</f>
        <v>680</v>
      </c>
      <c r="G119" s="56"/>
      <c r="H119" s="56"/>
      <c r="K119" s="79" t="s">
        <v>48</v>
      </c>
      <c r="L119" s="83">
        <f t="array" aca="1" ref="L119" ca="1">_xll.GetPrice("FP-PNL-0243","Actual","Low",_LATESTvarPubDate)</f>
        <v>1030</v>
      </c>
      <c r="M119" s="83">
        <f t="array" aca="1" ref="M119" ca="1">_xll.GetPrice("FP-PNL-0248","Actual","Low",_LATESTvarPubDate)</f>
        <v>970</v>
      </c>
      <c r="N119" s="83">
        <f t="array" aca="1" ref="N119" ca="1">_xll.GetPrice("FP-PNL-0253","Actual","Low",_LATESTvarPubDate)</f>
        <v>1150</v>
      </c>
      <c r="O119" s="83">
        <f t="array" aca="1" ref="O119" ca="1">_xll.GetPrice("FP-PNL-0258","Actual","Low",_LATESTvarPubDate)</f>
        <v>1185</v>
      </c>
      <c r="Z119" s="56"/>
    </row>
    <row r="120" spans="1:26" x14ac:dyDescent="0.2">
      <c r="A120" s="90" t="s">
        <v>49</v>
      </c>
      <c r="B120" s="83">
        <f t="array" aca="1" ref="B120" ca="1">_xll.GetPrice("FP-PNL-0050","Actual","Low",_LATESTvarPubDate)</f>
        <v>467</v>
      </c>
      <c r="C120" s="83">
        <f t="array" aca="1" ref="C120" ca="1">_xll.GetPrice("FP-PNL-0051","Actual","Low",_LATESTvarPubDate)</f>
        <v>467</v>
      </c>
      <c r="D120" s="83">
        <f t="array" aca="1" ref="D120" ca="1">_xll.GetPrice("FP-PNL-0052","Actual","Low",_LATESTvarPubDate)</f>
        <v>487</v>
      </c>
      <c r="E120" s="83">
        <f t="array" aca="1" ref="E120" ca="1">_xll.GetPrice("FP-PNL-0053","Actual","Low",_LATESTvarPubDate)</f>
        <v>585</v>
      </c>
      <c r="F120" s="83">
        <f t="array" aca="1" ref="F120" ca="1">_xll.GetPrice("FP-PNL-0054","Actual","Low",_LATESTvarPubDate)</f>
        <v>685</v>
      </c>
      <c r="G120" s="56"/>
      <c r="H120" s="56"/>
      <c r="K120" s="79" t="s">
        <v>50</v>
      </c>
      <c r="L120" s="83">
        <f t="array" aca="1" ref="L120" ca="1">_xll.GetPrice("FP-PNL-0244","Actual","Low",_LATESTvarPubDate)</f>
        <v>1055</v>
      </c>
      <c r="M120" s="83">
        <f t="array" aca="1" ref="M120" ca="1">_xll.GetPrice("FP-PNL-0249","Actual","Low",_LATESTvarPubDate)</f>
        <v>995</v>
      </c>
      <c r="N120" s="83">
        <f t="array" aca="1" ref="N120" ca="1">_xll.GetPrice("FP-PNL-0254","Actual","Low",_LATESTvarPubDate)</f>
        <v>1195</v>
      </c>
      <c r="O120" s="83">
        <f t="array" aca="1" ref="O120" ca="1">_xll.GetPrice("FP-PNL-0259","Actual","Low",_LATESTvarPubDate)</f>
        <v>1230</v>
      </c>
    </row>
    <row r="121" spans="1:26" x14ac:dyDescent="0.2">
      <c r="A121" s="90" t="s">
        <v>51</v>
      </c>
      <c r="B121" s="83">
        <f t="array" aca="1" ref="B121" ca="1">_xll.GetPrice("FP-PNL-0137","Actual","Low",_LATESTvarPubDate)</f>
        <v>455</v>
      </c>
      <c r="C121" s="83">
        <f t="array" aca="1" ref="C121" ca="1">_xll.GetPrice("FP-PNL-0138","Actual","Low",_LATESTvarPubDate)</f>
        <v>455</v>
      </c>
      <c r="D121" s="83">
        <f t="array" aca="1" ref="D121" ca="1">_xll.GetPrice("FP-PNL-0139","Actual","Low",_LATESTvarPubDate)</f>
        <v>480</v>
      </c>
      <c r="E121" s="83">
        <f t="array" aca="1" ref="E121" ca="1">_xll.GetPrice("FP-PNL-0140","Actual","Low",_LATESTvarPubDate)</f>
        <v>575</v>
      </c>
      <c r="F121" s="83">
        <f t="array" aca="1" ref="F121" ca="1">_xll.GetPrice("FP-PNL-0141","Actual","Low",_LATESTvarPubDate)</f>
        <v>625</v>
      </c>
      <c r="G121" s="56"/>
      <c r="H121" s="56"/>
      <c r="K121" s="79" t="s">
        <v>33</v>
      </c>
      <c r="L121" s="83">
        <f t="array" aca="1" ref="L121" ca="1">_xll.GetPrice("FP-PNL-0245","Actual","Low",_LATESTvarPubDate)</f>
        <v>1540</v>
      </c>
      <c r="M121" s="83">
        <f t="array" aca="1" ref="M121" ca="1">_xll.GetPrice("FP-PNL-0250","Actual","Low",_LATESTvarPubDate)</f>
        <v>1470</v>
      </c>
      <c r="N121" s="83">
        <f t="array" aca="1" ref="N121" ca="1">_xll.GetPrice("FP-PNL-0255","Actual","Low",_LATESTvarPubDate)</f>
        <v>1710</v>
      </c>
      <c r="O121" s="83">
        <f t="array" aca="1" ref="O121" ca="1">_xll.GetPrice("FP-PNL-0260","Actual","Low",_LATESTvarPubDate)</f>
        <v>1730</v>
      </c>
    </row>
    <row r="122" spans="1:26" x14ac:dyDescent="0.2">
      <c r="A122" s="90" t="s">
        <v>52</v>
      </c>
      <c r="B122" s="83">
        <f t="array" aca="1" ref="B122" ca="1">_xll.GetPrice("FP-PNL-0127","Actual","Low",_LATESTvarPubDate)</f>
        <v>420</v>
      </c>
      <c r="C122" s="83">
        <f t="array" aca="1" ref="C122" ca="1">_xll.GetPrice("FP-PNL-0128","Actual","Low",_LATESTvarPubDate)</f>
        <v>420</v>
      </c>
      <c r="D122" s="83">
        <f t="array" aca="1" ref="D122" ca="1">_xll.GetPrice("FP-PNL-0129","Actual","Low",_LATESTvarPubDate)</f>
        <v>440</v>
      </c>
      <c r="E122" s="83">
        <f t="array" aca="1" ref="E122" ca="1">_xll.GetPrice("FP-PNL-0130","Actual","Low",_LATESTvarPubDate)</f>
        <v>565</v>
      </c>
      <c r="F122" s="83">
        <f t="array" aca="1" ref="F122" ca="1">_xll.GetPrice("FP-PNL-0131","Actual","Low",_LATESTvarPubDate)</f>
        <v>615</v>
      </c>
      <c r="G122" s="56"/>
      <c r="H122" s="56"/>
      <c r="K122" s="79" t="s">
        <v>53</v>
      </c>
      <c r="L122" s="83">
        <f t="array" aca="1" ref="L122" ca="1">_xll.GetPrice("FP-PNL-0246","Actual","Low",_LATESTvarPubDate)</f>
        <v>1730</v>
      </c>
      <c r="M122" s="83">
        <f t="array" aca="1" ref="M122" ca="1">_xll.GetPrice("FP-PNL-0251","Actual","Low",_LATESTvarPubDate)</f>
        <v>1620</v>
      </c>
      <c r="N122" s="83">
        <f t="array" aca="1" ref="N122" ca="1">_xll.GetPrice("FP-PNL-0256","Actual","Low",_LATESTvarPubDate)</f>
        <v>1910</v>
      </c>
      <c r="O122" s="83">
        <f t="array" aca="1" ref="O122" ca="1">_xll.GetPrice("FP-PNL-0261","Actual","Low",_LATESTvarPubDate)</f>
        <v>1935</v>
      </c>
    </row>
    <row r="123" spans="1:26" x14ac:dyDescent="0.2">
      <c r="A123" s="90" t="s">
        <v>54</v>
      </c>
      <c r="B123" s="83">
        <f t="array" aca="1" ref="B123" ca="1">_xll.GetPrice("FP-PNL-0142","Actual","Low",_LATESTvarPubDate)</f>
        <v>455</v>
      </c>
      <c r="C123" s="83">
        <f t="array" aca="1" ref="C123" ca="1">_xll.GetPrice("FP-PNL-0143","Actual","Low",_LATESTvarPubDate)</f>
        <v>455</v>
      </c>
      <c r="D123" s="83">
        <f t="array" aca="1" ref="D123" ca="1">_xll.GetPrice("FP-PNL-0144","Actual","Low",_LATESTvarPubDate)</f>
        <v>475</v>
      </c>
      <c r="E123" s="83">
        <f t="array" aca="1" ref="E123" ca="1">_xll.GetPrice("FP-PNL-0145","Actual","Low",_LATESTvarPubDate)</f>
        <v>560</v>
      </c>
      <c r="F123" s="83">
        <f t="array" aca="1" ref="F123" ca="1">_xll.GetPrice("FP-PNL-0146","Actual","Low",_LATESTvarPubDate)</f>
        <v>630</v>
      </c>
      <c r="G123" s="56"/>
      <c r="H123" s="56"/>
      <c r="K123" s="79" t="s">
        <v>55</v>
      </c>
      <c r="L123" s="83">
        <f t="array" aca="1" ref="L123" ca="1">_xll.GetPrice("FP-PNL-0247","Actual","Low",_LATESTvarPubDate)</f>
        <v>1890</v>
      </c>
      <c r="M123" s="83">
        <f t="array" aca="1" ref="M123" ca="1">_xll.GetPrice("FP-PNL-0252","Actual","Low",_LATESTvarPubDate)</f>
        <v>1810</v>
      </c>
      <c r="N123" s="83">
        <f t="array" aca="1" ref="N123" ca="1">_xll.GetPrice("FP-PNL-0257","Actual","Low",_LATESTvarPubDate)</f>
        <v>2145</v>
      </c>
      <c r="O123" s="83">
        <f t="array" aca="1" ref="O123" ca="1">_xll.GetPrice("FP-PNL-0262","Actual","Low",_LATESTvarPubDate)</f>
        <v>2165</v>
      </c>
    </row>
    <row r="124" spans="1:26" x14ac:dyDescent="0.2">
      <c r="A124" s="90" t="s">
        <v>56</v>
      </c>
      <c r="B124" s="83">
        <f t="array" aca="1" ref="B124" ca="1">_xll.GetPrice("FP-PNL-0147","Actual","Low",_LATESTvarPubDate)</f>
        <v>455</v>
      </c>
      <c r="C124" s="83">
        <f t="array" aca="1" ref="C124" ca="1">_xll.GetPrice("FP-PNL-0148","Actual","Low",_LATESTvarPubDate)</f>
        <v>455</v>
      </c>
      <c r="D124" s="83">
        <f t="array" aca="1" ref="D124" ca="1">_xll.GetPrice("FP-PNL-0149","Actual","Low",_LATESTvarPubDate)</f>
        <v>475</v>
      </c>
      <c r="E124" s="83">
        <f t="array" aca="1" ref="E124" ca="1">_xll.GetPrice("FP-PNL-0150","Actual","Low",_LATESTvarPubDate)</f>
        <v>560</v>
      </c>
      <c r="F124" s="83">
        <f t="array" aca="1" ref="F124" ca="1">_xll.GetPrice("FP-PNL-0151","Actual","Low",_LATESTvarPubDate)</f>
        <v>630</v>
      </c>
      <c r="G124" s="56"/>
      <c r="H124" s="56"/>
      <c r="I124" s="56"/>
      <c r="J124" s="56"/>
      <c r="K124" s="86"/>
      <c r="V124" s="56"/>
    </row>
    <row r="125" spans="1:26" x14ac:dyDescent="0.2">
      <c r="A125" s="90" t="s">
        <v>57</v>
      </c>
      <c r="B125" s="83">
        <f t="array" aca="1" ref="B125" ca="1">_xll.GetPrice("FP-PNL-0132","Actual","Low",_LATESTvarPubDate)</f>
        <v>420</v>
      </c>
      <c r="C125" s="83">
        <f t="array" aca="1" ref="C125" ca="1">_xll.GetPrice("FP-PNL-0133","Actual","Low",_LATESTvarPubDate)</f>
        <v>420</v>
      </c>
      <c r="D125" s="83">
        <f t="array" aca="1" ref="D125" ca="1">_xll.GetPrice("FP-PNL-0134","Actual","Low",_LATESTvarPubDate)</f>
        <v>440</v>
      </c>
      <c r="E125" s="83">
        <f t="array" aca="1" ref="E125" ca="1">_xll.GetPrice("FP-PNL-0135","Actual","Low",_LATESTvarPubDate)</f>
        <v>565</v>
      </c>
      <c r="F125" s="83">
        <f t="array" aca="1" ref="F125" ca="1">_xll.GetPrice("FP-PNL-0136","Actual","Low",_LATESTvarPubDate)</f>
        <v>615</v>
      </c>
      <c r="G125" s="56"/>
      <c r="H125" s="56"/>
      <c r="I125" s="56"/>
      <c r="J125" s="56"/>
      <c r="K125" s="88" t="s">
        <v>58</v>
      </c>
      <c r="N125" s="88" t="s">
        <v>59</v>
      </c>
      <c r="O125" s="56"/>
      <c r="P125" s="56"/>
      <c r="Q125" s="56"/>
    </row>
    <row r="126" spans="1:26" x14ac:dyDescent="0.2">
      <c r="A126" s="86" t="s">
        <v>60</v>
      </c>
      <c r="C126" s="83">
        <f t="array" aca="1" ref="C126" ca="1">_xll.GetPrice("FP-PNL-0152","Actual","Low",_LATESTvarPubDate)</f>
        <v>10</v>
      </c>
      <c r="D126" s="83">
        <f t="array" aca="1" ref="D126" ca="1">_xll.GetPrice("FP-PNL-0152","Actual","High",_LATESTvarPubDate)</f>
        <v>20</v>
      </c>
      <c r="G126" s="56"/>
      <c r="H126" s="56"/>
      <c r="I126" s="56"/>
      <c r="J126" s="82"/>
      <c r="K126" s="76" t="s">
        <v>61</v>
      </c>
      <c r="L126" s="79"/>
      <c r="N126" s="82"/>
      <c r="O126" s="79" t="s">
        <v>62</v>
      </c>
      <c r="P126" s="79" t="s">
        <v>63</v>
      </c>
      <c r="Q126" s="79" t="s">
        <v>64</v>
      </c>
    </row>
    <row r="127" spans="1:26" x14ac:dyDescent="0.2">
      <c r="G127" s="56"/>
      <c r="H127" s="56"/>
      <c r="I127" s="56"/>
      <c r="J127" s="56"/>
      <c r="K127" s="79" t="s">
        <v>53</v>
      </c>
      <c r="L127" s="83">
        <f t="array" aca="1" ref="L127" ca="1">_xll.GetPrice("FP-PNL-0263","Actual","Low",_LATESTvarPubDate)</f>
        <v>860</v>
      </c>
      <c r="N127" s="79" t="s">
        <v>65</v>
      </c>
      <c r="O127" s="83">
        <f t="array" aca="1" ref="O127" ca="1">_xll.GetPrice("FP-PNL-0268","Actual","Low",_LATESTvarPubDate)</f>
        <v>1310</v>
      </c>
      <c r="P127" s="83">
        <f t="array" aca="1" ref="P127" ca="1">_xll.GetPrice("FP-PNL-0274","Actual","Low",_LATESTvarPubDate)</f>
        <v>1805</v>
      </c>
      <c r="Q127" s="83">
        <f t="array" aca="1" ref="Q127" ca="1">_xll.GetPrice("FP-PNL-0280","Actual","Low",_LATESTvarPubDate)</f>
        <v>1815</v>
      </c>
    </row>
    <row r="128" spans="1:26" x14ac:dyDescent="0.2">
      <c r="I128" s="56"/>
      <c r="J128" s="56"/>
      <c r="K128" s="79" t="s">
        <v>55</v>
      </c>
      <c r="L128" s="83">
        <f t="array" aca="1" ref="L128" ca="1">_xll.GetPrice("FP-PNL-0264","Actual","Low",_LATESTvarPubDate)</f>
        <v>900</v>
      </c>
      <c r="N128" s="79" t="s">
        <v>53</v>
      </c>
      <c r="O128" s="83">
        <f t="array" aca="1" ref="O128" ca="1">_xll.GetPrice("FP-PNL-0269","Actual","Low",_LATESTvarPubDate)</f>
        <v>1885</v>
      </c>
      <c r="P128" s="83">
        <f t="array" aca="1" ref="P128" ca="1">_xll.GetPrice("FP-PNL-0275","Actual","Low",_LATESTvarPubDate)</f>
        <v>2385</v>
      </c>
      <c r="Q128" s="83">
        <f t="array" aca="1" ref="Q128" ca="1">_xll.GetPrice("FP-PNL-0281","Actual","Low",_LATESTvarPubDate)</f>
        <v>2415</v>
      </c>
    </row>
    <row r="129" spans="1:26" x14ac:dyDescent="0.2">
      <c r="A129" s="74" t="s">
        <v>66</v>
      </c>
      <c r="B129" s="56"/>
      <c r="C129" s="56"/>
      <c r="D129" s="56"/>
      <c r="E129" s="56"/>
      <c r="F129" s="56"/>
      <c r="G129" s="56"/>
      <c r="H129" s="56"/>
      <c r="I129" s="56"/>
      <c r="J129" s="56"/>
      <c r="K129" s="79" t="s">
        <v>67</v>
      </c>
      <c r="L129" s="83">
        <f t="array" aca="1" ref="L129" ca="1">_xll.GetPrice("FP-PNL-0265","Actual","Low",_LATESTvarPubDate)</f>
        <v>1370</v>
      </c>
      <c r="N129" s="79" t="s">
        <v>68</v>
      </c>
      <c r="O129" s="83">
        <f t="array" aca="1" ref="O129" ca="1">_xll.GetPrice("FP-PNL-0270","Actual","Low",_LATESTvarPubDate)</f>
        <v>1935</v>
      </c>
      <c r="P129" s="83">
        <f t="array" aca="1" ref="P129" ca="1">_xll.GetPrice("FP-PNL-0276","Actual","Low",_LATESTvarPubDate)</f>
        <v>2425</v>
      </c>
      <c r="Q129" s="83">
        <f t="array" aca="1" ref="Q129" ca="1">_xll.GetPrice("FP-PNL-0282","Actual","Low",_LATESTvarPubDate)</f>
        <v>2455</v>
      </c>
    </row>
    <row r="130" spans="1:26" x14ac:dyDescent="0.2">
      <c r="A130" s="76" t="s">
        <v>11</v>
      </c>
      <c r="B130" s="56"/>
      <c r="C130" s="56"/>
      <c r="D130" s="56"/>
      <c r="E130" s="56"/>
      <c r="F130" s="56"/>
      <c r="G130" s="56"/>
      <c r="H130" s="56"/>
      <c r="I130" s="56"/>
      <c r="J130" s="56"/>
      <c r="K130" s="88" t="s">
        <v>69</v>
      </c>
      <c r="L130" s="56"/>
      <c r="N130" s="79" t="s">
        <v>70</v>
      </c>
      <c r="O130" s="83">
        <f t="array" aca="1" ref="O130" ca="1">_xll.GetPrice("FP-PNL-0271","Actual","Low",_LATESTvarPubDate)</f>
        <v>1230</v>
      </c>
      <c r="P130" s="83">
        <f t="array" aca="1" ref="P130" ca="1">_xll.GetPrice("FP-PNL-0277","Actual","Low",_LATESTvarPubDate)</f>
        <v>1590</v>
      </c>
      <c r="Q130" s="83">
        <f t="array" aca="1" ref="Q130" ca="1">_xll.GetPrice("FP-PNL-0283","Actual","Low",_LATESTvarPubDate)</f>
        <v>1625</v>
      </c>
      <c r="U130" s="56"/>
      <c r="V130" s="56"/>
      <c r="W130" s="56"/>
      <c r="X130" s="56"/>
      <c r="Y130" s="56"/>
      <c r="Z130" s="56"/>
    </row>
    <row r="131" spans="1:26" x14ac:dyDescent="0.2">
      <c r="A131" s="56"/>
      <c r="B131" s="76" t="s">
        <v>71</v>
      </c>
      <c r="C131" s="79"/>
      <c r="D131" s="79"/>
      <c r="E131" s="76" t="s">
        <v>72</v>
      </c>
      <c r="F131" s="56"/>
      <c r="G131" s="56"/>
      <c r="H131" s="56"/>
      <c r="I131" s="56"/>
      <c r="J131" s="56"/>
      <c r="K131" s="79" t="s">
        <v>73</v>
      </c>
      <c r="L131" s="83">
        <f t="array" aca="1" ref="L131" ca="1">_xll.GetPrice("FP-PNL-0266","Actual","Low",_LATESTvarPubDate)</f>
        <v>1740</v>
      </c>
      <c r="N131" s="79" t="s">
        <v>53</v>
      </c>
      <c r="O131" s="83">
        <f t="array" aca="1" ref="O131" ca="1">_xll.GetPrice("FP-PNL-0272","Actual","Low",_LATESTvarPubDate)</f>
        <v>1830</v>
      </c>
      <c r="P131" s="83">
        <f t="array" aca="1" ref="P131" ca="1">_xll.GetPrice("FP-PNL-0278","Actual","Low",_LATESTvarPubDate)</f>
        <v>2220</v>
      </c>
      <c r="Q131" s="83">
        <f t="array" aca="1" ref="Q131" ca="1">_xll.GetPrice("FP-PNL-0284","Actual","Low",_LATESTvarPubDate)</f>
        <v>2235</v>
      </c>
      <c r="U131" s="56"/>
      <c r="V131" s="56"/>
      <c r="W131" s="56"/>
      <c r="X131" s="56"/>
      <c r="Y131" s="56"/>
      <c r="Z131" s="56"/>
    </row>
    <row r="132" spans="1:26" x14ac:dyDescent="0.2">
      <c r="A132" s="79" t="s">
        <v>74</v>
      </c>
      <c r="B132" s="79" t="s">
        <v>22</v>
      </c>
      <c r="C132" s="79" t="s">
        <v>20</v>
      </c>
      <c r="D132" s="79" t="s">
        <v>23</v>
      </c>
      <c r="E132" s="79" t="s">
        <v>22</v>
      </c>
      <c r="F132" s="79" t="s">
        <v>20</v>
      </c>
      <c r="G132" s="79" t="s">
        <v>23</v>
      </c>
      <c r="H132" s="56"/>
      <c r="I132" s="56"/>
      <c r="J132" s="77" t="s">
        <v>75</v>
      </c>
      <c r="K132" s="79" t="s">
        <v>76</v>
      </c>
      <c r="L132" s="83">
        <f t="array" aca="1" ref="L132" ca="1">_xll.GetPrice("FP-PNL-0267","Actual","Low",_LATESTvarPubDate)</f>
        <v>1800</v>
      </c>
      <c r="N132" s="79" t="s">
        <v>68</v>
      </c>
      <c r="O132" s="83">
        <f t="array" aca="1" ref="O132" ca="1">_xll.GetPrice("FP-PNL-0273","Actual","Low",_LATESTvarPubDate)</f>
        <v>1885</v>
      </c>
      <c r="P132" s="83">
        <f t="array" aca="1" ref="P132" ca="1">_xll.GetPrice("FP-PNL-0279","Actual","Low",_LATESTvarPubDate)</f>
        <v>2240</v>
      </c>
      <c r="Q132" s="83">
        <f t="array" aca="1" ref="Q132" ca="1">_xll.GetPrice("FP-PNL-0285","Actual","Low",_LATESTvarPubDate)</f>
        <v>2270</v>
      </c>
      <c r="U132" s="56"/>
      <c r="V132" s="56"/>
      <c r="W132" s="56"/>
      <c r="X132" s="56"/>
      <c r="Y132" s="56"/>
      <c r="Z132" s="56"/>
    </row>
    <row r="133" spans="1:26" x14ac:dyDescent="0.2">
      <c r="A133" s="79" t="s">
        <v>29</v>
      </c>
      <c r="B133" s="83">
        <f t="array" aca="1" ref="B133" ca="1">_xll.GetPrice("FP-PNL-0153","Actual","Low",_LATESTvarPubDate)</f>
        <v>381</v>
      </c>
      <c r="C133" s="83">
        <f t="array" aca="1" ref="C133" ca="1">_xll.GetPrice("FP-PNL-0158","Actual","Low",_LATESTvarPubDate)</f>
        <v>401</v>
      </c>
      <c r="D133" s="83">
        <f t="array" aca="1" ref="D133" ca="1">_xll.GetPrice("FP-PNL-0163","Actual","Low",_LATESTvarPubDate)</f>
        <v>425</v>
      </c>
      <c r="E133" s="83">
        <f t="array" aca="1" ref="E133" ca="1">_xll.GetPrice("FP-PNL-0168","Actual","Low",_LATESTvarPubDate)</f>
        <v>325</v>
      </c>
      <c r="F133" s="83">
        <f t="array" aca="1" ref="F133" ca="1">_xll.GetPrice("FP-PNL-0173","Actual","Low",_LATESTvarPubDate)</f>
        <v>335</v>
      </c>
      <c r="G133" s="83">
        <f t="array" aca="1" ref="G133" ca="1">_xll.GetPrice("FP-PNL-0178","Actual","Low",_LATESTvarPubDate)</f>
        <v>315</v>
      </c>
      <c r="H133" s="56"/>
      <c r="I133" s="56"/>
      <c r="J133" s="56"/>
      <c r="U133" s="56"/>
      <c r="V133" s="56"/>
      <c r="W133" s="56"/>
      <c r="X133" s="56"/>
      <c r="Y133" s="56"/>
      <c r="Z133" s="56"/>
    </row>
    <row r="134" spans="1:26" x14ac:dyDescent="0.2">
      <c r="A134" s="79" t="s">
        <v>77</v>
      </c>
      <c r="B134" s="83">
        <f t="array" aca="1" ref="B134" ca="1">_xll.GetPrice("FP-PNL-0154","Actual","Low",_LATESTvarPubDate)</f>
        <v>480</v>
      </c>
      <c r="C134" s="83">
        <f t="array" aca="1" ref="C134" ca="1">_xll.GetPrice("FP-PNL-0159","Actual","Low",_LATESTvarPubDate)</f>
        <v>501</v>
      </c>
      <c r="D134" s="83">
        <f t="array" aca="1" ref="D134" ca="1">_xll.GetPrice("FP-PNL-0164","Actual","Low",_LATESTvarPubDate)</f>
        <v>508</v>
      </c>
      <c r="E134" s="83">
        <f t="array" aca="1" ref="E134" ca="1">_xll.GetPrice("FP-PNL-0169","Actual","Low",_LATESTvarPubDate)</f>
        <v>370</v>
      </c>
      <c r="F134" s="83">
        <f t="array" aca="1" ref="F134" ca="1">_xll.GetPrice("FP-PNL-0174","Actual","Low",_LATESTvarPubDate)</f>
        <v>385</v>
      </c>
      <c r="G134" s="83">
        <f t="array" aca="1" ref="G134" ca="1">_xll.GetPrice("FP-PNL-0179","Actual","Low",_LATESTvarPubDate)</f>
        <v>377</v>
      </c>
      <c r="I134" s="56"/>
      <c r="J134" s="56"/>
      <c r="T134" s="56"/>
      <c r="U134" s="56"/>
      <c r="V134" s="56"/>
      <c r="W134" s="56"/>
      <c r="X134" s="56"/>
      <c r="Y134" s="56"/>
      <c r="Z134" s="56"/>
    </row>
    <row r="135" spans="1:26" x14ac:dyDescent="0.2">
      <c r="A135" s="79" t="s">
        <v>78</v>
      </c>
      <c r="B135" s="83">
        <f t="array" aca="1" ref="B135" ca="1">_xll.GetPrice("FP-PNL-0155","Actual","Low",_LATESTvarPubDate)</f>
        <v>474</v>
      </c>
      <c r="C135" s="83">
        <f t="array" aca="1" ref="C135" ca="1">_xll.GetPrice("FP-PNL-0160","Actual","Low",_LATESTvarPubDate)</f>
        <v>505</v>
      </c>
      <c r="D135" s="83">
        <f t="array" aca="1" ref="D135" ca="1">_xll.GetPrice("FP-PNL-0165","Actual","Low",_LATESTvarPubDate)</f>
        <v>543</v>
      </c>
      <c r="E135" s="83">
        <f t="array" aca="1" ref="E135" ca="1">_xll.GetPrice("FP-PNL-0170","Actual","Low",_LATESTvarPubDate)</f>
        <v>375</v>
      </c>
      <c r="F135" s="83">
        <f t="array" aca="1" ref="F135" ca="1">_xll.GetPrice("FP-PNL-0175","Actual","Low",_LATESTvarPubDate)</f>
        <v>380</v>
      </c>
      <c r="G135" s="83">
        <f t="array" aca="1" ref="G135" ca="1">_xll.GetPrice("FP-PNL-0180","Actual","Low",_LATESTvarPubDate)</f>
        <v>375</v>
      </c>
      <c r="J135" s="56"/>
      <c r="K135" s="73" t="s">
        <v>79</v>
      </c>
      <c r="L135" s="56"/>
      <c r="M135" s="56"/>
      <c r="N135" s="56"/>
      <c r="O135" s="56"/>
      <c r="P135" s="56"/>
      <c r="Q135" s="56"/>
      <c r="R135" s="56"/>
      <c r="T135" s="56"/>
      <c r="U135" s="56"/>
      <c r="V135" s="56"/>
      <c r="W135" s="56"/>
      <c r="X135" s="56"/>
      <c r="Y135" s="56"/>
      <c r="Z135" s="56"/>
    </row>
    <row r="136" spans="1:26" x14ac:dyDescent="0.2">
      <c r="A136" s="79" t="s">
        <v>80</v>
      </c>
      <c r="B136" s="83">
        <f t="array" aca="1" ref="B136" ca="1">_xll.GetPrice("FP-PNL-0156","Actual","Low",_LATESTvarPubDate)</f>
        <v>502</v>
      </c>
      <c r="C136" s="83">
        <f t="array" aca="1" ref="C136" ca="1">_xll.GetPrice("FP-PNL-0161","Actual","Low",_LATESTvarPubDate)</f>
        <v>526</v>
      </c>
      <c r="D136" s="83">
        <f t="array" aca="1" ref="D136" ca="1">_xll.GetPrice("FP-PNL-0166","Actual","Low",_LATESTvarPubDate)</f>
        <v>537</v>
      </c>
      <c r="E136" s="83">
        <f t="array" aca="1" ref="E136" ca="1">_xll.GetPrice("FP-PNL-0171","Actual","Low",_LATESTvarPubDate)</f>
        <v>365</v>
      </c>
      <c r="F136" s="83">
        <f t="array" aca="1" ref="F136" ca="1">_xll.GetPrice("FP-PNL-0176","Actual","Low",_LATESTvarPubDate)</f>
        <v>350</v>
      </c>
      <c r="G136" s="83">
        <f t="array" aca="1" ref="G136" ca="1">_xll.GetPrice("FP-PNL-0181","Actual","Low",_LATESTvarPubDate)</f>
        <v>365</v>
      </c>
      <c r="J136" s="56"/>
      <c r="K136" s="89" t="s">
        <v>81</v>
      </c>
      <c r="L136" s="79" t="s">
        <v>82</v>
      </c>
      <c r="M136" s="79" t="s">
        <v>83</v>
      </c>
      <c r="N136" s="79" t="s">
        <v>84</v>
      </c>
      <c r="O136" s="79" t="s">
        <v>85</v>
      </c>
      <c r="P136" s="79" t="s">
        <v>86</v>
      </c>
      <c r="Q136" s="82"/>
      <c r="R136" s="56"/>
      <c r="X136" s="56"/>
      <c r="Y136" s="56"/>
      <c r="Z136" s="56"/>
    </row>
    <row r="137" spans="1:26" x14ac:dyDescent="0.2">
      <c r="A137" s="79" t="s">
        <v>55</v>
      </c>
      <c r="B137" s="83">
        <f t="array" aca="1" ref="B137" ca="1">_xll.GetPrice("FP-PNL-0157","Actual","Low",_LATESTvarPubDate)</f>
        <v>668</v>
      </c>
      <c r="C137" s="83">
        <f t="array" aca="1" ref="C137" ca="1">_xll.GetPrice("FP-PNL-0162","Actual","Low",_LATESTvarPubDate)</f>
        <v>670</v>
      </c>
      <c r="D137" s="83">
        <f t="array" aca="1" ref="D137" ca="1">_xll.GetPrice("FP-PNL-0167","Actual","Low",_LATESTvarPubDate)</f>
        <v>698</v>
      </c>
      <c r="E137" s="83">
        <f t="array" aca="1" ref="E137" ca="1">_xll.GetPrice("FP-PNL-0172","Actual","Low",_LATESTvarPubDate)</f>
        <v>510</v>
      </c>
      <c r="F137" s="83">
        <f t="array" aca="1" ref="F137" ca="1">_xll.GetPrice("FP-PNL-0177","Actual","Low",_LATESTvarPubDate)</f>
        <v>495</v>
      </c>
      <c r="G137" s="83">
        <f t="array" aca="1" ref="G137" ca="1">_xll.GetPrice("FP-PNL-0182","Actual","Low",_LATESTvarPubDate)</f>
        <v>507</v>
      </c>
      <c r="J137" s="56"/>
      <c r="K137" s="91" t="s">
        <v>87</v>
      </c>
      <c r="L137" s="92">
        <f t="array" aca="1" ref="L137" ca="1">_xll.GetPrice("FP-PNL-0288","Actual","Low",_LATESTvarPubDate)</f>
        <v>88</v>
      </c>
      <c r="M137" s="92">
        <f t="array" aca="1" ref="M137" ca="1">_xll.GetPrice("FP-PNL-0291","Actual","Low",_LATESTvarPubDate)</f>
        <v>45.75</v>
      </c>
      <c r="N137" s="92">
        <f t="array" aca="1" ref="N137" ca="1">_xll.GetPrice("FP-PNL-0294","Actual","Low",_LATESTvarPubDate)</f>
        <v>12.5</v>
      </c>
      <c r="O137" s="92">
        <f t="array" aca="1" ref="O137" ca="1">_xll.GetPrice("FP-PNL-0297","Actual","Low",_LATESTvarPubDate)</f>
        <v>14.25</v>
      </c>
      <c r="P137" s="92">
        <f t="array" aca="1" ref="P137" ca="1">_xll.GetPrice("FP-PNL-0505","Actual","Low",_LATESTvarPubDate)</f>
        <v>72.5</v>
      </c>
      <c r="Q137" s="56"/>
      <c r="R137" s="56"/>
      <c r="X137" s="56"/>
      <c r="Y137" s="56"/>
      <c r="Z137" s="56"/>
    </row>
    <row r="138" spans="1:26" x14ac:dyDescent="0.2">
      <c r="J138" s="56"/>
      <c r="K138" s="91" t="s">
        <v>89</v>
      </c>
      <c r="L138" s="92">
        <f t="array" aca="1" ref="L138" ca="1">_xll.GetPrice("FP-PNL-0289","Actual","Low",_LATESTvarPubDate)</f>
        <v>90.75</v>
      </c>
      <c r="M138" s="92">
        <f t="array" aca="1" ref="M138" ca="1">_xll.GetPrice("FP-PNL-0292","Actual","Low",_LATESTvarPubDate)</f>
        <v>64.75</v>
      </c>
      <c r="N138" s="92">
        <f t="array" aca="1" ref="N138" ca="1">_xll.GetPrice("FP-PNL-0295","Actual","Low",_LATESTvarPubDate)</f>
        <v>27.5</v>
      </c>
      <c r="O138" s="92">
        <f t="array" aca="1" ref="O138" ca="1">_xll.GetPrice("FP-PNL-0298","Actual","Low",_LATESTvarPubDate)</f>
        <v>26</v>
      </c>
      <c r="P138" s="93" t="s">
        <v>32</v>
      </c>
      <c r="X138" s="56"/>
      <c r="Y138" s="56"/>
      <c r="Z138" s="56"/>
    </row>
    <row r="139" spans="1:26" x14ac:dyDescent="0.2">
      <c r="A139" s="88" t="s">
        <v>42</v>
      </c>
      <c r="B139" s="56"/>
      <c r="C139" s="56"/>
      <c r="D139" s="56"/>
      <c r="E139" s="56"/>
      <c r="F139" s="88" t="s">
        <v>88</v>
      </c>
      <c r="G139" s="56"/>
      <c r="H139" s="56"/>
      <c r="I139" s="56"/>
      <c r="J139" s="56"/>
      <c r="Q139" s="56"/>
      <c r="R139" s="56"/>
      <c r="X139" s="56"/>
      <c r="Y139" s="56"/>
      <c r="Z139" s="56"/>
    </row>
    <row r="140" spans="1:26" x14ac:dyDescent="0.2">
      <c r="A140" s="56"/>
      <c r="B140" s="89" t="s">
        <v>43</v>
      </c>
      <c r="C140" s="56"/>
      <c r="D140" s="89" t="s">
        <v>44</v>
      </c>
      <c r="E140" s="56"/>
      <c r="F140" s="94" t="s">
        <v>90</v>
      </c>
      <c r="G140" s="56"/>
      <c r="H140" s="56"/>
      <c r="I140" s="56"/>
      <c r="J140" s="56"/>
      <c r="X140" s="56"/>
      <c r="Y140" s="56"/>
      <c r="Z140" s="56"/>
    </row>
    <row r="141" spans="1:26" x14ac:dyDescent="0.2">
      <c r="A141" s="79" t="s">
        <v>74</v>
      </c>
      <c r="B141" s="79" t="s">
        <v>22</v>
      </c>
      <c r="C141" s="79" t="s">
        <v>23</v>
      </c>
      <c r="D141" s="79" t="s">
        <v>22</v>
      </c>
      <c r="E141" s="79" t="s">
        <v>23</v>
      </c>
      <c r="F141" s="82"/>
      <c r="G141" s="79" t="s">
        <v>22</v>
      </c>
      <c r="H141" s="79" t="s">
        <v>20</v>
      </c>
      <c r="I141" s="79" t="s">
        <v>23</v>
      </c>
      <c r="J141" s="56"/>
      <c r="U141" s="56"/>
      <c r="V141" s="56"/>
      <c r="W141" s="56"/>
      <c r="X141" s="56"/>
      <c r="Y141" s="56"/>
      <c r="Z141" s="56"/>
    </row>
    <row r="142" spans="1:26" x14ac:dyDescent="0.2">
      <c r="A142" s="79" t="s">
        <v>48</v>
      </c>
      <c r="B142" s="83">
        <f t="array" aca="1" ref="B142" ca="1">_xll.GetPrice("FP-PNL-0183","Actual","Low",_LATESTvarPubDate)</f>
        <v>528</v>
      </c>
      <c r="C142" s="83">
        <f t="array" aca="1" ref="C142" ca="1">_xll.GetPrice("FP-PNL-0188","Actual","Low",_LATESTvarPubDate)</f>
        <v>560</v>
      </c>
      <c r="D142" s="83">
        <f t="array" aca="1" ref="D142" ca="1">_xll.GetPrice("FP-PNL-0193","Actual","Low",_LATESTvarPubDate)</f>
        <v>510</v>
      </c>
      <c r="E142" s="83">
        <f t="array" aca="1" ref="E142" ca="1">_xll.GetPrice("FP-PNL-0198","Actual","Low",_LATESTvarPubDate)</f>
        <v>530</v>
      </c>
      <c r="F142" s="95" t="s">
        <v>53</v>
      </c>
      <c r="G142" s="83">
        <f t="array" aca="1" ref="G142" ca="1">_xll.GetPrice("FP-PNL-0203","Actual","Low",_LATESTvarPubDate)</f>
        <v>870</v>
      </c>
      <c r="H142" s="83">
        <f t="array" aca="1" ref="H142" ca="1">_xll.GetPrice("FP-PNL-0205","Actual","Low",_LATESTvarPubDate)</f>
        <v>901</v>
      </c>
      <c r="I142" s="83">
        <f t="array" aca="1" ref="I142" ca="1">_xll.GetPrice("FP-PNL-0207","Actual","Low",_LATESTvarPubDate)</f>
        <v>803</v>
      </c>
      <c r="J142" s="56"/>
      <c r="K142" s="89"/>
      <c r="L142" s="56"/>
      <c r="M142" s="56"/>
      <c r="N142" s="88"/>
      <c r="O142" s="56"/>
      <c r="Q142" s="88"/>
      <c r="R142" s="56"/>
      <c r="U142" s="56"/>
      <c r="V142" s="56"/>
      <c r="W142" s="56"/>
      <c r="X142" s="56"/>
      <c r="Y142" s="56"/>
      <c r="Z142" s="56"/>
    </row>
    <row r="143" spans="1:26" x14ac:dyDescent="0.2">
      <c r="A143" s="79" t="s">
        <v>50</v>
      </c>
      <c r="B143" s="83">
        <f t="array" aca="1" ref="B143" ca="1">_xll.GetPrice("FP-PNL-0184","Actual","Low",_LATESTvarPubDate)</f>
        <v>608</v>
      </c>
      <c r="C143" s="83">
        <f t="array" aca="1" ref="C143" ca="1">_xll.GetPrice("FP-PNL-0189","Actual","Low",_LATESTvarPubDate)</f>
        <v>550</v>
      </c>
      <c r="D143" s="83">
        <f t="array" aca="1" ref="D143" ca="1">_xll.GetPrice("FP-PNL-0194","Actual","Low",_LATESTvarPubDate)</f>
        <v>560</v>
      </c>
      <c r="E143" s="83">
        <f t="array" aca="1" ref="E143" ca="1">_xll.GetPrice("FP-PNL-0199","Actual","Low",_LATESTvarPubDate)</f>
        <v>510</v>
      </c>
      <c r="F143" s="79" t="s">
        <v>55</v>
      </c>
      <c r="G143" s="83">
        <f t="array" aca="1" ref="G143" ca="1">_xll.GetPrice("FP-PNL-0204","Actual","Low",_LATESTvarPubDate)</f>
        <v>885</v>
      </c>
      <c r="H143" s="83">
        <f t="array" aca="1" ref="H143" ca="1">_xll.GetPrice("FP-PNL-0206","Actual","Low",_LATESTvarPubDate)</f>
        <v>907</v>
      </c>
      <c r="I143" s="83">
        <f t="array" aca="1" ref="I143" ca="1">_xll.GetPrice("FP-PNL-0208","Actual","Low",_LATESTvarPubDate)</f>
        <v>922</v>
      </c>
      <c r="J143" s="56"/>
      <c r="K143" s="79"/>
      <c r="L143" s="79"/>
      <c r="M143" s="79"/>
      <c r="N143" s="79"/>
      <c r="O143" s="79"/>
      <c r="Q143" s="79"/>
      <c r="R143" s="79"/>
      <c r="U143" s="56"/>
      <c r="V143" s="56"/>
      <c r="W143" s="56"/>
      <c r="X143" s="56"/>
      <c r="Y143" s="56"/>
      <c r="Z143" s="56"/>
    </row>
    <row r="144" spans="1:26" x14ac:dyDescent="0.2">
      <c r="A144" s="79" t="s">
        <v>33</v>
      </c>
      <c r="B144" s="83">
        <f t="array" aca="1" ref="B144" ca="1">_xll.GetPrice("FP-PNL-0185","Actual","Low",_LATESTvarPubDate)</f>
        <v>848</v>
      </c>
      <c r="C144" s="83">
        <f t="array" aca="1" ref="C144" ca="1">_xll.GetPrice("FP-PNL-0190","Actual","Low",_LATESTvarPubDate)</f>
        <v>805</v>
      </c>
      <c r="D144" s="83">
        <f t="array" aca="1" ref="D144" ca="1">_xll.GetPrice("FP-PNL-0195","Actual","Low",_LATESTvarPubDate)</f>
        <v>805</v>
      </c>
      <c r="E144" s="83">
        <f t="array" aca="1" ref="E144" ca="1">_xll.GetPrice("FP-PNL-0200","Actual","Low",_LATESTvarPubDate)</f>
        <v>760</v>
      </c>
      <c r="F144" s="88" t="s">
        <v>91</v>
      </c>
      <c r="G144" s="56"/>
      <c r="H144" s="56"/>
      <c r="I144" s="56"/>
      <c r="J144" s="56"/>
      <c r="K144" s="79"/>
      <c r="L144" s="92"/>
      <c r="M144" s="92"/>
      <c r="N144" s="96"/>
      <c r="O144" s="96"/>
      <c r="S144" s="56"/>
    </row>
    <row r="145" spans="1:26" x14ac:dyDescent="0.2">
      <c r="A145" s="79" t="s">
        <v>53</v>
      </c>
      <c r="B145" s="83">
        <f t="array" aca="1" ref="B145" ca="1">_xll.GetPrice("FP-PNL-0186","Actual","Low",_LATESTvarPubDate)</f>
        <v>888</v>
      </c>
      <c r="C145" s="83">
        <f t="array" aca="1" ref="C145" ca="1">_xll.GetPrice("FP-PNL-0191","Actual","Low",_LATESTvarPubDate)</f>
        <v>810</v>
      </c>
      <c r="D145" s="83">
        <f t="array" aca="1" ref="D145" ca="1">_xll.GetPrice("FP-PNL-0196","Actual","Low",_LATESTvarPubDate)</f>
        <v>855</v>
      </c>
      <c r="E145" s="83">
        <f t="array" aca="1" ref="E145" ca="1">_xll.GetPrice("FP-PNL-0201","Actual","Low",_LATESTvarPubDate)</f>
        <v>770</v>
      </c>
      <c r="F145" s="79" t="s">
        <v>53</v>
      </c>
      <c r="G145" s="83">
        <f t="array" aca="1" ref="G145" ca="1">_xll.GetPrice("FP-PNL-0209","Actual","Low",_LATESTvarPubDate)</f>
        <v>1264</v>
      </c>
      <c r="H145" s="97" t="s">
        <v>32</v>
      </c>
      <c r="I145" s="83">
        <f t="array" aca="1" ref="I145" ca="1">_xll.GetPrice("FP-PNL-0211","Actual","Low",_LATESTvarPubDate)</f>
        <v>1243</v>
      </c>
      <c r="J145" s="56"/>
      <c r="N145" s="96"/>
      <c r="O145" s="96"/>
      <c r="S145" s="56"/>
    </row>
    <row r="146" spans="1:26" x14ac:dyDescent="0.2">
      <c r="A146" s="79" t="s">
        <v>55</v>
      </c>
      <c r="B146" s="83">
        <f t="array" aca="1" ref="B146" ca="1">_xll.GetPrice("FP-PNL-0187","Actual","Low",_LATESTvarPubDate)</f>
        <v>1003</v>
      </c>
      <c r="C146" s="83">
        <f t="array" aca="1" ref="C146" ca="1">_xll.GetPrice("FP-PNL-0192","Actual","Low",_LATESTvarPubDate)</f>
        <v>975</v>
      </c>
      <c r="D146" s="83">
        <f t="array" aca="1" ref="D146" ca="1">_xll.GetPrice("FP-PNL-0197","Actual","Low",_LATESTvarPubDate)</f>
        <v>960</v>
      </c>
      <c r="E146" s="83">
        <f t="array" aca="1" ref="E146" ca="1">_xll.GetPrice("FP-PNL-0202","Actual","Low",_LATESTvarPubDate)</f>
        <v>915</v>
      </c>
      <c r="F146" s="79" t="s">
        <v>55</v>
      </c>
      <c r="G146" s="83">
        <f t="array" aca="1" ref="G146" ca="1">_xll.GetPrice("FP-PNL-0210","Actual","Low",_LATESTvarPubDate)</f>
        <v>1269</v>
      </c>
      <c r="H146" s="85" t="s">
        <v>32</v>
      </c>
      <c r="I146" s="83">
        <f t="array" aca="1" ref="I146" ca="1">_xll.GetPrice("FP-PNL-0212","Actual","Low",_LATESTvarPubDate)</f>
        <v>1312</v>
      </c>
      <c r="J146" s="56"/>
      <c r="S146" s="56"/>
    </row>
    <row r="147" spans="1:26" x14ac:dyDescent="0.2">
      <c r="J147" s="56"/>
      <c r="S147" s="56"/>
    </row>
    <row r="148" spans="1:26" x14ac:dyDescent="0.2">
      <c r="A148" s="88" t="s">
        <v>92</v>
      </c>
      <c r="B148" s="56"/>
      <c r="C148" s="56"/>
      <c r="D148" s="56"/>
      <c r="I148" s="56"/>
      <c r="J148" s="56"/>
      <c r="K148" s="73" t="s">
        <v>93</v>
      </c>
      <c r="L148" s="56"/>
      <c r="M148" s="56"/>
      <c r="N148" s="56"/>
      <c r="O148" s="56"/>
      <c r="Q148" s="56"/>
      <c r="S148" s="56"/>
    </row>
    <row r="149" spans="1:26" x14ac:dyDescent="0.2">
      <c r="A149" s="79" t="s">
        <v>74</v>
      </c>
      <c r="B149" s="79" t="s">
        <v>22</v>
      </c>
      <c r="C149" s="79" t="s">
        <v>23</v>
      </c>
      <c r="D149" s="56"/>
      <c r="I149" s="56"/>
      <c r="J149" s="56"/>
      <c r="K149" s="76" t="s">
        <v>94</v>
      </c>
      <c r="L149" s="56"/>
      <c r="M149" s="56"/>
      <c r="N149" s="56"/>
      <c r="O149" s="87"/>
      <c r="P149" s="76" t="s">
        <v>95</v>
      </c>
      <c r="Q149" s="98" t="s">
        <v>96</v>
      </c>
      <c r="R149" s="99"/>
      <c r="S149" s="56"/>
    </row>
    <row r="150" spans="1:26" x14ac:dyDescent="0.2">
      <c r="A150" s="79" t="s">
        <v>50</v>
      </c>
      <c r="B150" s="83">
        <f t="array" aca="1" ref="B150" ca="1">_xll.GetPrice("FP-PNL-0213","Actual","Low",_LATESTvarPubDate)</f>
        <v>925</v>
      </c>
      <c r="C150" s="83">
        <f t="array" aca="1" ref="C150" ca="1">_xll.GetPrice("FP-PNL-0216","Actual","Low",_LATESTvarPubDate)</f>
        <v>945</v>
      </c>
      <c r="D150" s="56"/>
      <c r="I150" s="56"/>
      <c r="J150" s="56"/>
      <c r="K150" s="56"/>
      <c r="L150" s="76" t="s">
        <v>13</v>
      </c>
      <c r="M150" s="82"/>
      <c r="N150" s="76" t="s">
        <v>97</v>
      </c>
      <c r="O150" s="100"/>
      <c r="P150" s="76" t="s">
        <v>98</v>
      </c>
      <c r="Q150" s="76" t="s">
        <v>22</v>
      </c>
      <c r="R150" s="76" t="s">
        <v>23</v>
      </c>
      <c r="S150" s="56"/>
    </row>
    <row r="151" spans="1:26" x14ac:dyDescent="0.2">
      <c r="A151" s="79" t="s">
        <v>99</v>
      </c>
      <c r="B151" s="83">
        <f t="array" aca="1" ref="B151" ca="1">_xll.GetPrice("FP-PNL-0214","Actual","Low",_LATESTvarPubDate)</f>
        <v>1245</v>
      </c>
      <c r="C151" s="83">
        <f t="array" aca="1" ref="C151" ca="1">_xll.GetPrice("FP-PNL-0217","Actual","Low",_LATESTvarPubDate)</f>
        <v>1220</v>
      </c>
      <c r="D151" s="56"/>
      <c r="I151" s="56"/>
      <c r="J151" s="56"/>
      <c r="K151" s="56"/>
      <c r="L151" s="79" t="s">
        <v>100</v>
      </c>
      <c r="M151" s="79" t="s">
        <v>101</v>
      </c>
      <c r="N151" s="79" t="s">
        <v>20</v>
      </c>
      <c r="O151" s="79" t="s">
        <v>23</v>
      </c>
      <c r="P151" s="76" t="s">
        <v>13</v>
      </c>
      <c r="Q151" s="79"/>
      <c r="R151" s="79"/>
      <c r="S151" s="56"/>
    </row>
    <row r="152" spans="1:26" x14ac:dyDescent="0.2">
      <c r="A152" s="79" t="s">
        <v>68</v>
      </c>
      <c r="B152" s="83">
        <f t="array" aca="1" ref="B152" ca="1">_xll.GetPrice("FP-PNL-0215","Actual","Low",_LATESTvarPubDate)</f>
        <v>1265</v>
      </c>
      <c r="C152" s="83">
        <f t="array" aca="1" ref="C152" ca="1">_xll.GetPrice("FP-PNL-0218","Actual","Low",_LATESTvarPubDate)</f>
        <v>1245</v>
      </c>
      <c r="D152" s="56"/>
      <c r="J152" s="56"/>
      <c r="K152" s="79" t="s">
        <v>29</v>
      </c>
      <c r="L152" s="83">
        <f t="array" aca="1" ref="L152" ca="1">_xll.GetPrice("FP-PNL-0301","Actual","Low",_LATESTvarPubDate)</f>
        <v>455</v>
      </c>
      <c r="M152" s="83">
        <f t="array" aca="1" ref="M152" ca="1">_xll.GetPrice("FP-PNL-0305","Actual","Low",_LATESTvarPubDate)</f>
        <v>460</v>
      </c>
      <c r="N152" s="83">
        <f t="array" aca="1" ref="N152" ca="1">_xll.GetPrice("FP-PNL-0309","Actual","Low",_LATESTvarPubDate)</f>
        <v>335</v>
      </c>
      <c r="O152" s="83">
        <f t="array" aca="1" ref="O152" ca="1">_xll.GetPrice("FP-PNL-0315","Actual","Low",_LATESTvarPubDate)</f>
        <v>385</v>
      </c>
      <c r="P152" s="83">
        <f t="array" aca="1" ref="P152" ca="1">_xll.GetPrice("FP-PNL-0321","Actual","Low",_LATESTvarPubDate)</f>
        <v>470</v>
      </c>
      <c r="Q152" s="84" t="s">
        <v>32</v>
      </c>
      <c r="R152" s="84" t="s">
        <v>32</v>
      </c>
      <c r="S152" s="56"/>
    </row>
    <row r="153" spans="1:26" x14ac:dyDescent="0.2">
      <c r="J153" s="56"/>
      <c r="K153" s="79" t="s">
        <v>35</v>
      </c>
      <c r="L153" s="83">
        <f t="array" aca="1" ref="L153" ca="1">_xll.GetPrice("FP-PNL-0302","Actual","Low",_LATESTvarPubDate)</f>
        <v>485</v>
      </c>
      <c r="M153" s="83">
        <f t="array" aca="1" ref="M153" ca="1">_xll.GetPrice("FP-PNL-0306","Actual","Low",_LATESTvarPubDate)</f>
        <v>485</v>
      </c>
      <c r="N153" s="83">
        <f t="array" aca="1" ref="N153" ca="1">_xll.GetPrice("FP-PNL-0310","Actual","Low",_LATESTvarPubDate)</f>
        <v>360</v>
      </c>
      <c r="O153" s="83">
        <f t="array" aca="1" ref="O153" ca="1">_xll.GetPrice("FP-PNL-0316","Actual","Low",_LATESTvarPubDate)</f>
        <v>410</v>
      </c>
      <c r="P153" s="83">
        <f t="array" aca="1" ref="P153" ca="1">_xll.GetPrice("FP-PNL-0322","Actual","Low",_LATESTvarPubDate)</f>
        <v>490</v>
      </c>
      <c r="Q153" s="84" t="s">
        <v>32</v>
      </c>
      <c r="R153" s="84" t="s">
        <v>32</v>
      </c>
    </row>
    <row r="154" spans="1:26" x14ac:dyDescent="0.2">
      <c r="J154" s="56"/>
      <c r="K154" s="79" t="s">
        <v>73</v>
      </c>
      <c r="L154" s="83">
        <f t="array" aca="1" ref="L154" ca="1">_xll.GetPrice("FP-PNL-0303","Actual","Low",_LATESTvarPubDate)</f>
        <v>530</v>
      </c>
      <c r="M154" s="83">
        <f t="array" aca="1" ref="M154" ca="1">_xll.GetPrice("FP-PNL-0307","Actual","Low",_LATESTvarPubDate)</f>
        <v>535</v>
      </c>
      <c r="N154" s="83">
        <f t="array" aca="1" ref="N154" ca="1">_xll.GetPrice("FP-PNL-0311","Actual","Low",_LATESTvarPubDate)</f>
        <v>425</v>
      </c>
      <c r="O154" s="83">
        <f t="array" aca="1" ref="O154" ca="1">_xll.GetPrice("FP-PNL-0317","Actual","Low",_LATESTvarPubDate)</f>
        <v>475</v>
      </c>
      <c r="P154" s="83">
        <f t="array" aca="1" ref="P154" ca="1">_xll.GetPrice("FP-PNL-0323","Actual","Low",_LATESTvarPubDate)</f>
        <v>540</v>
      </c>
      <c r="Q154" s="83">
        <f t="array" aca="1" ref="Q154" ca="1">_xll.GetPrice("FP-PNL-0325","Actual","Low",_LATESTvarPubDate)</f>
        <v>865</v>
      </c>
      <c r="R154" s="83">
        <f t="array" aca="1" ref="R154" ca="1">_xll.GetPrice("FP-PNL-0327","Actual","Low",_LATESTvarPubDate)</f>
        <v>810</v>
      </c>
      <c r="T154" s="56"/>
      <c r="U154" s="56"/>
      <c r="V154" s="56"/>
      <c r="W154" s="56"/>
      <c r="X154" s="56"/>
      <c r="Y154" s="56"/>
      <c r="Z154" s="56"/>
    </row>
    <row r="155" spans="1:26" x14ac:dyDescent="0.2">
      <c r="J155" s="56"/>
      <c r="K155" s="79" t="s">
        <v>102</v>
      </c>
      <c r="L155" s="85" t="s">
        <v>32</v>
      </c>
      <c r="M155" s="85" t="s">
        <v>32</v>
      </c>
      <c r="N155" s="83">
        <f t="array" aca="1" ref="N155" ca="1">_xll.GetPrice("FP-PNL-0312","Actual","Low",_LATESTvarPubDate)</f>
        <v>450</v>
      </c>
      <c r="O155" s="83">
        <f t="array" aca="1" ref="O155" ca="1">_xll.GetPrice("FP-PNL-0318","Actual","Low",_LATESTvarPubDate)</f>
        <v>500</v>
      </c>
      <c r="P155" s="84" t="s">
        <v>32</v>
      </c>
      <c r="Q155" s="84" t="s">
        <v>32</v>
      </c>
      <c r="R155" s="84" t="s">
        <v>32</v>
      </c>
      <c r="S155" s="56"/>
      <c r="T155" s="56"/>
      <c r="U155" s="56"/>
      <c r="V155" s="56"/>
      <c r="W155" s="56"/>
      <c r="X155" s="56"/>
      <c r="Y155" s="56"/>
      <c r="Z155" s="56"/>
    </row>
    <row r="156" spans="1:26" x14ac:dyDescent="0.2">
      <c r="K156" s="79" t="s">
        <v>103</v>
      </c>
      <c r="L156" s="83">
        <f t="array" aca="1" ref="L156" ca="1">_xll.GetPrice("FP-PNL-0304","Actual","Low",_LATESTvarPubDate)</f>
        <v>555</v>
      </c>
      <c r="M156" s="83">
        <f t="array" aca="1" ref="M156" ca="1">_xll.GetPrice("FP-PNL-0308","Actual","Low",_LATESTvarPubDate)</f>
        <v>555</v>
      </c>
      <c r="N156" s="83">
        <f t="array" aca="1" ref="N156" ca="1">_xll.GetPrice("FP-PNL-0313","Actual","Low",_LATESTvarPubDate)</f>
        <v>475</v>
      </c>
      <c r="O156" s="83">
        <f t="array" aca="1" ref="O156" ca="1">_xll.GetPrice("FP-PNL-0319","Actual","Low",_LATESTvarPubDate)</f>
        <v>520</v>
      </c>
      <c r="P156" s="83">
        <f t="array" aca="1" ref="P156" ca="1">_xll.GetPrice("FP-PNL-0324","Actual","Low",_LATESTvarPubDate)</f>
        <v>580</v>
      </c>
      <c r="Q156" s="83">
        <f t="array" aca="1" ref="Q156" ca="1">_xll.GetPrice("FP-PNL-0326","Actual","Low",_LATESTvarPubDate)</f>
        <v>895</v>
      </c>
      <c r="R156" s="83">
        <f t="array" aca="1" ref="R156" ca="1">_xll.GetPrice("FP-PNL-0328","Actual","Low",_LATESTvarPubDate)</f>
        <v>835</v>
      </c>
      <c r="T156" s="56"/>
      <c r="U156" s="56"/>
      <c r="V156" s="56"/>
      <c r="W156" s="56"/>
      <c r="X156" s="56"/>
      <c r="Y156" s="56"/>
      <c r="Z156" s="56"/>
    </row>
    <row r="157" spans="1:26" x14ac:dyDescent="0.2">
      <c r="K157" s="79" t="s">
        <v>67</v>
      </c>
      <c r="L157" s="85" t="s">
        <v>32</v>
      </c>
      <c r="M157" s="85" t="s">
        <v>32</v>
      </c>
      <c r="N157" s="83">
        <f t="array" aca="1" ref="N157" ca="1">_xll.GetPrice("FP-PNL-0314","Actual","Low",_LATESTvarPubDate)</f>
        <v>685</v>
      </c>
      <c r="O157" s="83">
        <f t="array" aca="1" ref="O157" ca="1">_xll.GetPrice("FP-PNL-0320","Actual","Low",_LATESTvarPubDate)</f>
        <v>730</v>
      </c>
      <c r="P157" s="85" t="s">
        <v>32</v>
      </c>
      <c r="Q157" s="85" t="s">
        <v>32</v>
      </c>
      <c r="R157" s="85" t="s">
        <v>32</v>
      </c>
      <c r="T157" s="56"/>
      <c r="U157" s="56"/>
      <c r="V157" s="56"/>
      <c r="W157" s="56"/>
      <c r="X157" s="56"/>
      <c r="Y157" s="56"/>
      <c r="Z157" s="56"/>
    </row>
    <row r="158" spans="1:26" x14ac:dyDescent="0.2">
      <c r="A158" s="56"/>
      <c r="B158" s="56"/>
      <c r="C158" s="56"/>
      <c r="D158" s="56"/>
      <c r="E158" s="56"/>
      <c r="F158" s="56"/>
      <c r="G158" s="56"/>
      <c r="H158" s="56"/>
      <c r="I158" s="56"/>
      <c r="J158" s="56"/>
      <c r="T158" s="56"/>
      <c r="U158" s="56"/>
      <c r="V158" s="56"/>
      <c r="W158" s="56"/>
      <c r="X158" s="56"/>
      <c r="Y158" s="56"/>
      <c r="Z158" s="56"/>
    </row>
    <row r="159" spans="1:26" x14ac:dyDescent="0.2">
      <c r="A159" s="56"/>
      <c r="B159" s="56"/>
      <c r="C159" s="56"/>
      <c r="D159" s="56"/>
      <c r="E159" s="56"/>
      <c r="F159" s="56"/>
      <c r="G159" s="56"/>
      <c r="H159" s="56"/>
      <c r="I159" s="56"/>
      <c r="J159" s="56"/>
      <c r="S159" s="56"/>
    </row>
    <row r="160" spans="1:26" x14ac:dyDescent="0.2">
      <c r="K160" s="76" t="s">
        <v>104</v>
      </c>
    </row>
    <row r="161" spans="1:18" x14ac:dyDescent="0.2">
      <c r="L161" s="79" t="s">
        <v>29</v>
      </c>
      <c r="M161" s="79" t="s">
        <v>35</v>
      </c>
      <c r="N161" s="79" t="s">
        <v>73</v>
      </c>
      <c r="O161" s="79" t="s">
        <v>103</v>
      </c>
      <c r="Q161" s="56"/>
      <c r="R161" s="56"/>
    </row>
    <row r="162" spans="1:18" x14ac:dyDescent="0.2">
      <c r="K162" s="79" t="s">
        <v>22</v>
      </c>
      <c r="L162" s="83">
        <f t="array" aca="1" ref="L162" ca="1">_xll.GetPrice("FP-PNL-0329","Actual","Low",_LATESTvarPubDate)</f>
        <v>715</v>
      </c>
      <c r="M162" s="83">
        <f t="array" aca="1" ref="M162" ca="1">_xll.GetPrice("FP-PNL-0330","Actual","Low",_LATESTvarPubDate)</f>
        <v>770</v>
      </c>
      <c r="N162" s="83">
        <f t="array" aca="1" ref="N162" ca="1">_xll.GetPrice("FP-PNL-0331","Actual","Low",_LATESTvarPubDate)</f>
        <v>860</v>
      </c>
      <c r="O162" s="83">
        <f t="array" aca="1" ref="O162" ca="1">_xll.GetPrice("FP-PNL-0332","Actual","Low",_LATESTvarPubDate)</f>
        <v>930</v>
      </c>
      <c r="P162" s="56"/>
    </row>
    <row r="163" spans="1:18" x14ac:dyDescent="0.2">
      <c r="K163" s="79" t="s">
        <v>23</v>
      </c>
      <c r="L163" s="83">
        <f t="array" aca="1" ref="L163" ca="1">_xll.GetPrice("FP-PNL-0333","Actual","Low",_LATESTvarPubDate)</f>
        <v>680</v>
      </c>
      <c r="M163" s="83">
        <f t="array" aca="1" ref="M163" ca="1">_xll.GetPrice("FP-PNL-0334","Actual","Low",_LATESTvarPubDate)</f>
        <v>735</v>
      </c>
      <c r="N163" s="83">
        <f t="array" aca="1" ref="N163" ca="1">_xll.GetPrice("FP-PNL-0335","Actual","Low",_LATESTvarPubDate)</f>
        <v>840</v>
      </c>
      <c r="O163" s="83">
        <f t="array" aca="1" ref="O163" ca="1">_xll.GetPrice("FP-PNL-0336","Actual","Low",_LATESTvarPubDate)</f>
        <v>890</v>
      </c>
    </row>
    <row r="167" spans="1:18" x14ac:dyDescent="0.2">
      <c r="A167" s="56"/>
      <c r="B167" s="56"/>
      <c r="C167" s="56"/>
      <c r="D167" s="56"/>
      <c r="E167" s="56"/>
      <c r="F167" s="56"/>
      <c r="G167" s="56"/>
      <c r="H167" s="56"/>
      <c r="I167" s="56"/>
      <c r="J167" s="56"/>
    </row>
    <row r="177" spans="21:26" x14ac:dyDescent="0.2">
      <c r="U177" s="56"/>
      <c r="V177" s="56"/>
      <c r="W177" s="56"/>
      <c r="X177" s="56"/>
      <c r="Y177" s="56"/>
      <c r="Z177" s="56"/>
    </row>
    <row r="178" spans="21:26" x14ac:dyDescent="0.2">
      <c r="U178" s="56"/>
      <c r="V178" s="56"/>
      <c r="W178" s="56"/>
      <c r="X178" s="56"/>
      <c r="Y178" s="56"/>
      <c r="Z178" s="56"/>
    </row>
    <row r="179" spans="21:26" x14ac:dyDescent="0.2">
      <c r="U179" s="56"/>
      <c r="V179" s="56"/>
      <c r="W179" s="56"/>
      <c r="X179" s="56"/>
      <c r="Y179" s="56"/>
      <c r="Z179" s="56"/>
    </row>
    <row r="180" spans="21:26" x14ac:dyDescent="0.2">
      <c r="U180" s="56"/>
      <c r="V180" s="56"/>
      <c r="W180" s="56"/>
      <c r="X180" s="56"/>
      <c r="Y180" s="56"/>
      <c r="Z180" s="56"/>
    </row>
    <row r="181" spans="21:26" x14ac:dyDescent="0.2">
      <c r="U181" s="56"/>
      <c r="V181" s="56"/>
      <c r="W181" s="56"/>
      <c r="X181" s="56"/>
      <c r="Y181" s="56"/>
      <c r="Z181" s="56"/>
    </row>
    <row r="182" spans="21:26" x14ac:dyDescent="0.2">
      <c r="U182" s="56"/>
      <c r="V182" s="56"/>
      <c r="W182" s="56"/>
      <c r="X182" s="56"/>
      <c r="Y182" s="56"/>
      <c r="Z182" s="56"/>
    </row>
    <row r="183" spans="21:26" x14ac:dyDescent="0.2">
      <c r="U183" s="56"/>
      <c r="V183" s="56"/>
      <c r="W183" s="56"/>
      <c r="X183" s="56"/>
      <c r="Y183" s="56"/>
      <c r="Z183" s="56"/>
    </row>
    <row r="184" spans="21:26" x14ac:dyDescent="0.2">
      <c r="U184" s="56"/>
      <c r="V184" s="56"/>
      <c r="W184" s="56"/>
      <c r="X184" s="56"/>
      <c r="Y184" s="56"/>
      <c r="Z184" s="56"/>
    </row>
    <row r="185" spans="21:26" x14ac:dyDescent="0.2">
      <c r="U185" s="56"/>
      <c r="V185" s="56"/>
      <c r="W185" s="56"/>
      <c r="X185" s="56"/>
      <c r="Y185" s="56"/>
      <c r="Z185" s="56"/>
    </row>
    <row r="186" spans="21:26" x14ac:dyDescent="0.2">
      <c r="U186" s="56"/>
      <c r="V186" s="56"/>
      <c r="W186" s="56"/>
      <c r="X186" s="56"/>
      <c r="Y186" s="56"/>
      <c r="Z186" s="56"/>
    </row>
    <row r="187" spans="21:26" x14ac:dyDescent="0.2">
      <c r="U187" s="56"/>
      <c r="V187" s="56"/>
      <c r="W187" s="56"/>
      <c r="X187" s="56"/>
      <c r="Y187" s="56"/>
      <c r="Z187" s="56"/>
    </row>
    <row r="188" spans="21:26" x14ac:dyDescent="0.2">
      <c r="U188" s="56"/>
      <c r="V188" s="56"/>
      <c r="W188" s="56"/>
      <c r="X188" s="56"/>
      <c r="Y188" s="56"/>
      <c r="Z188" s="56"/>
    </row>
    <row r="189" spans="21:26" x14ac:dyDescent="0.2">
      <c r="U189" s="56"/>
      <c r="V189" s="56"/>
      <c r="W189" s="56"/>
      <c r="X189" s="56"/>
      <c r="Y189" s="56"/>
      <c r="Z189" s="56"/>
    </row>
    <row r="190" spans="21:26" x14ac:dyDescent="0.2">
      <c r="U190" s="56"/>
      <c r="V190" s="56"/>
      <c r="W190" s="56"/>
      <c r="X190" s="56"/>
      <c r="Y190" s="56"/>
      <c r="Z190" s="56"/>
    </row>
    <row r="191" spans="21:26" x14ac:dyDescent="0.2">
      <c r="U191" s="56"/>
      <c r="V191" s="56"/>
      <c r="W191" s="56"/>
      <c r="X191" s="56"/>
      <c r="Y191" s="56"/>
      <c r="Z191" s="56"/>
    </row>
    <row r="192" spans="21:26" x14ac:dyDescent="0.2">
      <c r="U192" s="56"/>
      <c r="V192" s="56"/>
      <c r="W192" s="56"/>
      <c r="X192" s="56"/>
      <c r="Y192" s="56"/>
      <c r="Z192" s="56"/>
    </row>
    <row r="193" spans="1:26" x14ac:dyDescent="0.2">
      <c r="U193" s="56"/>
      <c r="V193" s="56"/>
      <c r="W193" s="56"/>
      <c r="X193" s="56"/>
      <c r="Y193" s="56"/>
      <c r="Z193" s="56"/>
    </row>
    <row r="194" spans="1:26" x14ac:dyDescent="0.2">
      <c r="U194" s="56"/>
      <c r="V194" s="56"/>
      <c r="W194" s="56"/>
      <c r="X194" s="56"/>
      <c r="Y194" s="56"/>
      <c r="Z194" s="56"/>
    </row>
    <row r="195" spans="1:26" x14ac:dyDescent="0.2">
      <c r="U195" s="56"/>
      <c r="V195" s="56"/>
      <c r="W195" s="56"/>
      <c r="X195" s="56"/>
      <c r="Y195" s="56"/>
      <c r="Z195" s="56"/>
    </row>
    <row r="196" spans="1:26" x14ac:dyDescent="0.2">
      <c r="U196" s="56"/>
      <c r="V196" s="56"/>
      <c r="W196" s="56"/>
      <c r="X196" s="56"/>
      <c r="Y196" s="56"/>
      <c r="Z196" s="56"/>
    </row>
    <row r="197" spans="1:26" x14ac:dyDescent="0.2">
      <c r="U197" s="56"/>
      <c r="V197" s="56"/>
      <c r="W197" s="56"/>
      <c r="X197" s="56"/>
      <c r="Y197" s="56"/>
      <c r="Z197" s="56"/>
    </row>
    <row r="198" spans="1:26" x14ac:dyDescent="0.2">
      <c r="U198" s="56"/>
      <c r="V198" s="56"/>
      <c r="W198" s="56"/>
      <c r="X198" s="56"/>
      <c r="Y198" s="56"/>
      <c r="Z198" s="56"/>
    </row>
    <row r="201" spans="1:26" ht="15" x14ac:dyDescent="0.2">
      <c r="A201" s="69">
        <f ca="1">_LATESTvarPubDate</f>
        <v>45639.454722222225</v>
      </c>
      <c r="B201" s="70" t="str">
        <f>$A$1</f>
        <v>RANDOM LENGTHS PANEL REPORT</v>
      </c>
      <c r="C201" s="71"/>
      <c r="D201" s="71"/>
      <c r="E201" s="71"/>
      <c r="F201" s="71"/>
      <c r="G201" s="71"/>
      <c r="H201" s="72" t="s">
        <v>105</v>
      </c>
    </row>
    <row r="205" spans="1:26" x14ac:dyDescent="0.2">
      <c r="A205" s="73" t="s">
        <v>106</v>
      </c>
      <c r="K205" s="73" t="s">
        <v>107</v>
      </c>
      <c r="L205" s="73"/>
      <c r="M205" s="73"/>
    </row>
    <row r="206" spans="1:26" x14ac:dyDescent="0.2">
      <c r="A206" s="76" t="s">
        <v>41</v>
      </c>
      <c r="K206" s="76" t="s">
        <v>108</v>
      </c>
      <c r="L206" s="76"/>
      <c r="M206" s="76"/>
    </row>
    <row r="207" spans="1:26" x14ac:dyDescent="0.2">
      <c r="F207" s="99" t="s">
        <v>109</v>
      </c>
      <c r="G207" s="99"/>
    </row>
    <row r="208" spans="1:26" x14ac:dyDescent="0.2">
      <c r="B208" s="79" t="s">
        <v>29</v>
      </c>
      <c r="C208" s="79" t="s">
        <v>30</v>
      </c>
      <c r="D208" s="79" t="s">
        <v>33</v>
      </c>
      <c r="E208" s="79" t="s">
        <v>35</v>
      </c>
      <c r="F208" s="79" t="s">
        <v>110</v>
      </c>
      <c r="G208" s="79" t="s">
        <v>111</v>
      </c>
      <c r="L208" s="79" t="s">
        <v>112</v>
      </c>
      <c r="M208" s="79" t="s">
        <v>113</v>
      </c>
      <c r="N208" s="79" t="s">
        <v>114</v>
      </c>
      <c r="O208" s="79" t="s">
        <v>115</v>
      </c>
      <c r="P208" s="79" t="s">
        <v>116</v>
      </c>
      <c r="Q208" s="79" t="s">
        <v>117</v>
      </c>
      <c r="R208" s="79" t="s">
        <v>118</v>
      </c>
      <c r="S208" s="79" t="s">
        <v>119</v>
      </c>
    </row>
    <row r="209" spans="1:19" x14ac:dyDescent="0.2">
      <c r="A209" s="90" t="s">
        <v>120</v>
      </c>
      <c r="B209" s="83">
        <f t="array" aca="1" ref="B209" ca="1">_xll.GetPrice("FP-PNL-0055","Actual","Low",_LATESTvarPubDate)</f>
        <v>580</v>
      </c>
      <c r="C209" s="83">
        <f t="array" aca="1" ref="C209" ca="1">_xll.GetPrice("FP-PNL-0056","Actual","Low",_LATESTvarPubDate)</f>
        <v>580</v>
      </c>
      <c r="D209" s="83">
        <f t="array" aca="1" ref="D209" ca="1">_xll.GetPrice("FP-PNL-0057","Actual","Low",_LATESTvarPubDate)</f>
        <v>610</v>
      </c>
      <c r="E209" s="83">
        <f t="array" aca="1" ref="E209" ca="1">_xll.GetPrice("FP-PNL-0058","Actual","Low",_LATESTvarPubDate)</f>
        <v>630</v>
      </c>
      <c r="F209" s="83">
        <f t="array" aca="1" ref="F209" ca="1">_xll.GetPrice("FP-PNL-0059","Actual","Low",_LATESTvarPubDate)</f>
        <v>750</v>
      </c>
      <c r="G209" s="83">
        <f t="array" aca="1" ref="G209" ca="1">_xll.GetPrice("FP-PNL-0060","Actual","Low",_LATESTvarPubDate)</f>
        <v>860</v>
      </c>
      <c r="K209" s="79" t="s">
        <v>121</v>
      </c>
      <c r="L209" s="83">
        <f t="array" aca="1" ref="L209" ca="1">_xll.GetPrice("FP-PNL-0421","Actual","Low",_LATESTvarPubDate)</f>
        <v>720</v>
      </c>
      <c r="M209" s="83">
        <f t="array" aca="1" ref="M209" ca="1">_xll.GetPrice("FP-PNL-0426","Actual","Low",_LATESTvarPubDate)</f>
        <v>735</v>
      </c>
      <c r="N209" s="83">
        <f t="array" aca="1" ref="N209" ca="1">_xll.GetPrice("FP-PNL-0431","Actual","Low",_LATESTvarPubDate)</f>
        <v>750</v>
      </c>
      <c r="O209" s="83">
        <f t="array" aca="1" ref="O209" ca="1">_xll.GetPrice("FP-PNL-0436","Actual","Low",_LATESTvarPubDate)</f>
        <v>760</v>
      </c>
      <c r="P209" s="83">
        <f t="array" aca="1" ref="P209" ca="1">_xll.GetPrice("FP-PNL-0337","Actual","Low",_LATESTvarPubDate)</f>
        <v>802</v>
      </c>
      <c r="Q209" s="83">
        <f t="array" aca="1" ref="Q209" ca="1">_xll.GetPrice("FP-PNL-0445","Actual","Low",_LATESTvarPubDate)</f>
        <v>812</v>
      </c>
      <c r="R209" s="83">
        <f t="array" aca="1" ref="R209" ca="1">_xll.GetPrice("FP-PNL-0450","Actual","Low",_LATESTvarPubDate)</f>
        <v>837</v>
      </c>
      <c r="S209" s="83">
        <f t="array" aca="1" ref="S209" ca="1">_xll.GetPrice("FP-PNL-0455","Actual","Low",_LATESTvarPubDate)</f>
        <v>847</v>
      </c>
    </row>
    <row r="210" spans="1:19" x14ac:dyDescent="0.2">
      <c r="A210" s="90" t="s">
        <v>122</v>
      </c>
      <c r="B210" s="83">
        <f t="array" aca="1" ref="B210" ca="1">_xll.GetPrice("FP-PNL-0061","Actual","Low",_LATESTvarPubDate)</f>
        <v>570</v>
      </c>
      <c r="C210" s="83">
        <f t="array" aca="1" ref="C210" ca="1">_xll.GetPrice("FP-PNL-0062","Actual","Low",_LATESTvarPubDate)</f>
        <v>570</v>
      </c>
      <c r="D210" s="83">
        <f t="array" aca="1" ref="D210" ca="1">_xll.GetPrice("FP-PNL-0063","Actual","Low",_LATESTvarPubDate)</f>
        <v>600</v>
      </c>
      <c r="E210" s="83">
        <f t="array" aca="1" ref="E210" ca="1">_xll.GetPrice("FP-PNL-0064","Actual","Low",_LATESTvarPubDate)</f>
        <v>620</v>
      </c>
      <c r="F210" s="83">
        <f t="array" aca="1" ref="F210" ca="1">_xll.GetPrice("FP-PNL-0065","Actual","Low",_LATESTvarPubDate)</f>
        <v>745</v>
      </c>
      <c r="G210" s="83">
        <f t="array" aca="1" ref="G210" ca="1">_xll.GetPrice("FP-PNL-0066","Actual","Low",_LATESTvarPubDate)</f>
        <v>855</v>
      </c>
      <c r="K210" s="79" t="s">
        <v>123</v>
      </c>
      <c r="L210" s="83">
        <f t="array" aca="1" ref="L210" ca="1">_xll.GetPrice("FP-PNL-0422","Actual","Low",_LATESTvarPubDate)</f>
        <v>960</v>
      </c>
      <c r="M210" s="83">
        <f t="array" aca="1" ref="M210" ca="1">_xll.GetPrice("FP-PNL-0427","Actual","Low",_LATESTvarPubDate)</f>
        <v>980</v>
      </c>
      <c r="N210" s="83">
        <f t="array" aca="1" ref="N210" ca="1">_xll.GetPrice("FP-PNL-0432","Actual","Low",_LATESTvarPubDate)</f>
        <v>1000</v>
      </c>
      <c r="O210" s="83">
        <f t="array" aca="1" ref="O210" ca="1">_xll.GetPrice("FP-PNL-0437","Actual","Low",_LATESTvarPubDate)</f>
        <v>1013</v>
      </c>
      <c r="P210" s="83">
        <f t="array" aca="1" ref="P210" ca="1">_xll.GetPrice("FP-PNL-0441","Actual","Low",_LATESTvarPubDate)</f>
        <v>1069</v>
      </c>
      <c r="Q210" s="83">
        <f t="array" aca="1" ref="Q210" ca="1">_xll.GetPrice("FP-PNL-0446","Actual","Low",_LATESTvarPubDate)</f>
        <v>1083</v>
      </c>
      <c r="R210" s="83">
        <f t="array" aca="1" ref="R210" ca="1">_xll.GetPrice("FP-PNL-0451","Actual","Low",_LATESTvarPubDate)</f>
        <v>1116</v>
      </c>
      <c r="S210" s="83">
        <f t="array" aca="1" ref="S210" ca="1">_xll.GetPrice("FP-PNL-0456","Actual","Low",_LATESTvarPubDate)</f>
        <v>1129</v>
      </c>
    </row>
    <row r="211" spans="1:19" x14ac:dyDescent="0.2">
      <c r="A211" s="90" t="s">
        <v>124</v>
      </c>
      <c r="B211" s="83">
        <f t="array" aca="1" ref="B211" ca="1">_xll.GetPrice("FP-PNL-0067","Actual","Low",_LATESTvarPubDate)</f>
        <v>580</v>
      </c>
      <c r="C211" s="83">
        <f t="array" aca="1" ref="C211" ca="1">_xll.GetPrice("FP-PNL-0068","Actual","Low",_LATESTvarPubDate)</f>
        <v>580</v>
      </c>
      <c r="D211" s="83">
        <f t="array" aca="1" ref="D211" ca="1">_xll.GetPrice("FP-PNL-0069","Actual","Low",_LATESTvarPubDate)</f>
        <v>610</v>
      </c>
      <c r="E211" s="83">
        <f t="array" aca="1" ref="E211" ca="1">_xll.GetPrice("FP-PNL-0070","Actual","Low",_LATESTvarPubDate)</f>
        <v>630</v>
      </c>
      <c r="F211" s="83">
        <f t="array" aca="1" ref="F211" ca="1">_xll.GetPrice("FP-PNL-0071","Actual","Low",_LATESTvarPubDate)</f>
        <v>750</v>
      </c>
      <c r="G211" s="83">
        <f t="array" aca="1" ref="G211" ca="1">_xll.GetPrice("FP-PNL-0072","Actual","Low",_LATESTvarPubDate)</f>
        <v>865</v>
      </c>
      <c r="K211" s="79" t="s">
        <v>125</v>
      </c>
      <c r="L211" s="83">
        <f t="array" aca="1" ref="L211" ca="1">_xll.GetPrice("FP-PNL-0423","Actual","Low",_LATESTvarPubDate)</f>
        <v>1200</v>
      </c>
      <c r="M211" s="83">
        <f t="array" aca="1" ref="M211" ca="1">_xll.GetPrice("FP-PNL-0428","Actual","Low",_LATESTvarPubDate)</f>
        <v>1225</v>
      </c>
      <c r="N211" s="83">
        <f t="array" aca="1" ref="N211" ca="1">_xll.GetPrice("FP-PNL-0433","Actual","Low",_LATESTvarPubDate)</f>
        <v>1250</v>
      </c>
      <c r="O211" s="83">
        <f t="array" aca="1" ref="O211" ca="1">_xll.GetPrice("FP-PNL-0438","Actual","Low",_LATESTvarPubDate)</f>
        <v>1267</v>
      </c>
      <c r="P211" s="83">
        <f t="array" aca="1" ref="P211" ca="1">_xll.GetPrice("FP-PNL-0442","Actual","Low",_LATESTvarPubDate)</f>
        <v>1337</v>
      </c>
      <c r="Q211" s="83">
        <f t="array" aca="1" ref="Q211" ca="1">_xll.GetPrice("FP-PNL-0447","Actual","Low",_LATESTvarPubDate)</f>
        <v>1353</v>
      </c>
      <c r="R211" s="83">
        <f t="array" aca="1" ref="R211" ca="1">_xll.GetPrice("FP-PNL-0452","Actual","Low",_LATESTvarPubDate)</f>
        <v>1395</v>
      </c>
      <c r="S211" s="83">
        <f t="array" aca="1" ref="S211" ca="1">_xll.GetPrice("FP-PNL-0457","Actual","Low",_LATESTvarPubDate)</f>
        <v>1412</v>
      </c>
    </row>
    <row r="212" spans="1:19" x14ac:dyDescent="0.2">
      <c r="A212" s="90" t="s">
        <v>126</v>
      </c>
      <c r="B212" s="83">
        <f t="array" aca="1" ref="B212" ca="1">_xll.GetPrice("FP-PNL-0073","Actual","Low",_LATESTvarPubDate)</f>
        <v>555</v>
      </c>
      <c r="C212" s="83">
        <f t="array" aca="1" ref="C212" ca="1">_xll.GetPrice("FP-PNL-0074","Actual","Low",_LATESTvarPubDate)</f>
        <v>555</v>
      </c>
      <c r="D212" s="83">
        <f t="array" aca="1" ref="D212" ca="1">_xll.GetPrice("FP-PNL-0075","Actual","Low",_LATESTvarPubDate)</f>
        <v>585</v>
      </c>
      <c r="E212" s="83">
        <f t="array" aca="1" ref="E212" ca="1">_xll.GetPrice("FP-PNL-0076","Actual","Low",_LATESTvarPubDate)</f>
        <v>605</v>
      </c>
      <c r="F212" s="83">
        <f t="array" aca="1" ref="F212" ca="1">_xll.GetPrice("FP-PNL-0077","Actual","Low",_LATESTvarPubDate)</f>
        <v>735</v>
      </c>
      <c r="G212" s="83">
        <f t="array" aca="1" ref="G212" ca="1">_xll.GetPrice("FP-PNL-0078","Actual","Low",_LATESTvarPubDate)</f>
        <v>850</v>
      </c>
      <c r="K212" s="79" t="s">
        <v>127</v>
      </c>
      <c r="L212" s="83">
        <f t="array" aca="1" ref="L212" ca="1">_xll.GetPrice("FP-PNL-0424","Actual","Low",_LATESTvarPubDate)</f>
        <v>1440</v>
      </c>
      <c r="M212" s="83">
        <f t="array" aca="1" ref="M212" ca="1">_xll.GetPrice("FP-PNL-0429","Actual","Low",_LATESTvarPubDate)</f>
        <v>1470</v>
      </c>
      <c r="N212" s="83">
        <f t="array" aca="1" ref="N212" ca="1">_xll.GetPrice("FP-PNL-0434","Actual","Low",_LATESTvarPubDate)</f>
        <v>1500</v>
      </c>
      <c r="O212" s="83">
        <f t="array" aca="1" ref="O212" ca="1">_xll.GetPrice("FP-PNL-0439","Actual","Low",_LATESTvarPubDate)</f>
        <v>1520</v>
      </c>
      <c r="P212" s="83">
        <f t="array" aca="1" ref="P212" ca="1">_xll.GetPrice("FP-PNL-0443","Actual","Low",_LATESTvarPubDate)</f>
        <v>1604</v>
      </c>
      <c r="Q212" s="83">
        <f t="array" aca="1" ref="Q212" ca="1">_xll.GetPrice("FP-PNL-0448","Actual","Low",_LATESTvarPubDate)</f>
        <v>1624</v>
      </c>
      <c r="R212" s="83">
        <f t="array" aca="1" ref="R212" ca="1">_xll.GetPrice("FP-PNL-0453","Actual","Low",_LATESTvarPubDate)</f>
        <v>1674</v>
      </c>
      <c r="S212" s="83">
        <f t="array" aca="1" ref="S212" ca="1">_xll.GetPrice("FP-PNL-0458","Actual","Low",_LATESTvarPubDate)</f>
        <v>1694</v>
      </c>
    </row>
    <row r="213" spans="1:19" x14ac:dyDescent="0.2">
      <c r="A213" s="90" t="s">
        <v>128</v>
      </c>
      <c r="B213" s="83">
        <f t="array" aca="1" ref="B213" ca="1">_xll.GetPrice("FP-PNL-0079","Actual","Low",_LATESTvarPubDate)</f>
        <v>565</v>
      </c>
      <c r="C213" s="83">
        <f t="array" aca="1" ref="C213" ca="1">_xll.GetPrice("FP-PNL-0080","Actual","Low",_LATESTvarPubDate)</f>
        <v>565</v>
      </c>
      <c r="D213" s="83">
        <f t="array" aca="1" ref="D213" ca="1">_xll.GetPrice("FP-PNL-0081","Actual","Low",_LATESTvarPubDate)</f>
        <v>595</v>
      </c>
      <c r="E213" s="83">
        <f t="array" aca="1" ref="E213" ca="1">_xll.GetPrice("FP-PNL-0082","Actual","Low",_LATESTvarPubDate)</f>
        <v>615</v>
      </c>
      <c r="F213" s="83">
        <f t="array" aca="1" ref="F213" ca="1">_xll.GetPrice("FP-PNL-0083","Actual","Low",_LATESTvarPubDate)</f>
        <v>740</v>
      </c>
      <c r="G213" s="83">
        <f t="array" aca="1" ref="G213" ca="1">_xll.GetPrice("FP-PNL-0084","Actual","Low",_LATESTvarPubDate)</f>
        <v>855</v>
      </c>
      <c r="K213" s="79" t="s">
        <v>129</v>
      </c>
      <c r="L213" s="83">
        <f t="array" aca="1" ref="L213" ca="1">_xll.GetPrice("FP-PNL-0425","Actual","Low",_LATESTvarPubDate)</f>
        <v>2176</v>
      </c>
      <c r="M213" s="83">
        <f t="array" aca="1" ref="M213" ca="1">_xll.GetPrice("FP-PNL-0430","Actual","Low",_LATESTvarPubDate)</f>
        <v>2217</v>
      </c>
      <c r="N213" s="83">
        <f t="array" aca="1" ref="N213" ca="1">_xll.GetPrice("FP-PNL-0435","Actual","Low",_LATESTvarPubDate)</f>
        <v>2257</v>
      </c>
      <c r="O213" s="83">
        <f t="array" aca="1" ref="O213" ca="1">_xll.GetPrice("FP-PNL-0440","Actual","Low",_LATESTvarPubDate)</f>
        <v>2283</v>
      </c>
      <c r="P213" s="83">
        <f t="array" aca="1" ref="P213" ca="1">_xll.GetPrice("FP-PNL-0444","Actual","Low",_LATESTvarPubDate)</f>
        <v>2406</v>
      </c>
      <c r="Q213" s="83">
        <f t="array" aca="1" ref="Q213" ca="1">_xll.GetPrice("FP-PNL-0449","Actual","Low",_LATESTvarPubDate)</f>
        <v>2433</v>
      </c>
      <c r="R213" s="83">
        <f t="array" aca="1" ref="R213" ca="1">_xll.GetPrice("FP-PNL-0454","Actual","Low",_LATESTvarPubDate)</f>
        <v>2499</v>
      </c>
      <c r="S213" s="83">
        <f t="array" aca="1" ref="S213" ca="1">_xll.GetPrice("FP-PNL-0459","Actual","Low",_LATESTvarPubDate)</f>
        <v>2526</v>
      </c>
    </row>
    <row r="214" spans="1:19" x14ac:dyDescent="0.2">
      <c r="A214" s="90" t="s">
        <v>130</v>
      </c>
      <c r="B214" s="83">
        <f t="array" aca="1" ref="B214" ca="1">_xll.GetPrice("FP-PNL-0085","Actual","Low",_LATESTvarPubDate)</f>
        <v>525</v>
      </c>
      <c r="C214" s="83">
        <f t="array" aca="1" ref="C214" ca="1">_xll.GetPrice("FP-PNL-0086","Actual","Low",_LATESTvarPubDate)</f>
        <v>530</v>
      </c>
      <c r="D214" s="83">
        <f t="array" aca="1" ref="D214" ca="1">_xll.GetPrice("FP-PNL-0087","Actual","Low",_LATESTvarPubDate)</f>
        <v>550</v>
      </c>
      <c r="E214" s="83">
        <f t="array" aca="1" ref="E214" ca="1">_xll.GetPrice("FP-PNL-0088","Actual","Low",_LATESTvarPubDate)</f>
        <v>570</v>
      </c>
      <c r="F214" s="83">
        <f t="array" aca="1" ref="F214" ca="1">_xll.GetPrice("FP-PNL-0089","Actual","Low",_LATESTvarPubDate)</f>
        <v>705</v>
      </c>
      <c r="G214" s="83">
        <f t="array" aca="1" ref="G214" ca="1">_xll.GetPrice("FP-PNL-0090","Actual","Low",_LATESTvarPubDate)</f>
        <v>815</v>
      </c>
      <c r="K214" s="86" t="s">
        <v>131</v>
      </c>
      <c r="M214" s="83">
        <f t="array" aca="1" ref="M214" ca="1">_xll.GetPrice("FP-PNL-0339","Actual","Low",_LATESTvarPubDate)</f>
        <v>60</v>
      </c>
    </row>
    <row r="215" spans="1:19" x14ac:dyDescent="0.2">
      <c r="A215" s="90" t="s">
        <v>132</v>
      </c>
      <c r="B215" s="83">
        <f t="array" aca="1" ref="B215" ca="1">_xll.GetPrice("FP-PNL-0091","Actual","Low",_LATESTvarPubDate)</f>
        <v>555</v>
      </c>
      <c r="C215" s="83">
        <f t="array" aca="1" ref="C215" ca="1">_xll.GetPrice("FP-PNL-0092","Actual","Low",_LATESTvarPubDate)</f>
        <v>555</v>
      </c>
      <c r="D215" s="83">
        <f t="array" aca="1" ref="D215" ca="1">_xll.GetPrice("FP-PNL-0093","Actual","Low",_LATESTvarPubDate)</f>
        <v>575</v>
      </c>
      <c r="E215" s="83">
        <f t="array" aca="1" ref="E215" ca="1">_xll.GetPrice("FP-PNL-0094","Actual","Low",_LATESTvarPubDate)</f>
        <v>595</v>
      </c>
      <c r="F215" s="83">
        <f t="array" aca="1" ref="F215" ca="1">_xll.GetPrice("FP-PNL-0095","Actual","Low",_LATESTvarPubDate)</f>
        <v>750</v>
      </c>
      <c r="G215" s="83">
        <f t="array" aca="1" ref="G215" ca="1">_xll.GetPrice("FP-PNL-0096","Actual","Low",_LATESTvarPubDate)</f>
        <v>855</v>
      </c>
      <c r="K215" s="86" t="s">
        <v>133</v>
      </c>
      <c r="M215" s="83">
        <f t="array" aca="1" ref="M215" ca="1">_xll.GetPrice("FP-PNL-0340","Actual","Low",_LATESTvarPubDate)</f>
        <v>20</v>
      </c>
    </row>
    <row r="216" spans="1:19" x14ac:dyDescent="0.2">
      <c r="A216" s="90" t="s">
        <v>134</v>
      </c>
      <c r="B216" s="83">
        <f t="array" aca="1" ref="B216" ca="1">_xll.GetPrice("FP-PNL-0097","Actual","Low",_LATESTvarPubDate)</f>
        <v>567</v>
      </c>
      <c r="C216" s="83">
        <f t="array" aca="1" ref="C216" ca="1">_xll.GetPrice("FP-PNL-0098","Actual","Low",_LATESTvarPubDate)</f>
        <v>567</v>
      </c>
      <c r="D216" s="83">
        <f t="array" aca="1" ref="D216" ca="1">_xll.GetPrice("FP-PNL-0099","Actual","Low",_LATESTvarPubDate)</f>
        <v>592</v>
      </c>
      <c r="E216" s="83">
        <f t="array" aca="1" ref="E216" ca="1">_xll.GetPrice("FP-PNL-0100","Actual","Low",_LATESTvarPubDate)</f>
        <v>612</v>
      </c>
      <c r="F216" s="83">
        <f t="array" aca="1" ref="F216" ca="1">_xll.GetPrice("FP-PNL-0101","Actual","Low",_LATESTvarPubDate)</f>
        <v>764</v>
      </c>
      <c r="G216" s="83">
        <f t="array" aca="1" ref="G216" ca="1">_xll.GetPrice("FP-PNL-0102","Actual","Low",_LATESTvarPubDate)</f>
        <v>869</v>
      </c>
    </row>
    <row r="217" spans="1:19" x14ac:dyDescent="0.2">
      <c r="A217" s="90" t="s">
        <v>135</v>
      </c>
      <c r="B217" s="83">
        <f t="array" aca="1" ref="B217" ca="1">_xll.GetPrice("FP-PNL-0103","Actual","Low",_LATESTvarPubDate)</f>
        <v>572</v>
      </c>
      <c r="C217" s="83">
        <f t="array" aca="1" ref="C217" ca="1">_xll.GetPrice("FP-PNL-0104","Actual","Low",_LATESTvarPubDate)</f>
        <v>572</v>
      </c>
      <c r="D217" s="83">
        <f t="array" aca="1" ref="D217" ca="1">_xll.GetPrice("FP-PNL-0105","Actual","Low",_LATESTvarPubDate)</f>
        <v>597</v>
      </c>
      <c r="E217" s="83">
        <f t="array" aca="1" ref="E217" ca="1">_xll.GetPrice("FP-PNL-0106","Actual","Low",_LATESTvarPubDate)</f>
        <v>617</v>
      </c>
      <c r="F217" s="83">
        <f t="array" aca="1" ref="F217" ca="1">_xll.GetPrice("FP-PNL-0107","Actual","Low",_LATESTvarPubDate)</f>
        <v>769</v>
      </c>
      <c r="G217" s="83">
        <f t="array" aca="1" ref="G217" ca="1">_xll.GetPrice("FP-PNL-0108","Actual","Low",_LATESTvarPubDate)</f>
        <v>874</v>
      </c>
    </row>
    <row r="218" spans="1:19" x14ac:dyDescent="0.2">
      <c r="K218" s="76" t="s">
        <v>136</v>
      </c>
      <c r="L218" s="76"/>
      <c r="M218" s="76"/>
    </row>
    <row r="219" spans="1:19" x14ac:dyDescent="0.2">
      <c r="L219" s="79" t="s">
        <v>112</v>
      </c>
      <c r="M219" s="79" t="s">
        <v>113</v>
      </c>
      <c r="N219" s="79" t="s">
        <v>114</v>
      </c>
      <c r="O219" s="79" t="s">
        <v>115</v>
      </c>
      <c r="P219" s="79" t="s">
        <v>116</v>
      </c>
      <c r="Q219" s="79" t="s">
        <v>117</v>
      </c>
      <c r="R219" s="79" t="s">
        <v>118</v>
      </c>
      <c r="S219" s="79" t="s">
        <v>119</v>
      </c>
    </row>
    <row r="220" spans="1:19" x14ac:dyDescent="0.2">
      <c r="K220" s="79" t="s">
        <v>121</v>
      </c>
      <c r="L220" s="83">
        <f t="array" aca="1" ref="L220" ca="1">_xll.GetPrice("FP-PNL-0460","Actual","Low",_LATESTvarPubDate)</f>
        <v>720</v>
      </c>
      <c r="M220" s="83">
        <f t="array" aca="1" ref="M220" ca="1">_xll.GetPrice("FP-PNL-0465","Actual","Low",_LATESTvarPubDate)</f>
        <v>735</v>
      </c>
      <c r="N220" s="83">
        <f t="array" aca="1" ref="N220" ca="1">_xll.GetPrice("FP-PNL-0470","Actual","Low",_LATESTvarPubDate)</f>
        <v>750</v>
      </c>
      <c r="O220" s="83">
        <f t="array" aca="1" ref="O220" ca="1">_xll.GetPrice("FP-PNL-0475","Actual","Low",_LATESTvarPubDate)</f>
        <v>760</v>
      </c>
      <c r="P220" s="83">
        <f t="array" aca="1" ref="P220" ca="1">_xll.GetPrice("FP-PNL-0338","Actual","Low",_LATESTvarPubDate)</f>
        <v>802</v>
      </c>
      <c r="Q220" s="83">
        <f t="array" aca="1" ref="Q220" ca="1">_xll.GetPrice("FP-PNL-0484","Actual","Low",_LATESTvarPubDate)</f>
        <v>812</v>
      </c>
      <c r="R220" s="83">
        <f t="array" aca="1" ref="R220" ca="1">_xll.GetPrice("FP-PNL-0489","Actual","Low",_LATESTvarPubDate)</f>
        <v>837</v>
      </c>
      <c r="S220" s="83">
        <f t="array" aca="1" ref="S220" ca="1">_xll.GetPrice("FP-PNL-0494","Actual","Low",_LATESTvarPubDate)</f>
        <v>847</v>
      </c>
    </row>
    <row r="221" spans="1:19" x14ac:dyDescent="0.2">
      <c r="K221" s="79" t="s">
        <v>123</v>
      </c>
      <c r="L221" s="83">
        <f t="array" aca="1" ref="L221" ca="1">_xll.GetPrice("FP-PNL-0461","Actual","Low",_LATESTvarPubDate)</f>
        <v>960</v>
      </c>
      <c r="M221" s="83">
        <f t="array" aca="1" ref="M221" ca="1">_xll.GetPrice("FP-PNL-0466","Actual","Low",_LATESTvarPubDate)</f>
        <v>980</v>
      </c>
      <c r="N221" s="83">
        <f t="array" aca="1" ref="N221" ca="1">_xll.GetPrice("FP-PNL-0471","Actual","Low",_LATESTvarPubDate)</f>
        <v>1000</v>
      </c>
      <c r="O221" s="83">
        <f t="array" aca="1" ref="O221" ca="1">_xll.GetPrice("FP-PNL-0476","Actual","Low",_LATESTvarPubDate)</f>
        <v>1013</v>
      </c>
      <c r="P221" s="83">
        <f t="array" aca="1" ref="P221" ca="1">_xll.GetPrice("FP-PNL-0480","Actual","Low",_LATESTvarPubDate)</f>
        <v>1069</v>
      </c>
      <c r="Q221" s="83">
        <f t="array" aca="1" ref="Q221" ca="1">_xll.GetPrice("FP-PNL-0485","Actual","Low",_LATESTvarPubDate)</f>
        <v>1083</v>
      </c>
      <c r="R221" s="83">
        <f t="array" aca="1" ref="R221" ca="1">_xll.GetPrice("FP-PNL-0490","Actual","Low",_LATESTvarPubDate)</f>
        <v>1116</v>
      </c>
      <c r="S221" s="83">
        <f t="array" aca="1" ref="S221" ca="1">_xll.GetPrice("FP-PNL-0495","Actual","Low",_LATESTvarPubDate)</f>
        <v>1129</v>
      </c>
    </row>
    <row r="222" spans="1:19" x14ac:dyDescent="0.2">
      <c r="K222" s="79" t="s">
        <v>125</v>
      </c>
      <c r="L222" s="83">
        <f t="array" aca="1" ref="L222" ca="1">_xll.GetPrice("FP-PNL-0462","Actual","Low",_LATESTvarPubDate)</f>
        <v>1200</v>
      </c>
      <c r="M222" s="83">
        <f t="array" aca="1" ref="M222" ca="1">_xll.GetPrice("FP-PNL-0467","Actual","Low",_LATESTvarPubDate)</f>
        <v>1225</v>
      </c>
      <c r="N222" s="83">
        <f t="array" aca="1" ref="N222" ca="1">_xll.GetPrice("FP-PNL-0472","Actual","Low",_LATESTvarPubDate)</f>
        <v>1250</v>
      </c>
      <c r="O222" s="83">
        <f t="array" aca="1" ref="O222" ca="1">_xll.GetPrice("FP-PNL-0477","Actual","Low",_LATESTvarPubDate)</f>
        <v>1267</v>
      </c>
      <c r="P222" s="83">
        <f t="array" aca="1" ref="P222" ca="1">_xll.GetPrice("FP-PNL-0481","Actual","Low",_LATESTvarPubDate)</f>
        <v>1337</v>
      </c>
      <c r="Q222" s="83">
        <f t="array" aca="1" ref="Q222" ca="1">_xll.GetPrice("FP-PNL-0486","Actual","Low",_LATESTvarPubDate)</f>
        <v>1353</v>
      </c>
      <c r="R222" s="83">
        <f t="array" aca="1" ref="R222" ca="1">_xll.GetPrice("FP-PNL-0491","Actual","Low",_LATESTvarPubDate)</f>
        <v>1395</v>
      </c>
      <c r="S222" s="83">
        <f t="array" aca="1" ref="S222" ca="1">_xll.GetPrice("FP-PNL-0496","Actual","Low",_LATESTvarPubDate)</f>
        <v>1412</v>
      </c>
    </row>
    <row r="223" spans="1:19" x14ac:dyDescent="0.2">
      <c r="K223" s="79" t="s">
        <v>127</v>
      </c>
      <c r="L223" s="83">
        <f t="array" aca="1" ref="L223" ca="1">_xll.GetPrice("FP-PNL-0463","Actual","Low",_LATESTvarPubDate)</f>
        <v>1440</v>
      </c>
      <c r="M223" s="83">
        <f t="array" aca="1" ref="M223" ca="1">_xll.GetPrice("FP-PNL-0468","Actual","Low",_LATESTvarPubDate)</f>
        <v>1470</v>
      </c>
      <c r="N223" s="83">
        <f t="array" aca="1" ref="N223" ca="1">_xll.GetPrice("FP-PNL-0473","Actual","Low",_LATESTvarPubDate)</f>
        <v>1500</v>
      </c>
      <c r="O223" s="83">
        <f t="array" aca="1" ref="O223" ca="1">_xll.GetPrice("FP-PNL-0478","Actual","Low",_LATESTvarPubDate)</f>
        <v>1520</v>
      </c>
      <c r="P223" s="83">
        <f t="array" aca="1" ref="P223" ca="1">_xll.GetPrice("FP-PNL-0482","Actual","Low",_LATESTvarPubDate)</f>
        <v>1604</v>
      </c>
      <c r="Q223" s="83">
        <f t="array" aca="1" ref="Q223" ca="1">_xll.GetPrice("FP-PNL-0487","Actual","Low",_LATESTvarPubDate)</f>
        <v>1624</v>
      </c>
      <c r="R223" s="83">
        <f t="array" aca="1" ref="R223" ca="1">_xll.GetPrice("FP-PNL-0492","Actual","Low",_LATESTvarPubDate)</f>
        <v>1674</v>
      </c>
      <c r="S223" s="83">
        <f t="array" aca="1" ref="S223" ca="1">_xll.GetPrice("FP-PNL-0497","Actual","Low",_LATESTvarPubDate)</f>
        <v>1694</v>
      </c>
    </row>
    <row r="224" spans="1:19" x14ac:dyDescent="0.2">
      <c r="K224" s="79" t="s">
        <v>137</v>
      </c>
      <c r="L224" s="83">
        <f t="array" aca="1" ref="L224" ca="1">_xll.GetPrice("FP-PNL-0464","Actual","Low",_LATESTvarPubDate)</f>
        <v>2176</v>
      </c>
      <c r="M224" s="83">
        <f t="array" aca="1" ref="M224" ca="1">_xll.GetPrice("FP-PNL-0469","Actual","Low",_LATESTvarPubDate)</f>
        <v>2217</v>
      </c>
      <c r="N224" s="83">
        <f t="array" aca="1" ref="N224" ca="1">_xll.GetPrice("FP-PNL-0474","Actual","Low",_LATESTvarPubDate)</f>
        <v>2257</v>
      </c>
      <c r="O224" s="83">
        <f t="array" aca="1" ref="O224" ca="1">_xll.GetPrice("FP-PNL-0479","Actual","Low",_LATESTvarPubDate)</f>
        <v>2283</v>
      </c>
      <c r="P224" s="83">
        <f t="array" aca="1" ref="P224" ca="1">_xll.GetPrice("FP-PNL-0483","Actual","Low",_LATESTvarPubDate)</f>
        <v>2406</v>
      </c>
      <c r="Q224" s="83">
        <f t="array" aca="1" ref="Q224" ca="1">_xll.GetPrice("FP-PNL-0488","Actual","Low",_LATESTvarPubDate)</f>
        <v>2433</v>
      </c>
      <c r="R224" s="83">
        <f t="array" aca="1" ref="R224" ca="1">_xll.GetPrice("FP-PNL-0493","Actual","Low",_LATESTvarPubDate)</f>
        <v>2499</v>
      </c>
      <c r="S224" s="83">
        <f t="array" aca="1" ref="S224" ca="1">_xll.GetPrice("FP-PNL-0498","Actual","Low",_LATESTvarPubDate)</f>
        <v>2526</v>
      </c>
    </row>
    <row r="225" spans="11:13" x14ac:dyDescent="0.2">
      <c r="K225" s="86" t="s">
        <v>138</v>
      </c>
      <c r="L225" s="86"/>
      <c r="M225" s="83">
        <f t="array" aca="1" ref="M225" ca="1">_xll.GetPrice("FP-PNL-0341","Actual","Low",_LATESTvarPubDate)</f>
        <v>60</v>
      </c>
    </row>
    <row r="226" spans="11:13" x14ac:dyDescent="0.2">
      <c r="K226" s="86" t="s">
        <v>133</v>
      </c>
      <c r="L226" s="86"/>
      <c r="M226" s="83">
        <f t="array" aca="1" ref="M226" ca="1">_xll.GetPrice("FP-PNL-0342","Actual","Low",_LATESTvarPubDate)</f>
        <v>20</v>
      </c>
    </row>
    <row r="301" spans="1:14" ht="15" x14ac:dyDescent="0.2">
      <c r="A301" s="69">
        <f ca="1">_LATESTvarPubDate</f>
        <v>45639.454722222225</v>
      </c>
      <c r="B301" s="70" t="s">
        <v>0</v>
      </c>
      <c r="C301" s="71"/>
      <c r="D301" s="71"/>
      <c r="E301" s="71"/>
      <c r="F301" s="71"/>
      <c r="G301" s="71"/>
      <c r="H301" s="72" t="s">
        <v>139</v>
      </c>
      <c r="L301" s="57"/>
      <c r="N301" s="57"/>
    </row>
    <row r="302" spans="1:14" x14ac:dyDescent="0.2">
      <c r="L302" s="57"/>
      <c r="M302" s="56"/>
      <c r="N302" s="57"/>
    </row>
    <row r="303" spans="1:14" x14ac:dyDescent="0.2">
      <c r="F303" s="101" t="s">
        <v>140</v>
      </c>
      <c r="G303" s="101" t="s">
        <v>141</v>
      </c>
      <c r="H303" s="101" t="s">
        <v>142</v>
      </c>
      <c r="L303" s="62"/>
      <c r="N303" s="62"/>
    </row>
    <row r="304" spans="1:14" x14ac:dyDescent="0.2">
      <c r="A304" s="102" t="s">
        <v>143</v>
      </c>
      <c r="F304" s="83">
        <f t="array" aca="1" ref="F304" ca="1">_xll.GetPrice("FP-PNL-0499","Actual","Low",_LATESTvarPubDate)</f>
        <v>549</v>
      </c>
      <c r="G304" s="83">
        <f t="array" aca="1" ref="G304" ca="1">_xll.GetPrice("FP-PNL-0499","Actual","Low",_LATESTvarPrvWk)</f>
        <v>559</v>
      </c>
      <c r="H304" s="83">
        <f t="array" aca="1" ref="H304" ca="1">_xll.GetPrice("FP-PNL-0499","Actual","Low",_LATESTvarPrvYr)</f>
        <v>592</v>
      </c>
    </row>
    <row r="305" spans="1:8" x14ac:dyDescent="0.2">
      <c r="A305" s="103" t="s">
        <v>144</v>
      </c>
      <c r="F305" s="83">
        <f t="array" aca="1" ref="F305" ca="1">_xll.GetPrice("FP-PNL-0500","Actual","Low",_LATESTvarPubDate)</f>
        <v>427</v>
      </c>
      <c r="G305" s="83">
        <f t="array" aca="1" ref="G305" ca="1">_xll.GetPrice("FP-PNL-0500","Actual","Low",_LATESTvarPrvWk)</f>
        <v>436</v>
      </c>
      <c r="H305" s="83">
        <f t="array" aca="1" ref="H305" ca="1">_xll.GetPrice("FP-PNL-0500","Actual","Low",_LATESTvarPrvYr)</f>
        <v>429</v>
      </c>
    </row>
    <row r="306" spans="1:8" x14ac:dyDescent="0.2">
      <c r="A306" s="103" t="s">
        <v>145</v>
      </c>
      <c r="F306" s="83">
        <f t="array" aca="1" ref="F306" ca="1">_xll.GetPrice("FP-PNL-0501","Actual","Low",_LATESTvarPubDate)</f>
        <v>708</v>
      </c>
      <c r="G306" s="83">
        <f t="array" aca="1" ref="G306" ca="1">_xll.GetPrice("FP-PNL-0501","Actual","Low",_LATESTvarPrvWk)</f>
        <v>718</v>
      </c>
      <c r="H306" s="83">
        <f t="array" aca="1" ref="H306" ca="1">_xll.GetPrice("FP-PNL-0501","Actual","Low",_LATESTvarPrvYr)</f>
        <v>808</v>
      </c>
    </row>
    <row r="307" spans="1:8" x14ac:dyDescent="0.2">
      <c r="A307" s="103" t="s">
        <v>146</v>
      </c>
      <c r="F307" s="83">
        <f t="array" aca="1" ref="F307" ca="1">_xll.GetPrice("FP-PNL-0502","Actual","Low",_LATESTvarPubDate)</f>
        <v>985</v>
      </c>
      <c r="G307" s="83">
        <f t="array" aca="1" ref="G307" ca="1">_xll.GetPrice("FP-PNL-0502","Actual","Low",_LATESTvarPrvWk)</f>
        <v>985</v>
      </c>
      <c r="H307" s="83">
        <f t="array" aca="1" ref="H307" ca="1">_xll.GetPrice("FP-PNL-0502","Actual","Low",_LATESTvarPrvYr)</f>
        <v>1018</v>
      </c>
    </row>
    <row r="308" spans="1:8" x14ac:dyDescent="0.2">
      <c r="A308" s="103" t="s">
        <v>147</v>
      </c>
      <c r="F308" s="83">
        <f t="array" aca="1" ref="F308" ca="1">_xll.GetPrice("FP-PNL-0503","Actual","Low",_LATESTvarPubDate)</f>
        <v>681</v>
      </c>
      <c r="G308" s="83">
        <f t="array" aca="1" ref="G308" ca="1">_xll.GetPrice("FP-PNL-0503","Actual","Low",_LATESTvarPrvWk)</f>
        <v>681</v>
      </c>
      <c r="H308" s="83">
        <f t="array" aca="1" ref="H308" ca="1">_xll.GetPrice("FP-PNL-0503","Actual","Low",_LATESTvarPrvYr)</f>
        <v>659</v>
      </c>
    </row>
    <row r="484" s="54" customFormat="1" ht="12.75" customHeight="1" x14ac:dyDescent="0.2"/>
    <row r="485" s="54" customFormat="1" ht="15" customHeight="1" x14ac:dyDescent="0.2"/>
    <row r="486" s="54" customFormat="1" ht="15" customHeight="1" x14ac:dyDescent="0.2"/>
    <row r="487" s="54" customFormat="1" ht="15" customHeight="1" x14ac:dyDescent="0.2"/>
    <row r="488" s="54" customFormat="1" ht="12.75" customHeight="1" x14ac:dyDescent="0.2"/>
    <row r="490" s="54" customFormat="1" ht="12.75" customHeight="1" x14ac:dyDescent="0.2"/>
    <row r="491" s="54" customFormat="1" ht="13.5" customHeight="1" x14ac:dyDescent="0.2"/>
    <row r="493" s="54" customFormat="1" ht="12.75" customHeight="1" x14ac:dyDescent="0.2"/>
    <row r="500" s="54" customFormat="1" ht="13.5" customHeight="1" x14ac:dyDescent="0.2"/>
    <row r="1561" s="54" customFormat="1" ht="12" customHeight="1" x14ac:dyDescent="0.2"/>
  </sheetData>
  <sheetProtection algorithmName="SHA-512" hashValue="6VJbU3XHb2pRo+hUw1BQM/C7XaNHZzVqQkMroV2SP8QENzG6xDJ9UYkRHIyGjxna+uK2iJYAmSyPXtT3ByxJCQ==" saltValue="TFgDUIFcGkodc+q2SDov7w==" spinCount="100000" sheet="1" objects="1" scenarios="1"/>
  <printOptions horizontalCentered="1" verticalCentered="1" headings="1" gridLines="1"/>
  <pageMargins left="0.5" right="0.5" top="0.5" bottom="0.5" header="0" footer="0"/>
  <pageSetup scale="12"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pageSetUpPr fitToPage="1"/>
  </sheetPr>
  <dimension ref="A1:BZ1561"/>
  <sheetViews>
    <sheetView zoomScaleNormal="100" workbookViewId="0">
      <selection activeCell="B22" sqref="B22"/>
    </sheetView>
  </sheetViews>
  <sheetFormatPr defaultRowHeight="12.75" x14ac:dyDescent="0.2"/>
  <cols>
    <col min="1" max="1" width="11.28515625" customWidth="1"/>
    <col min="2" max="2" width="14.28515625" customWidth="1"/>
    <col min="7" max="7" width="14.140625" customWidth="1"/>
    <col min="8" max="8" width="10.7109375" customWidth="1"/>
    <col min="9" max="9" width="16.28515625" customWidth="1"/>
    <col min="12" max="12" width="12.5703125" customWidth="1"/>
    <col min="13" max="13" width="10.42578125" customWidth="1"/>
  </cols>
  <sheetData>
    <row r="1" spans="1:78" s="1" customFormat="1" ht="20.25" x14ac:dyDescent="0.3">
      <c r="A1" s="30" t="s">
        <v>0</v>
      </c>
      <c r="B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s="24"/>
      <c r="BB1"/>
      <c r="BC1"/>
      <c r="BD1"/>
      <c r="BE1"/>
      <c r="BF1"/>
      <c r="BG1"/>
      <c r="BH1"/>
      <c r="BI1"/>
      <c r="BJ1"/>
      <c r="BK1"/>
      <c r="BL1"/>
      <c r="BM1"/>
      <c r="BN1"/>
      <c r="BO1"/>
      <c r="BP1"/>
      <c r="BQ1"/>
      <c r="BR1"/>
      <c r="BS1"/>
      <c r="BT1"/>
      <c r="BU1"/>
      <c r="BV1"/>
      <c r="BW1"/>
      <c r="BX1"/>
      <c r="BY1"/>
      <c r="BZ1"/>
    </row>
    <row r="2" spans="1:78" s="1" customFormat="1" x14ac:dyDescent="0.2">
      <c r="A2"/>
      <c r="B2"/>
      <c r="C2"/>
      <c r="D2"/>
      <c r="E2"/>
      <c r="F2"/>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row>
    <row r="3" spans="1:78" s="1" customFormat="1" x14ac:dyDescent="0.2">
      <c r="A3"/>
      <c r="B3"/>
      <c r="C3"/>
      <c r="D3"/>
      <c r="E3"/>
      <c r="F3"/>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row>
    <row r="4" spans="1:78" s="1" customFormat="1" x14ac:dyDescent="0.2">
      <c r="A4"/>
      <c r="B4"/>
      <c r="C4"/>
      <c r="D4"/>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row>
    <row r="5" spans="1:78" s="1" customFormat="1" x14ac:dyDescent="0.2">
      <c r="A5"/>
      <c r="B5"/>
      <c r="C5"/>
      <c r="D5"/>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row>
    <row r="6" spans="1:78" s="1" customFormat="1" x14ac:dyDescent="0.2">
      <c r="A6"/>
      <c r="B6"/>
      <c r="C6"/>
      <c r="D6"/>
      <c r="E6"/>
      <c r="F6"/>
      <c r="G6"/>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row>
    <row r="7" spans="1:78" s="1" customFormat="1" x14ac:dyDescent="0.2">
      <c r="A7"/>
      <c r="B7"/>
      <c r="C7"/>
      <c r="D7"/>
      <c r="E7"/>
      <c r="F7"/>
      <c r="G7"/>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row>
    <row r="8" spans="1:78" s="1" customFormat="1" x14ac:dyDescent="0.2">
      <c r="A8"/>
      <c r="B8"/>
      <c r="C8"/>
      <c r="D8"/>
      <c r="E8"/>
      <c r="F8"/>
      <c r="G8"/>
      <c r="H8"/>
      <c r="I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row>
    <row r="9" spans="1:78" s="1" customFormat="1" x14ac:dyDescent="0.2">
      <c r="A9"/>
      <c r="B9"/>
      <c r="C9"/>
      <c r="D9"/>
      <c r="E9"/>
      <c r="F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row>
    <row r="10" spans="1:78" s="1" customFormat="1" ht="12.75" customHeight="1" x14ac:dyDescent="0.2">
      <c r="A10"/>
      <c r="B10"/>
      <c r="C10"/>
      <c r="D10"/>
      <c r="E10"/>
      <c r="F10"/>
      <c r="G10"/>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row>
    <row r="11" spans="1:78" s="1" customFormat="1" x14ac:dyDescent="0.2">
      <c r="A11"/>
      <c r="B11"/>
      <c r="C11"/>
      <c r="D11"/>
      <c r="E11"/>
      <c r="F11"/>
      <c r="G11"/>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row>
    <row r="12" spans="1:78" s="1" customFormat="1" x14ac:dyDescent="0.2">
      <c r="A12"/>
      <c r="B12"/>
      <c r="C12"/>
      <c r="D12"/>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row>
    <row r="13" spans="1:78" s="1" customFormat="1" x14ac:dyDescent="0.2">
      <c r="A13"/>
      <c r="B13"/>
      <c r="C13"/>
      <c r="D13"/>
      <c r="E13"/>
      <c r="F13"/>
      <c r="G13"/>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row>
    <row r="14" spans="1:78" s="1" customFormat="1" x14ac:dyDescent="0.2">
      <c r="A14"/>
      <c r="B14"/>
      <c r="C14"/>
      <c r="D14"/>
      <c r="E14"/>
      <c r="F14"/>
      <c r="G14"/>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row>
    <row r="15" spans="1:78" s="1" customFormat="1" x14ac:dyDescent="0.2">
      <c r="A15"/>
      <c r="B15"/>
      <c r="C15"/>
      <c r="D15"/>
      <c r="E15"/>
      <c r="F15"/>
      <c r="G15"/>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row>
    <row r="16" spans="1:78" s="1" customForma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row>
    <row r="17" spans="1:78" s="1" customFormat="1" x14ac:dyDescent="0.2">
      <c r="A17"/>
      <c r="B17"/>
      <c r="C17"/>
      <c r="D17"/>
      <c r="E17"/>
      <c r="F17"/>
      <c r="G17"/>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row>
    <row r="18" spans="1:78" s="1" customFormat="1" x14ac:dyDescent="0.2">
      <c r="A18"/>
      <c r="B18"/>
      <c r="C18"/>
      <c r="D18"/>
      <c r="E18"/>
      <c r="F18"/>
      <c r="G18"/>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row>
    <row r="19" spans="1:78" s="1" customForma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row>
    <row r="20" spans="1:78" s="1" customFormat="1" x14ac:dyDescent="0.2">
      <c r="A20"/>
      <c r="B20"/>
      <c r="C20"/>
      <c r="D20"/>
      <c r="E20"/>
      <c r="F20"/>
      <c r="G20" s="44" t="s">
        <v>1</v>
      </c>
      <c r="H20"/>
      <c r="I20" s="44" t="s">
        <v>2</v>
      </c>
      <c r="J20"/>
      <c r="K20" s="44"/>
      <c r="L20" s="44"/>
      <c r="M20" s="44"/>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row>
    <row r="21" spans="1:78" s="1" customFormat="1" x14ac:dyDescent="0.2">
      <c r="A21"/>
      <c r="B21" s="44" t="s">
        <v>3</v>
      </c>
      <c r="C21" s="44" t="s">
        <v>4</v>
      </c>
      <c r="D21" s="44" t="s">
        <v>5</v>
      </c>
      <c r="E21" s="44"/>
      <c r="F21" s="44"/>
      <c r="G21" s="44" t="s">
        <v>6</v>
      </c>
      <c r="I21" s="44" t="s">
        <v>6</v>
      </c>
      <c r="J21"/>
      <c r="K21" s="44"/>
      <c r="L21" s="50"/>
      <c r="M21" s="44"/>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row>
    <row r="22" spans="1:78" s="1" customFormat="1" x14ac:dyDescent="0.2">
      <c r="A22"/>
      <c r="B22" s="51">
        <v>45597</v>
      </c>
      <c r="C22" s="20">
        <f>YEAR(_SPECIFICvarPubDate)</f>
        <v>2024</v>
      </c>
      <c r="D22" s="46">
        <f>MONTH(_SPECIFICvarPubDate)</f>
        <v>11</v>
      </c>
      <c r="E22" s="46"/>
      <c r="F22" s="46"/>
      <c r="G22" s="52">
        <f>_xll.GetPrice("FP-PNL-0499","Actual","AssessmentDate",_SPECIFICvarPubDate-5)</f>
        <v>45590.441076388888</v>
      </c>
      <c r="I22" s="52" cm="1">
        <f t="array" ref="I22">_xll.GetPrice("FP-PNL-0499","Actual","AssessmentDate",IF(_xll.GetPrice("FP-PNL-0499","Actual","PreliminaryPrice",EDATE(_SPECIFICvarPubDate,-12)),_xll.GetPrice("FP-PNL-0499","Actual","AssessmentDate",EDATE(_SPECIFICvarPubDate,-12))-1,_xll.GetPrice("FP-PNL-0499","Actual","AssessmentDate",EDATE(_SPECIFICvarPubDate,-12))))</f>
        <v>45226.440405092595</v>
      </c>
      <c r="J22"/>
      <c r="K22" s="45"/>
      <c r="L22" s="45"/>
      <c r="M22" s="48"/>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row>
    <row r="23" spans="1:78" s="1" customFormat="1" x14ac:dyDescent="0.2">
      <c r="A23"/>
      <c r="B23" s="42"/>
      <c r="C23" s="20"/>
      <c r="D23" s="20"/>
      <c r="E23" s="20"/>
      <c r="F23" s="20"/>
      <c r="G23"/>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row>
    <row r="24" spans="1:78" s="1" customFormat="1" x14ac:dyDescent="0.2">
      <c r="A24"/>
      <c r="B24" s="43"/>
      <c r="C24"/>
      <c r="D24"/>
      <c r="E24"/>
      <c r="F24"/>
      <c r="G24"/>
      <c r="H24"/>
      <c r="I24"/>
      <c r="J24"/>
      <c r="K24"/>
      <c r="L24" s="49"/>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row>
    <row r="25" spans="1:78" s="1" customFormat="1" x14ac:dyDescent="0.2">
      <c r="A25"/>
      <c r="B25"/>
      <c r="C25"/>
      <c r="D25"/>
      <c r="E25"/>
      <c r="F25"/>
      <c r="G25"/>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row>
    <row r="26" spans="1:78" s="1" customFormat="1" x14ac:dyDescent="0.2">
      <c r="A26"/>
      <c r="B26"/>
      <c r="C26"/>
      <c r="D26"/>
      <c r="E26"/>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row>
    <row r="27" spans="1:78" s="1" customFormat="1" x14ac:dyDescent="0.2">
      <c r="A27"/>
      <c r="B27"/>
      <c r="C27"/>
      <c r="D27"/>
      <c r="E27"/>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row>
    <row r="28" spans="1:78" s="1" customFormat="1" x14ac:dyDescent="0.2">
      <c r="A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row>
    <row r="29" spans="1:78" s="1" customFormat="1" ht="15" x14ac:dyDescent="0.25">
      <c r="A29"/>
      <c r="B29" s="106" t="s">
        <v>148</v>
      </c>
      <c r="C29"/>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row>
    <row r="30" spans="1:78" s="1" customFormat="1" x14ac:dyDescent="0.2">
      <c r="A30" s="22"/>
      <c r="B30" s="22"/>
      <c r="C30" s="22"/>
      <c r="D30" s="22"/>
      <c r="E30" s="22"/>
      <c r="F30" s="22"/>
      <c r="G30" s="22"/>
      <c r="H30" s="22"/>
      <c r="I30" s="22"/>
      <c r="J30" s="22"/>
      <c r="K30" s="22"/>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row>
    <row r="31" spans="1:78" s="1" customFormat="1" x14ac:dyDescent="0.2">
      <c r="A31" s="22"/>
      <c r="B31" s="22"/>
      <c r="C31" s="22"/>
      <c r="D31" s="22"/>
      <c r="E31" s="22"/>
      <c r="F31" s="22"/>
      <c r="G31" s="22"/>
      <c r="H31" s="22"/>
      <c r="I31" s="22"/>
      <c r="J31" s="22"/>
      <c r="K31" s="22"/>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row>
    <row r="32" spans="1:78" s="1" customFormat="1" x14ac:dyDescent="0.2">
      <c r="A32" s="22"/>
      <c r="B32" s="22"/>
      <c r="C32" s="22"/>
      <c r="D32" s="22"/>
      <c r="E32" s="22"/>
      <c r="F32" s="22"/>
      <c r="G32" s="22"/>
      <c r="H32" s="22"/>
      <c r="I32" s="22"/>
      <c r="J32" s="22"/>
      <c r="K32" s="2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row>
    <row r="33" spans="1:78" s="1" customFormat="1" x14ac:dyDescent="0.2">
      <c r="A33" s="22"/>
      <c r="B33" s="22"/>
      <c r="C33" s="22"/>
      <c r="D33" s="22"/>
      <c r="E33" s="22"/>
      <c r="F33" s="22"/>
      <c r="G33" s="22"/>
      <c r="H33" s="22"/>
      <c r="I33" s="22"/>
      <c r="J33" s="22"/>
      <c r="K33" s="22"/>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row>
    <row r="34" spans="1:78" s="1" customFormat="1" x14ac:dyDescent="0.2">
      <c r="A34" s="22"/>
      <c r="B34" s="22"/>
      <c r="C34" s="22"/>
      <c r="D34" s="22"/>
      <c r="E34" s="22"/>
      <c r="F34" s="22"/>
      <c r="G34" s="22"/>
      <c r="H34" s="22"/>
      <c r="I34" s="22"/>
      <c r="J34" s="22"/>
      <c r="K34" s="22"/>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row>
    <row r="35" spans="1:78" s="1" customFormat="1" x14ac:dyDescent="0.2">
      <c r="A35" s="22"/>
      <c r="B35" s="22"/>
      <c r="C35" s="22"/>
      <c r="D35" s="22"/>
      <c r="E35" s="22"/>
      <c r="F35" s="22"/>
      <c r="G35" s="22"/>
      <c r="H35" s="22"/>
      <c r="I35" s="22"/>
      <c r="J35" s="22"/>
      <c r="K35" s="22"/>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row>
    <row r="36" spans="1:78" s="1" customFormat="1" x14ac:dyDescent="0.2">
      <c r="A36" s="22"/>
      <c r="B36" s="22"/>
      <c r="C36" s="22"/>
      <c r="D36" s="22"/>
      <c r="E36" s="22"/>
      <c r="F36" s="22"/>
      <c r="G36" s="22"/>
      <c r="H36" s="22"/>
      <c r="I36" s="22"/>
      <c r="J36" s="22"/>
      <c r="K36" s="22"/>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row>
    <row r="37" spans="1:78" s="1" customFormat="1" x14ac:dyDescent="0.2">
      <c r="A37" s="22"/>
      <c r="B37" s="22"/>
      <c r="C37" s="22"/>
      <c r="D37" s="22"/>
      <c r="E37" s="22"/>
      <c r="F37" s="22"/>
      <c r="G37" s="22"/>
      <c r="H37" s="22"/>
      <c r="I37" s="22"/>
      <c r="J37" s="22"/>
      <c r="K37" s="22"/>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row>
    <row r="38" spans="1:78" s="1" customFormat="1" x14ac:dyDescent="0.2">
      <c r="A38" s="22"/>
      <c r="B38" s="22"/>
      <c r="C38" s="22"/>
      <c r="D38" s="22"/>
      <c r="E38" s="22"/>
      <c r="F38" s="22"/>
      <c r="G38" s="22"/>
      <c r="H38" s="22"/>
      <c r="I38" s="22"/>
      <c r="J38" s="22"/>
      <c r="K38" s="22"/>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row>
    <row r="39" spans="1:78" s="1" customFormat="1" x14ac:dyDescent="0.2">
      <c r="A39" s="22"/>
      <c r="B39" s="22"/>
      <c r="C39" s="22"/>
      <c r="D39" s="22"/>
      <c r="E39" s="22"/>
      <c r="F39" s="22"/>
      <c r="G39" s="22"/>
      <c r="H39" s="22"/>
      <c r="I39" s="22"/>
      <c r="J39" s="22"/>
      <c r="K39" s="22"/>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row>
    <row r="40" spans="1:78" s="1" customFormat="1" x14ac:dyDescent="0.2">
      <c r="A40" s="22"/>
      <c r="B40" s="22"/>
      <c r="C40" s="22"/>
      <c r="D40" s="22"/>
      <c r="E40" s="22"/>
      <c r="F40" s="22"/>
      <c r="G40" s="22"/>
      <c r="H40" s="22"/>
      <c r="I40" s="22"/>
      <c r="J40" s="22"/>
      <c r="K40" s="22"/>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row>
    <row r="41" spans="1:78" s="1" customFormat="1" x14ac:dyDescent="0.2">
      <c r="A41" s="22"/>
      <c r="B41" s="22"/>
      <c r="C41" s="22"/>
      <c r="D41" s="22"/>
      <c r="E41" s="22"/>
      <c r="F41" s="22"/>
      <c r="G41" s="22"/>
      <c r="H41" s="22"/>
      <c r="I41" s="22"/>
      <c r="J41" s="22"/>
      <c r="K41" s="22"/>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row>
    <row r="42" spans="1:78" s="1" customFormat="1" ht="14.25" x14ac:dyDescent="0.2">
      <c r="A42" s="22"/>
      <c r="B42" s="22"/>
      <c r="C42" s="25"/>
      <c r="D42" s="22"/>
      <c r="E42" s="22"/>
      <c r="F42" s="22"/>
      <c r="G42" s="22"/>
      <c r="H42" s="22"/>
      <c r="I42" s="22"/>
      <c r="J42" s="22"/>
      <c r="K42" s="2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row>
    <row r="43" spans="1:78" s="1" customFormat="1" x14ac:dyDescent="0.2">
      <c r="A43" s="22"/>
      <c r="B43" s="22"/>
      <c r="C43" s="22"/>
      <c r="D43" s="22"/>
      <c r="E43" s="22"/>
      <c r="F43" s="22"/>
      <c r="G43" s="22"/>
      <c r="H43" s="22"/>
      <c r="I43" s="22"/>
      <c r="J43" s="22"/>
      <c r="K43" s="22"/>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row>
    <row r="44" spans="1:78" s="1" customFormat="1" x14ac:dyDescent="0.2">
      <c r="A44" s="22"/>
      <c r="B44" s="22"/>
      <c r="C44" s="22"/>
      <c r="D44" s="22"/>
      <c r="E44" s="22"/>
      <c r="F44" s="22"/>
      <c r="G44" s="22"/>
      <c r="H44" s="22"/>
      <c r="I44" s="22"/>
      <c r="J44" s="22"/>
      <c r="K44" s="22"/>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row>
    <row r="45" spans="1:78" s="1" customFormat="1" x14ac:dyDescent="0.2">
      <c r="A45" s="22"/>
      <c r="B45" s="22"/>
      <c r="C45" s="22"/>
      <c r="D45" s="22"/>
      <c r="E45" s="22"/>
      <c r="F45" s="22"/>
      <c r="G45" s="22"/>
      <c r="H45" s="22"/>
      <c r="I45" s="22"/>
      <c r="J45" s="22"/>
      <c r="K45" s="22"/>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row>
    <row r="46" spans="1:78" s="1" customFormat="1" x14ac:dyDescent="0.2">
      <c r="A46" s="22"/>
      <c r="B46" s="22"/>
      <c r="C46" s="22"/>
      <c r="D46" s="22"/>
      <c r="E46" s="22"/>
      <c r="F46" s="22"/>
      <c r="G46" s="22"/>
      <c r="H46" s="22"/>
      <c r="I46" s="22"/>
      <c r="J46" s="22"/>
      <c r="K46" s="22"/>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row>
    <row r="47" spans="1:78" s="1" customFormat="1" x14ac:dyDescent="0.2">
      <c r="A47" s="22"/>
      <c r="B47" s="22"/>
      <c r="C47" s="22"/>
      <c r="D47" s="22"/>
      <c r="E47" s="22"/>
      <c r="F47" s="22"/>
      <c r="G47" s="22"/>
      <c r="H47" s="22"/>
      <c r="I47" s="22"/>
      <c r="J47" s="22"/>
      <c r="K47" s="22"/>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row>
    <row r="48" spans="1:78" s="1" customFormat="1" ht="11.25" customHeight="1" x14ac:dyDescent="0.2">
      <c r="A48" s="22"/>
      <c r="B48" s="22"/>
      <c r="C48" s="22"/>
      <c r="D48" s="22"/>
      <c r="E48" s="22"/>
      <c r="F48" s="22"/>
      <c r="G48" s="22"/>
      <c r="H48" s="22"/>
      <c r="I48" s="22"/>
      <c r="J48" s="22"/>
      <c r="K48" s="22"/>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row>
    <row r="49" spans="1:78" s="1" customFormat="1" x14ac:dyDescent="0.2">
      <c r="A49" s="22"/>
      <c r="B49" s="22"/>
      <c r="C49" s="22"/>
      <c r="D49" s="22"/>
      <c r="E49" s="22"/>
      <c r="F49" s="22"/>
      <c r="G49" s="22"/>
      <c r="H49" s="22"/>
      <c r="I49" s="22"/>
      <c r="J49" s="22"/>
      <c r="K49" s="22"/>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row>
    <row r="50" spans="1:78" s="1" customFormat="1" x14ac:dyDescent="0.2">
      <c r="A50" s="22"/>
      <c r="B50" s="22"/>
      <c r="C50" s="22"/>
      <c r="D50" s="22"/>
      <c r="E50" s="22"/>
      <c r="F50" s="22"/>
      <c r="G50" s="22"/>
      <c r="H50" s="22"/>
      <c r="I50" s="22"/>
      <c r="J50" s="22"/>
      <c r="K50" s="22"/>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row>
    <row r="51" spans="1:78" s="1" customFormat="1" x14ac:dyDescent="0.2">
      <c r="A51" s="22"/>
      <c r="B51" s="22"/>
      <c r="C51" s="22"/>
      <c r="D51" s="22"/>
      <c r="E51" s="22"/>
      <c r="F51" s="22"/>
      <c r="G51" s="22"/>
      <c r="H51" s="22"/>
      <c r="I51" s="22"/>
      <c r="J51" s="22"/>
      <c r="K51" s="22"/>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row>
    <row r="52" spans="1:78" s="1" customFormat="1" x14ac:dyDescent="0.2">
      <c r="A52" s="22"/>
      <c r="B52" s="22"/>
      <c r="C52" s="22"/>
      <c r="D52" s="22"/>
      <c r="E52" s="22"/>
      <c r="F52" s="22"/>
      <c r="G52" s="22"/>
      <c r="H52" s="22"/>
      <c r="I52" s="22"/>
      <c r="J52" s="22"/>
      <c r="K52" s="2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row>
    <row r="53" spans="1:78" s="1" customFormat="1" x14ac:dyDescent="0.2">
      <c r="A53" s="22"/>
      <c r="B53" s="22"/>
      <c r="C53" s="22"/>
      <c r="D53" s="22"/>
      <c r="E53" s="22"/>
      <c r="F53" s="22"/>
      <c r="G53" s="22"/>
      <c r="H53" s="22"/>
      <c r="I53" s="22"/>
      <c r="J53" s="22"/>
      <c r="K53" s="22"/>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row>
    <row r="54" spans="1:78" s="1" customFormat="1" x14ac:dyDescent="0.2">
      <c r="A54" s="22"/>
      <c r="B54" s="22"/>
      <c r="C54" s="22"/>
      <c r="D54" s="22"/>
      <c r="E54" s="22"/>
      <c r="F54" s="22"/>
      <c r="G54" s="22"/>
      <c r="H54" s="22"/>
      <c r="I54" s="22"/>
      <c r="J54" s="22"/>
      <c r="K54" s="22"/>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row>
    <row r="55" spans="1:78" s="1" customFormat="1" x14ac:dyDescent="0.2">
      <c r="A55" s="22"/>
      <c r="B55" s="22"/>
      <c r="C55" s="22"/>
      <c r="D55" s="22"/>
      <c r="E55" s="22"/>
      <c r="F55" s="22"/>
      <c r="G55" s="22"/>
      <c r="H55" s="22"/>
      <c r="I55" s="22"/>
      <c r="J55" s="22"/>
      <c r="K55" s="22"/>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row>
    <row r="56" spans="1:78" s="1" customFormat="1" x14ac:dyDescent="0.2">
      <c r="A56" s="22"/>
      <c r="B56" s="22"/>
      <c r="C56" s="22"/>
      <c r="D56" s="22"/>
      <c r="E56" s="22"/>
      <c r="F56" s="22"/>
      <c r="G56" s="22"/>
      <c r="H56" s="22"/>
      <c r="I56" s="22"/>
      <c r="J56" s="22"/>
      <c r="K56" s="22"/>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row>
    <row r="57" spans="1:78" s="1" customFormat="1" x14ac:dyDescent="0.2">
      <c r="A57" s="22"/>
      <c r="B57" s="22"/>
      <c r="C57" s="22"/>
      <c r="D57" s="22"/>
      <c r="E57" s="22"/>
      <c r="F57" s="22"/>
      <c r="G57" s="22"/>
      <c r="H57" s="22"/>
      <c r="I57" s="22"/>
      <c r="J57" s="22"/>
      <c r="K57" s="22"/>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row>
    <row r="58" spans="1:78" s="1" customFormat="1" x14ac:dyDescent="0.2">
      <c r="A58" s="22"/>
      <c r="B58" s="22"/>
      <c r="C58" s="22"/>
      <c r="D58" s="22"/>
      <c r="E58" s="22"/>
      <c r="F58" s="22"/>
      <c r="G58" s="22"/>
      <c r="H58" s="22"/>
      <c r="I58" s="22"/>
      <c r="J58" s="22"/>
      <c r="K58" s="22"/>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row>
    <row r="59" spans="1:78" s="1" customFormat="1" x14ac:dyDescent="0.2">
      <c r="A59" s="22"/>
      <c r="B59" s="22"/>
      <c r="C59" s="22"/>
      <c r="D59" s="22"/>
      <c r="E59" s="22"/>
      <c r="F59" s="22"/>
      <c r="G59" s="22"/>
      <c r="H59" s="22"/>
      <c r="I59" s="22"/>
      <c r="J59" s="22"/>
      <c r="K59" s="22"/>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row>
    <row r="60" spans="1:78" s="1" customFormat="1" x14ac:dyDescent="0.2">
      <c r="A60" s="22"/>
      <c r="B60" s="22"/>
      <c r="C60" s="22"/>
      <c r="D60" s="22"/>
      <c r="E60" s="22"/>
      <c r="F60" s="22"/>
      <c r="G60" s="22"/>
      <c r="H60" s="22"/>
      <c r="I60" s="22"/>
      <c r="J60" s="22"/>
      <c r="K60" s="22"/>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row>
    <row r="61" spans="1:78" s="1" customFormat="1" x14ac:dyDescent="0.2">
      <c r="A61" s="22"/>
      <c r="B61" s="22"/>
      <c r="C61" s="22"/>
      <c r="D61" s="22"/>
      <c r="E61" s="22"/>
      <c r="F61" s="22"/>
      <c r="G61" s="22"/>
      <c r="H61" s="22"/>
      <c r="I61" s="22"/>
      <c r="J61" s="22"/>
      <c r="K61" s="22"/>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row>
    <row r="62" spans="1:78" s="1" customFormat="1" x14ac:dyDescent="0.2">
      <c r="A62" s="22"/>
      <c r="B62" s="22"/>
      <c r="C62" s="22"/>
      <c r="D62" s="22"/>
      <c r="E62" s="22"/>
      <c r="F62" s="22"/>
      <c r="G62" s="22"/>
      <c r="H62" s="22"/>
      <c r="I62" s="22"/>
      <c r="J62" s="22"/>
      <c r="K62" s="2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row>
    <row r="63" spans="1:78" s="1" customFormat="1" x14ac:dyDescent="0.2">
      <c r="A63" s="22"/>
      <c r="B63" s="22"/>
      <c r="C63" s="22"/>
      <c r="D63" s="22"/>
      <c r="E63" s="22"/>
      <c r="F63" s="22"/>
      <c r="G63" s="22"/>
      <c r="H63" s="22"/>
      <c r="I63" s="22"/>
      <c r="J63" s="22"/>
      <c r="K63" s="22"/>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row>
    <row r="64" spans="1:78" s="1" customFormat="1" x14ac:dyDescent="0.2">
      <c r="A64" s="22"/>
      <c r="B64" s="22"/>
      <c r="C64" s="22"/>
      <c r="D64" s="22"/>
      <c r="E64" s="22"/>
      <c r="F64" s="22"/>
      <c r="G64" s="22"/>
      <c r="H64" s="22"/>
      <c r="I64" s="22"/>
      <c r="J64" s="22"/>
      <c r="K64" s="22"/>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c r="BX64"/>
      <c r="BY64"/>
      <c r="BZ64"/>
    </row>
    <row r="65" spans="1:78" s="1" customFormat="1" x14ac:dyDescent="0.2">
      <c r="A65" s="22"/>
      <c r="B65" s="22"/>
      <c r="C65" s="22"/>
      <c r="D65" s="22"/>
      <c r="E65" s="22"/>
      <c r="F65" s="22"/>
      <c r="G65" s="22"/>
      <c r="H65" s="22"/>
      <c r="I65" s="22"/>
      <c r="J65" s="22"/>
      <c r="K65" s="22"/>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row>
    <row r="66" spans="1:78" s="1" customFormat="1" x14ac:dyDescent="0.2">
      <c r="A66" s="22"/>
      <c r="B66" s="22"/>
      <c r="C66" s="22"/>
      <c r="D66" s="22"/>
      <c r="E66" s="22"/>
      <c r="F66" s="22"/>
      <c r="G66" s="22"/>
      <c r="H66" s="22"/>
      <c r="I66" s="22"/>
      <c r="J66" s="22"/>
      <c r="K66" s="22"/>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row>
    <row r="67" spans="1:78" s="1" customFormat="1" x14ac:dyDescent="0.2">
      <c r="A67" s="22"/>
      <c r="B67" s="22"/>
      <c r="C67" s="22"/>
      <c r="D67" s="22"/>
      <c r="E67" s="22"/>
      <c r="F67" s="22"/>
      <c r="G67" s="22"/>
      <c r="H67" s="22"/>
      <c r="I67" s="22"/>
      <c r="J67" s="22"/>
      <c r="K67" s="22"/>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row>
    <row r="68" spans="1:78" s="1" customFormat="1" x14ac:dyDescent="0.2">
      <c r="A68" s="26"/>
      <c r="B68" s="26"/>
      <c r="C68" s="26"/>
      <c r="D68" s="26"/>
      <c r="E68" s="26"/>
      <c r="F68" s="26"/>
      <c r="G68" s="26"/>
      <c r="H68" s="26"/>
      <c r="I68" s="26"/>
      <c r="J68" s="26"/>
      <c r="K68" s="26"/>
      <c r="L68" s="26"/>
      <c r="M68" s="26"/>
      <c r="N68" s="26"/>
      <c r="O68" s="26"/>
      <c r="P68" s="26"/>
      <c r="Q68" s="26"/>
      <c r="R68" s="26"/>
      <c r="S68" s="26"/>
      <c r="T68" s="26"/>
      <c r="U68" s="26"/>
      <c r="V68" s="26"/>
      <c r="W68" s="26"/>
      <c r="X68" s="26"/>
      <c r="Y68" s="26"/>
      <c r="Z68" s="26"/>
      <c r="AA68" s="26"/>
      <c r="AB68" s="26"/>
      <c r="AC68" s="26"/>
      <c r="AD68" s="26"/>
      <c r="AE68" s="26"/>
      <c r="AF68" s="26"/>
      <c r="AG68" s="26"/>
      <c r="AH68" s="26"/>
      <c r="AI68" s="26"/>
      <c r="AJ68" s="26"/>
      <c r="AK68" s="26"/>
      <c r="AL68" s="26"/>
      <c r="AM68" s="26"/>
      <c r="AN68" s="26"/>
      <c r="AO68" s="26"/>
      <c r="AP68" s="26"/>
      <c r="AQ68" s="26"/>
      <c r="AR68" s="26"/>
      <c r="AS68" s="26"/>
      <c r="AT68" s="26"/>
      <c r="AU68" s="26"/>
      <c r="AV68" s="26"/>
      <c r="AW68" s="26"/>
      <c r="AX68" s="26"/>
      <c r="AY68" s="26"/>
      <c r="AZ68" s="26"/>
      <c r="BA68" s="26"/>
      <c r="BB68" s="26"/>
      <c r="BC68" s="26"/>
      <c r="BD68" s="26"/>
      <c r="BE68" s="26"/>
      <c r="BF68" s="26"/>
      <c r="BG68" s="26"/>
      <c r="BH68" s="26"/>
      <c r="BI68" s="26"/>
      <c r="BJ68" s="26"/>
      <c r="BK68" s="26"/>
      <c r="BL68" s="26"/>
      <c r="BM68" s="26"/>
      <c r="BN68" s="26"/>
      <c r="BO68" s="26"/>
      <c r="BP68" s="26"/>
      <c r="BQ68" s="26"/>
      <c r="BR68" s="26"/>
      <c r="BS68" s="26"/>
      <c r="BT68" s="26"/>
      <c r="BU68"/>
      <c r="BV68"/>
      <c r="BW68"/>
      <c r="BX68"/>
      <c r="BY68"/>
      <c r="BZ68"/>
    </row>
    <row r="69" spans="1:78" s="1" customFormat="1" x14ac:dyDescent="0.2">
      <c r="A69" s="22"/>
      <c r="B69" s="22"/>
      <c r="C69" s="22"/>
      <c r="D69" s="22"/>
      <c r="E69" s="22"/>
      <c r="F69" s="22"/>
      <c r="G69" s="22"/>
      <c r="H69" s="22"/>
      <c r="I69" s="22"/>
      <c r="J69" s="22"/>
      <c r="K69" s="22"/>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row>
    <row r="70" spans="1:78" s="1" customFormat="1" x14ac:dyDescent="0.2">
      <c r="A70" s="22"/>
      <c r="B70" s="22"/>
      <c r="C70" s="22"/>
      <c r="D70" s="22"/>
      <c r="E70" s="22"/>
      <c r="F70" s="22"/>
      <c r="G70" s="22"/>
      <c r="H70" s="22"/>
      <c r="I70" s="22"/>
      <c r="J70" s="22"/>
      <c r="K70" s="22"/>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row>
    <row r="71" spans="1:78" s="1" customFormat="1" x14ac:dyDescent="0.2">
      <c r="A71" s="22"/>
      <c r="B71" s="22"/>
      <c r="C71" s="22"/>
      <c r="D71" s="22"/>
      <c r="E71" s="22"/>
      <c r="F71" s="22"/>
      <c r="G71" s="22"/>
      <c r="H71" s="22"/>
      <c r="I71" s="22"/>
      <c r="J71" s="22"/>
      <c r="K71" s="22"/>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row>
    <row r="72" spans="1:78" s="1" customFormat="1" x14ac:dyDescent="0.2">
      <c r="A72" s="22"/>
      <c r="B72" s="22"/>
      <c r="C72" s="22"/>
      <c r="D72" s="22"/>
      <c r="E72" s="22"/>
      <c r="F72" s="22"/>
      <c r="G72" s="22"/>
      <c r="H72" s="22"/>
      <c r="I72" s="22"/>
      <c r="J72" s="22"/>
      <c r="K72" s="2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row>
    <row r="73" spans="1:78" s="1" customFormat="1" x14ac:dyDescent="0.2">
      <c r="A73" s="22"/>
      <c r="B73" s="22"/>
      <c r="C73" s="22"/>
      <c r="D73" s="22"/>
      <c r="E73" s="22"/>
      <c r="F73" s="22"/>
      <c r="G73" s="22"/>
      <c r="H73" s="22"/>
      <c r="I73" s="22"/>
      <c r="J73" s="22"/>
      <c r="K73" s="22"/>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row>
    <row r="74" spans="1:78" s="1" customFormat="1" x14ac:dyDescent="0.2">
      <c r="A74" s="22"/>
      <c r="B74" s="22"/>
      <c r="C74" s="22"/>
      <c r="D74" s="22"/>
      <c r="E74" s="22"/>
      <c r="F74" s="22"/>
      <c r="G74" s="22"/>
      <c r="H74" s="22"/>
      <c r="I74" s="22"/>
      <c r="J74" s="22"/>
      <c r="K74" s="22"/>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row>
    <row r="75" spans="1:78" x14ac:dyDescent="0.2">
      <c r="A75" s="22"/>
      <c r="B75" s="22"/>
      <c r="C75" s="22"/>
      <c r="D75" s="22"/>
      <c r="E75" s="22"/>
      <c r="F75" s="22"/>
      <c r="G75" s="22"/>
      <c r="H75" s="22"/>
      <c r="I75" s="22"/>
      <c r="J75" s="22"/>
      <c r="K75" s="22"/>
    </row>
    <row r="76" spans="1:78" x14ac:dyDescent="0.2">
      <c r="A76" s="22"/>
      <c r="B76" s="22"/>
      <c r="C76" s="22"/>
      <c r="D76" s="22"/>
      <c r="E76" s="22"/>
      <c r="F76" s="22"/>
      <c r="G76" s="22"/>
      <c r="H76" s="22"/>
      <c r="I76" s="22"/>
      <c r="J76" s="22"/>
      <c r="K76" s="22"/>
    </row>
    <row r="77" spans="1:78" x14ac:dyDescent="0.2">
      <c r="A77" s="22"/>
      <c r="B77" s="22"/>
      <c r="C77" s="22"/>
      <c r="D77" s="22"/>
      <c r="E77" s="22"/>
      <c r="F77" s="22"/>
      <c r="G77" s="22"/>
      <c r="H77" s="22"/>
      <c r="I77" s="22"/>
      <c r="J77" s="22"/>
      <c r="K77" s="22"/>
    </row>
    <row r="78" spans="1:78" x14ac:dyDescent="0.2">
      <c r="A78" s="22"/>
      <c r="B78" s="22"/>
      <c r="C78" s="22"/>
      <c r="D78" s="22"/>
      <c r="E78" s="22"/>
      <c r="F78" s="22"/>
      <c r="G78" s="22"/>
      <c r="H78" s="22"/>
      <c r="I78" s="22"/>
      <c r="J78" s="22"/>
      <c r="K78" s="22"/>
    </row>
    <row r="79" spans="1:78" x14ac:dyDescent="0.2">
      <c r="A79" s="22"/>
      <c r="B79" s="22"/>
      <c r="C79" s="22"/>
      <c r="D79" s="22"/>
      <c r="E79" s="22"/>
      <c r="F79" s="22"/>
      <c r="G79" s="22"/>
      <c r="H79" s="22"/>
      <c r="I79" s="22"/>
      <c r="J79" s="22"/>
      <c r="K79" s="22"/>
    </row>
    <row r="80" spans="1:78" x14ac:dyDescent="0.2">
      <c r="A80" s="22"/>
      <c r="B80" s="22"/>
      <c r="C80" s="22"/>
      <c r="D80" s="22"/>
      <c r="E80" s="22"/>
      <c r="F80" s="22"/>
      <c r="G80" s="22"/>
      <c r="H80" s="22"/>
      <c r="I80" s="22"/>
      <c r="J80" s="22"/>
      <c r="K80" s="22"/>
    </row>
    <row r="81" spans="1:11" x14ac:dyDescent="0.2">
      <c r="A81" s="22"/>
      <c r="B81" s="22"/>
      <c r="C81" s="22"/>
      <c r="D81" s="22"/>
      <c r="E81" s="22"/>
      <c r="F81" s="22"/>
      <c r="G81" s="22"/>
      <c r="H81" s="22"/>
      <c r="I81" s="22"/>
      <c r="J81" s="22"/>
      <c r="K81" s="22"/>
    </row>
    <row r="82" spans="1:11" x14ac:dyDescent="0.2">
      <c r="A82" s="22"/>
      <c r="B82" s="22"/>
      <c r="C82" s="22"/>
      <c r="D82" s="22"/>
      <c r="E82" s="22"/>
      <c r="F82" s="22"/>
      <c r="G82" s="22"/>
      <c r="H82" s="22"/>
      <c r="I82" s="22"/>
      <c r="J82" s="22"/>
      <c r="K82" s="22"/>
    </row>
    <row r="83" spans="1:11" x14ac:dyDescent="0.2">
      <c r="A83" s="22"/>
      <c r="B83" s="22"/>
      <c r="C83" s="22"/>
      <c r="D83" s="22"/>
      <c r="E83" s="22"/>
      <c r="F83" s="22"/>
      <c r="G83" s="22"/>
      <c r="H83" s="22"/>
      <c r="I83" s="22"/>
      <c r="J83" s="22"/>
      <c r="K83" s="22"/>
    </row>
    <row r="84" spans="1:11" x14ac:dyDescent="0.2">
      <c r="A84" s="22"/>
      <c r="B84" s="22"/>
      <c r="C84" s="22"/>
      <c r="D84" s="22"/>
      <c r="E84" s="22"/>
      <c r="F84" s="22"/>
      <c r="G84" s="22"/>
      <c r="H84" s="22"/>
      <c r="I84" s="22"/>
      <c r="J84" s="22"/>
      <c r="K84" s="22"/>
    </row>
    <row r="85" spans="1:11" x14ac:dyDescent="0.2">
      <c r="A85" s="22"/>
      <c r="B85" s="22"/>
      <c r="C85" s="22"/>
      <c r="D85" s="22"/>
      <c r="E85" s="22"/>
      <c r="F85" s="22"/>
      <c r="G85" s="22"/>
      <c r="H85" s="22"/>
      <c r="I85" s="22"/>
      <c r="J85" s="22"/>
      <c r="K85" s="22"/>
    </row>
    <row r="86" spans="1:11" x14ac:dyDescent="0.2">
      <c r="A86" s="22"/>
      <c r="B86" s="22"/>
      <c r="C86" s="22"/>
      <c r="D86" s="22"/>
      <c r="E86" s="22"/>
      <c r="F86" s="22"/>
      <c r="G86" s="22"/>
      <c r="H86" s="22"/>
      <c r="I86" s="22"/>
      <c r="J86" s="22"/>
      <c r="K86" s="22"/>
    </row>
    <row r="87" spans="1:11" x14ac:dyDescent="0.2">
      <c r="A87" s="22"/>
      <c r="B87" s="22"/>
      <c r="C87" s="22"/>
      <c r="D87" s="22"/>
      <c r="E87" s="22"/>
      <c r="F87" s="22"/>
      <c r="G87" s="22"/>
      <c r="H87" s="22"/>
      <c r="I87" s="22"/>
      <c r="J87" s="22"/>
      <c r="K87" s="22"/>
    </row>
    <row r="88" spans="1:11" x14ac:dyDescent="0.2">
      <c r="A88" s="22"/>
      <c r="B88" s="22"/>
      <c r="C88" s="22"/>
      <c r="D88" s="22"/>
      <c r="E88" s="22"/>
      <c r="F88" s="22"/>
      <c r="G88" s="22"/>
      <c r="H88" s="22"/>
      <c r="I88" s="22"/>
      <c r="J88" s="22"/>
      <c r="K88" s="22"/>
    </row>
    <row r="89" spans="1:11" x14ac:dyDescent="0.2">
      <c r="A89" s="22"/>
      <c r="B89" s="22"/>
      <c r="C89" s="22"/>
      <c r="D89" s="22"/>
      <c r="E89" s="22"/>
      <c r="F89" s="22"/>
      <c r="G89" s="22"/>
      <c r="H89" s="22"/>
      <c r="I89" s="22"/>
      <c r="J89" s="22"/>
      <c r="K89" s="22"/>
    </row>
    <row r="90" spans="1:11" x14ac:dyDescent="0.2">
      <c r="A90" s="22"/>
      <c r="B90" s="22"/>
      <c r="C90" s="22"/>
      <c r="D90" s="22"/>
      <c r="E90" s="22"/>
      <c r="F90" s="22"/>
      <c r="G90" s="22"/>
      <c r="H90" s="22"/>
      <c r="I90" s="22"/>
      <c r="J90" s="22"/>
      <c r="K90" s="22"/>
    </row>
    <row r="91" spans="1:11" x14ac:dyDescent="0.2">
      <c r="A91" s="22"/>
      <c r="B91" s="22"/>
      <c r="C91" s="22"/>
      <c r="D91" s="22"/>
      <c r="E91" s="22"/>
      <c r="F91" s="22"/>
      <c r="G91" s="22"/>
      <c r="H91" s="22"/>
      <c r="I91" s="22"/>
      <c r="J91" s="22"/>
      <c r="K91" s="22"/>
    </row>
    <row r="92" spans="1:11" x14ac:dyDescent="0.2">
      <c r="A92" s="22"/>
      <c r="B92" s="22"/>
      <c r="C92" s="22"/>
      <c r="D92" s="22"/>
      <c r="E92" s="22"/>
      <c r="F92" s="22"/>
      <c r="G92" s="22"/>
      <c r="H92" s="22"/>
      <c r="I92" s="22"/>
      <c r="J92" s="22"/>
      <c r="K92" s="22"/>
    </row>
    <row r="93" spans="1:11" x14ac:dyDescent="0.2">
      <c r="A93" s="22"/>
      <c r="B93" s="22"/>
      <c r="C93" s="22"/>
      <c r="D93" s="22"/>
      <c r="E93" s="22"/>
      <c r="F93" s="22"/>
      <c r="G93" s="22"/>
      <c r="H93" s="22"/>
      <c r="I93" s="22"/>
      <c r="J93" s="22"/>
      <c r="K93" s="22"/>
    </row>
    <row r="94" spans="1:11" x14ac:dyDescent="0.2">
      <c r="A94" s="22"/>
      <c r="B94" s="22"/>
      <c r="C94" s="22"/>
      <c r="D94" s="22"/>
      <c r="E94" s="22"/>
      <c r="F94" s="22"/>
      <c r="G94" s="22"/>
      <c r="H94" s="22"/>
      <c r="I94" s="22"/>
      <c r="J94" s="22"/>
      <c r="K94" s="22"/>
    </row>
    <row r="95" spans="1:11" x14ac:dyDescent="0.2">
      <c r="A95" s="22"/>
      <c r="B95" s="22"/>
      <c r="C95" s="22"/>
      <c r="D95" s="22"/>
      <c r="E95" s="22"/>
      <c r="F95" s="22"/>
      <c r="G95" s="22"/>
      <c r="H95" s="22"/>
      <c r="I95" s="22"/>
      <c r="J95" s="22"/>
      <c r="K95" s="22"/>
    </row>
    <row r="96" spans="1:11" x14ac:dyDescent="0.2">
      <c r="A96" s="22"/>
      <c r="B96" s="22"/>
      <c r="C96" s="22"/>
      <c r="D96" s="22"/>
      <c r="E96" s="22"/>
      <c r="F96" s="22"/>
      <c r="G96" s="22"/>
      <c r="H96" s="22"/>
      <c r="I96" s="22"/>
      <c r="J96" s="22"/>
      <c r="K96" s="22"/>
    </row>
    <row r="97" spans="1:17" x14ac:dyDescent="0.2">
      <c r="A97" s="22"/>
      <c r="B97" s="22"/>
      <c r="C97" s="22"/>
      <c r="D97" s="22"/>
      <c r="E97" s="22"/>
      <c r="F97" s="22"/>
      <c r="G97" s="22"/>
      <c r="H97" s="22"/>
      <c r="I97" s="22"/>
      <c r="J97" s="22"/>
      <c r="K97" s="22"/>
    </row>
    <row r="98" spans="1:17" x14ac:dyDescent="0.2">
      <c r="A98" s="22"/>
      <c r="B98" s="22"/>
      <c r="C98" s="22"/>
      <c r="D98" s="22"/>
      <c r="E98" s="22"/>
      <c r="F98" s="22"/>
      <c r="G98" s="22"/>
      <c r="H98" s="22"/>
      <c r="I98" s="22"/>
      <c r="J98" s="22"/>
      <c r="K98" s="22"/>
    </row>
    <row r="99" spans="1:17" x14ac:dyDescent="0.2">
      <c r="A99" s="22"/>
      <c r="B99" s="22"/>
      <c r="C99" s="22"/>
      <c r="D99" s="22"/>
      <c r="E99" s="22"/>
      <c r="F99" s="22"/>
      <c r="G99" s="22"/>
      <c r="H99" s="22"/>
      <c r="I99" s="22"/>
      <c r="J99" s="22"/>
      <c r="K99" s="22"/>
    </row>
    <row r="100" spans="1:17" x14ac:dyDescent="0.2">
      <c r="A100" s="22"/>
      <c r="B100" s="22"/>
      <c r="C100" s="22"/>
      <c r="D100" s="22"/>
      <c r="E100" s="22"/>
      <c r="F100" s="22"/>
      <c r="G100" s="22"/>
      <c r="H100" s="22"/>
      <c r="I100" s="22"/>
      <c r="J100" s="22"/>
      <c r="K100" s="22"/>
    </row>
    <row r="101" spans="1:17" ht="15" x14ac:dyDescent="0.2">
      <c r="A101" s="31">
        <f>_SPECIFICvarPubDate</f>
        <v>45597</v>
      </c>
      <c r="B101" s="21" t="str">
        <f>$A$1</f>
        <v>RANDOM LENGTHS PANEL REPORT</v>
      </c>
      <c r="C101" s="29"/>
      <c r="D101" s="29"/>
      <c r="E101" s="29"/>
      <c r="F101" s="29"/>
      <c r="G101" s="29"/>
      <c r="H101" s="2" t="s">
        <v>7</v>
      </c>
      <c r="I101" s="29"/>
      <c r="J101" s="29"/>
      <c r="K101" s="29"/>
      <c r="L101" s="29"/>
      <c r="M101" s="1"/>
      <c r="N101" s="1"/>
      <c r="O101" s="1"/>
      <c r="P101" s="1"/>
    </row>
    <row r="105" spans="1:17" x14ac:dyDescent="0.2">
      <c r="A105" s="47" t="s">
        <v>8</v>
      </c>
      <c r="B105" s="1"/>
      <c r="C105" s="1"/>
      <c r="D105" s="1"/>
      <c r="E105" s="1"/>
      <c r="F105" s="1"/>
      <c r="G105" s="1"/>
      <c r="H105" s="1"/>
      <c r="K105" s="3" t="s">
        <v>9</v>
      </c>
      <c r="L105" s="1"/>
      <c r="M105" s="1"/>
      <c r="N105" s="32"/>
      <c r="Q105" s="1"/>
    </row>
    <row r="106" spans="1:17" x14ac:dyDescent="0.2">
      <c r="A106" s="4" t="s">
        <v>10</v>
      </c>
      <c r="K106" s="4" t="s">
        <v>11</v>
      </c>
      <c r="L106" s="5"/>
      <c r="M106" s="1"/>
      <c r="N106" s="7"/>
      <c r="O106" s="7"/>
      <c r="Q106" s="7"/>
    </row>
    <row r="107" spans="1:17" x14ac:dyDescent="0.2">
      <c r="B107" s="8" t="s">
        <v>12</v>
      </c>
      <c r="C107" s="8" t="s">
        <v>13</v>
      </c>
      <c r="D107" s="8" t="s">
        <v>14</v>
      </c>
      <c r="E107" s="8" t="s">
        <v>15</v>
      </c>
      <c r="F107" s="8" t="s">
        <v>15</v>
      </c>
      <c r="G107" s="11" t="s">
        <v>16</v>
      </c>
      <c r="H107" s="10"/>
      <c r="K107" s="1"/>
      <c r="L107" s="8"/>
      <c r="M107" s="9"/>
      <c r="N107" s="8" t="s">
        <v>17</v>
      </c>
      <c r="O107" s="8"/>
      <c r="P107" s="8" t="s">
        <v>18</v>
      </c>
      <c r="Q107" s="8" t="s">
        <v>19</v>
      </c>
    </row>
    <row r="108" spans="1:17" x14ac:dyDescent="0.2">
      <c r="A108" s="1"/>
      <c r="B108" s="8" t="s">
        <v>20</v>
      </c>
      <c r="C108" s="8" t="s">
        <v>21</v>
      </c>
      <c r="D108" s="8" t="s">
        <v>21</v>
      </c>
      <c r="E108" s="8" t="s">
        <v>22</v>
      </c>
      <c r="F108" s="8" t="s">
        <v>23</v>
      </c>
      <c r="G108" s="8" t="s">
        <v>24</v>
      </c>
      <c r="K108" s="1"/>
      <c r="L108" s="8" t="s">
        <v>25</v>
      </c>
      <c r="M108" s="9"/>
      <c r="N108" s="8" t="s">
        <v>26</v>
      </c>
      <c r="O108" s="8" t="s">
        <v>18</v>
      </c>
      <c r="P108" s="8" t="s">
        <v>27</v>
      </c>
      <c r="Q108" s="8" t="s">
        <v>28</v>
      </c>
    </row>
    <row r="109" spans="1:17" x14ac:dyDescent="0.2">
      <c r="A109" s="8" t="s">
        <v>29</v>
      </c>
      <c r="B109" s="23" cm="1">
        <f t="array" ref="B109">_xll.GetPrice("FP-PNL-0027","Actual","Low",_SPECIFICvarPubDate)</f>
        <v>370</v>
      </c>
      <c r="C109" s="23">
        <f t="array" ref="C109">_xll.GetPrice("FP-PNL-0033","Actual","Low",_SPECIFICvarPubDate)</f>
        <v>340</v>
      </c>
      <c r="D109" s="23">
        <f t="array" ref="D109">_xll.GetPrice("FP-PNL-0039","Actual","Low",_SPECIFICvarPubDate)</f>
        <v>340</v>
      </c>
      <c r="E109" s="23">
        <f t="array" ref="E109">_xll.GetPrice("FP-PNL-0109","Actual","Low",_SPECIFICvarPubDate)</f>
        <v>325</v>
      </c>
      <c r="F109" s="23">
        <f t="array" ref="F109">_xll.GetPrice("FP-PNL-0115","Actual","Low",_SPECIFICvarPubDate)</f>
        <v>320</v>
      </c>
      <c r="G109" s="23">
        <f t="array" ref="G109">_xll.GetPrice("FP-PNL-0121","Actual","Low",_SPECIFICvarPubDate)</f>
        <v>330</v>
      </c>
      <c r="I109" s="49"/>
      <c r="K109" s="8" t="s">
        <v>29</v>
      </c>
      <c r="L109" s="23">
        <f t="array" ref="L109">_xll.GetPrice("FP-PNL-0219","Actual","Low",_SPECIFICvarPubDate)</f>
        <v>445</v>
      </c>
      <c r="M109" s="1"/>
      <c r="N109" s="23">
        <f t="array" ref="N109">_xll.GetPrice("FP-PNL-0227","Actual","Low",_SPECIFICvarPubDate)</f>
        <v>475</v>
      </c>
      <c r="O109" s="23">
        <f t="array" ref="O109">_xll.GetPrice("FP-PNL-0231","Actual","Low",_SPECIFICvarPubDate)</f>
        <v>565</v>
      </c>
      <c r="P109" s="23">
        <f t="array" ref="P109">_xll.GetPrice("FP-PNL-0235","Actual","Low",_SPECIFICvarPubDate)</f>
        <v>1210</v>
      </c>
      <c r="Q109" s="23">
        <f t="array" ref="Q109">_xll.GetPrice("FP-PNL-0239","Actual","Low",_SPECIFICvarPubDate)</f>
        <v>305</v>
      </c>
    </row>
    <row r="110" spans="1:17" x14ac:dyDescent="0.2">
      <c r="A110" s="8" t="s">
        <v>30</v>
      </c>
      <c r="B110" s="23">
        <f t="array" ref="B110">_xll.GetPrice("FP-PNL-0028","Actual","Low",_SPECIFICvarPubDate)</f>
        <v>375</v>
      </c>
      <c r="C110" s="23">
        <f t="array" ref="C110">_xll.GetPrice("FP-PNL-0034","Actual","Low",_SPECIFICvarPubDate)</f>
        <v>340</v>
      </c>
      <c r="D110" s="23">
        <f t="array" ref="D110">_xll.GetPrice("FP-PNL-0040","Actual","Low",_SPECIFICvarPubDate)</f>
        <v>345</v>
      </c>
      <c r="E110" s="23">
        <f t="array" ref="E110">_xll.GetPrice("FP-PNL-0110","Actual","Low",_SPECIFICvarPubDate)</f>
        <v>325</v>
      </c>
      <c r="F110" s="23">
        <f t="array" ref="F110">_xll.GetPrice("FP-PNL-0116","Actual","Low",_SPECIFICvarPubDate)</f>
        <v>320</v>
      </c>
      <c r="G110" s="23">
        <f t="array" ref="G110">_xll.GetPrice("FP-PNL-0122","Actual","Low",_SPECIFICvarPubDate)</f>
        <v>340</v>
      </c>
      <c r="K110" s="8" t="s">
        <v>31</v>
      </c>
      <c r="L110" s="23">
        <f t="array" ref="L110">_xll.GetPrice("FP-PNL-0220","Actual","Low",_SPECIFICvarPubDate)</f>
        <v>510</v>
      </c>
      <c r="M110" s="1"/>
      <c r="N110" s="13" t="s">
        <v>32</v>
      </c>
      <c r="O110" s="6" t="s">
        <v>32</v>
      </c>
      <c r="P110" s="6" t="s">
        <v>32</v>
      </c>
      <c r="Q110" s="6" t="s">
        <v>32</v>
      </c>
    </row>
    <row r="111" spans="1:17" x14ac:dyDescent="0.2">
      <c r="A111" s="8" t="s">
        <v>33</v>
      </c>
      <c r="B111" s="23">
        <f t="array" ref="B111">_xll.GetPrice("FP-PNL-0029","Actual","Low",_SPECIFICvarPubDate)</f>
        <v>390</v>
      </c>
      <c r="C111" s="23">
        <f t="array" ref="C111">_xll.GetPrice("FP-PNL-0035","Actual","Low",_SPECIFICvarPubDate)</f>
        <v>375</v>
      </c>
      <c r="D111" s="23">
        <f t="array" ref="D111">_xll.GetPrice("FP-PNL-0041","Actual","Low",_SPECIFICvarPubDate)</f>
        <v>365</v>
      </c>
      <c r="E111" s="23">
        <f t="array" ref="E111">_xll.GetPrice("FP-PNL-0111","Actual","Low",_SPECIFICvarPubDate)</f>
        <v>345</v>
      </c>
      <c r="F111" s="23">
        <f t="array" ref="F111">_xll.GetPrice("FP-PNL-0117","Actual","Low",_SPECIFICvarPubDate)</f>
        <v>340</v>
      </c>
      <c r="G111" s="23">
        <f t="array" ref="G111">_xll.GetPrice("FP-PNL-0123","Actual","Low",_SPECIFICvarPubDate)</f>
        <v>360</v>
      </c>
      <c r="K111" s="8" t="s">
        <v>34</v>
      </c>
      <c r="L111" s="23">
        <f t="array" ref="L111">_xll.GetPrice("FP-PNL-0221","Actual","Low",_SPECIFICvarPubDate)</f>
        <v>530</v>
      </c>
      <c r="M111" s="23">
        <f t="array" ref="M111">_xll.GetPrice("FP-PNL-0222","Actual","Low",_SPECIFICvarPubDate)</f>
        <v>625</v>
      </c>
      <c r="N111" s="23">
        <f t="array" ref="N111">_xll.GetPrice("FP-PNL-0228","Actual","Low",_SPECIFICvarPubDate)</f>
        <v>655</v>
      </c>
      <c r="O111" s="23">
        <f t="array" ref="O111">_xll.GetPrice("FP-PNL-0232","Actual","Low",_SPECIFICvarPubDate)</f>
        <v>585</v>
      </c>
      <c r="P111" s="23">
        <f t="array" ref="P111">_xll.GetPrice("FP-PNL-0236","Actual","Low",_SPECIFICvarPubDate)</f>
        <v>1545</v>
      </c>
      <c r="Q111" s="23">
        <f t="array" ref="Q111">_xll.GetPrice("FP-PNL-0240","Actual","Low",_SPECIFICvarPubDate)</f>
        <v>315</v>
      </c>
    </row>
    <row r="112" spans="1:17" x14ac:dyDescent="0.2">
      <c r="A112" s="8" t="s">
        <v>35</v>
      </c>
      <c r="B112" s="23">
        <f t="array" ref="B112">_xll.GetPrice("FP-PNL-0030","Actual","Low",_SPECIFICvarPubDate)</f>
        <v>400</v>
      </c>
      <c r="C112" s="23">
        <f t="array" ref="C112">_xll.GetPrice("FP-PNL-0036","Actual","Low",_SPECIFICvarPubDate)</f>
        <v>400</v>
      </c>
      <c r="D112" s="23">
        <f t="array" ref="D112">_xll.GetPrice("FP-PNL-0042","Actual","Low",_SPECIFICvarPubDate)</f>
        <v>375</v>
      </c>
      <c r="E112" s="23">
        <f t="array" ref="E112">_xll.GetPrice("FP-PNL-0112","Actual","Low",_SPECIFICvarPubDate)</f>
        <v>365</v>
      </c>
      <c r="F112" s="23">
        <f t="array" ref="F112">_xll.GetPrice("FP-PNL-0118","Actual","Low",_SPECIFICvarPubDate)</f>
        <v>360</v>
      </c>
      <c r="G112" s="23">
        <f t="array" ref="G112">_xll.GetPrice("FP-PNL-0124","Actual","Low",_SPECIFICvarPubDate)</f>
        <v>380</v>
      </c>
      <c r="K112" s="8" t="s">
        <v>36</v>
      </c>
      <c r="L112" s="23">
        <f t="array" ref="L112">_xll.GetPrice("FP-PNL-0223","Actual","Low",_SPECIFICvarPubDate)</f>
        <v>675</v>
      </c>
      <c r="M112" s="23">
        <f t="array" ref="M112">_xll.GetPrice("FP-PNL-0224","Actual","Low",_SPECIFICvarPubDate)</f>
        <v>695</v>
      </c>
      <c r="N112" s="23">
        <f t="array" ref="N112">_xll.GetPrice("FP-PNL-0229","Actual","Low",_SPECIFICvarPubDate)</f>
        <v>725</v>
      </c>
      <c r="O112" s="23">
        <f t="array" ref="O112">_xll.GetPrice("FP-PNL-0233","Actual","Low",_SPECIFICvarPubDate)</f>
        <v>740</v>
      </c>
      <c r="P112" s="23">
        <f t="array" ref="P112">_xll.GetPrice("FP-PNL-0237","Actual","Low",_SPECIFICvarPubDate)</f>
        <v>1695</v>
      </c>
      <c r="Q112" s="23">
        <f t="array" ref="Q112">_xll.GetPrice("FP-PNL-0241","Actual","Low",_SPECIFICvarPubDate)</f>
        <v>385</v>
      </c>
    </row>
    <row r="113" spans="1:26" x14ac:dyDescent="0.2">
      <c r="A113" s="8" t="s">
        <v>37</v>
      </c>
      <c r="B113" s="23">
        <f t="array" ref="B113">_xll.GetPrice("FP-PNL-0031","Actual","Low",_SPECIFICvarPubDate)</f>
        <v>490</v>
      </c>
      <c r="C113" s="23">
        <f t="array" ref="C113">_xll.GetPrice("FP-PNL-0037","Actual","Low",_SPECIFICvarPubDate)</f>
        <v>455</v>
      </c>
      <c r="D113" s="23">
        <f t="array" ref="D113">_xll.GetPrice("FP-PNL-0043","Actual","Low",_SPECIFICvarPubDate)</f>
        <v>445</v>
      </c>
      <c r="E113" s="23">
        <f t="array" ref="E113">_xll.GetPrice("FP-PNL-0113","Actual","Low",_SPECIFICvarPubDate)</f>
        <v>400</v>
      </c>
      <c r="F113" s="23">
        <f t="array" ref="F113">_xll.GetPrice("FP-PNL-0119","Actual","Low",_SPECIFICvarPubDate)</f>
        <v>420</v>
      </c>
      <c r="G113" s="23">
        <f t="array" ref="G113">_xll.GetPrice("FP-PNL-0125","Actual","Low",_SPECIFICvarPubDate)</f>
        <v>435</v>
      </c>
      <c r="K113" s="8" t="s">
        <v>38</v>
      </c>
      <c r="L113" s="23">
        <f t="array" ref="L113">_xll.GetPrice("FP-PNL-0225","Actual","Low",_SPECIFICvarPubDate)</f>
        <v>840</v>
      </c>
      <c r="M113" s="23">
        <f t="array" ref="M113">_xll.GetPrice("FP-PNL-0226","Actual","Low",_SPECIFICvarPubDate)</f>
        <v>845</v>
      </c>
      <c r="N113" s="23">
        <f t="array" ref="N113">_xll.GetPrice("FP-PNL-0230","Actual","Low",_SPECIFICvarPubDate)</f>
        <v>885</v>
      </c>
      <c r="O113" s="23">
        <f t="array" ref="O113">_xll.GetPrice("FP-PNL-0234","Actual","Low",_SPECIFICvarPubDate)</f>
        <v>920</v>
      </c>
      <c r="P113" s="23">
        <f t="array" ref="P113">_xll.GetPrice("FP-PNL-0238","Actual","Low",_SPECIFICvarPubDate)</f>
        <v>1785</v>
      </c>
      <c r="Q113" s="23">
        <f t="array" ref="Q113">_xll.GetPrice("FP-PNL-0242","Actual","Low",_SPECIFICvarPubDate)</f>
        <v>510</v>
      </c>
    </row>
    <row r="114" spans="1:26" x14ac:dyDescent="0.2">
      <c r="A114" s="8" t="s">
        <v>39</v>
      </c>
      <c r="B114" s="23">
        <f t="array" ref="B114">_xll.GetPrice("FP-PNL-0032","Actual","Low",_SPECIFICvarPubDate)</f>
        <v>560</v>
      </c>
      <c r="C114" s="23">
        <f t="array" ref="C114">_xll.GetPrice("FP-PNL-0038","Actual","Low",_SPECIFICvarPubDate)</f>
        <v>545</v>
      </c>
      <c r="D114" s="23">
        <f t="array" ref="D114">_xll.GetPrice("FP-PNL-0044","Actual","Low",_SPECIFICvarPubDate)</f>
        <v>530</v>
      </c>
      <c r="E114" s="23">
        <f t="array" ref="E114">_xll.GetPrice("FP-PNL-0114","Actual","Low",_SPECIFICvarPubDate)</f>
        <v>440</v>
      </c>
      <c r="F114" s="23">
        <f t="array" ref="F114">_xll.GetPrice("FP-PNL-0120","Actual","Low",_SPECIFICvarPubDate)</f>
        <v>475</v>
      </c>
      <c r="G114" s="23">
        <f t="array" ref="G114">_xll.GetPrice("FP-PNL-0126","Actual","Low",_SPECIFICvarPubDate)</f>
        <v>495</v>
      </c>
      <c r="I114" s="1"/>
      <c r="J114" s="1"/>
      <c r="K114" s="35" t="s">
        <v>40</v>
      </c>
      <c r="M114" s="23">
        <f t="array" ref="M114">_xll.GetPrice("FP-PNL-0286","Actual","Low",_SPECIFICvarPubDate)</f>
        <v>25</v>
      </c>
    </row>
    <row r="115" spans="1:26" x14ac:dyDescent="0.2">
      <c r="I115" s="1"/>
      <c r="J115" s="1"/>
    </row>
    <row r="116" spans="1:26" x14ac:dyDescent="0.2">
      <c r="A116" s="1"/>
      <c r="B116" s="1"/>
      <c r="C116" s="1"/>
      <c r="D116" s="1"/>
      <c r="E116" s="1"/>
      <c r="F116" s="1"/>
      <c r="G116" s="1"/>
      <c r="H116" s="1"/>
    </row>
    <row r="117" spans="1:26" x14ac:dyDescent="0.2">
      <c r="A117" s="4" t="s">
        <v>41</v>
      </c>
      <c r="B117" s="16"/>
      <c r="C117" s="1"/>
      <c r="D117" s="1"/>
      <c r="E117" s="1"/>
      <c r="F117" s="1"/>
      <c r="G117" s="1"/>
      <c r="H117" s="1"/>
      <c r="K117" s="12" t="s">
        <v>42</v>
      </c>
      <c r="L117" s="1"/>
      <c r="M117" s="1"/>
      <c r="N117" s="1"/>
      <c r="O117" s="1"/>
    </row>
    <row r="118" spans="1:26" x14ac:dyDescent="0.2">
      <c r="A118" s="14"/>
      <c r="B118" s="8" t="s">
        <v>29</v>
      </c>
      <c r="C118" s="8" t="s">
        <v>30</v>
      </c>
      <c r="D118" s="8" t="s">
        <v>33</v>
      </c>
      <c r="E118" s="8" t="s">
        <v>37</v>
      </c>
      <c r="F118" s="8" t="s">
        <v>39</v>
      </c>
      <c r="G118" s="1"/>
      <c r="H118" s="1"/>
      <c r="K118" s="1"/>
      <c r="L118" s="8" t="s">
        <v>43</v>
      </c>
      <c r="M118" s="8" t="s">
        <v>44</v>
      </c>
      <c r="N118" s="8" t="s">
        <v>45</v>
      </c>
      <c r="O118" s="8" t="s">
        <v>46</v>
      </c>
    </row>
    <row r="119" spans="1:26" x14ac:dyDescent="0.2">
      <c r="A119" s="18" t="s">
        <v>47</v>
      </c>
      <c r="B119" s="23">
        <f t="array" ref="B119">_xll.GetPrice("FP-PNL-0045","Actual","Low",_SPECIFICvarPubDate)</f>
        <v>420</v>
      </c>
      <c r="C119" s="23">
        <f t="array" ref="C119">_xll.GetPrice("FP-PNL-0046","Actual","Low",_SPECIFICvarPubDate)</f>
        <v>420</v>
      </c>
      <c r="D119" s="23">
        <f t="array" ref="D119">_xll.GetPrice("FP-PNL-0047","Actual","Low",_SPECIFICvarPubDate)</f>
        <v>440</v>
      </c>
      <c r="E119" s="23">
        <f t="array" ref="E119">_xll.GetPrice("FP-PNL-0048","Actual","Low",_SPECIFICvarPubDate)</f>
        <v>535</v>
      </c>
      <c r="F119" s="23">
        <f t="array" ref="F119">_xll.GetPrice("FP-PNL-0049","Actual","Low",_SPECIFICvarPubDate)</f>
        <v>640</v>
      </c>
      <c r="G119" s="1"/>
      <c r="H119" s="1"/>
      <c r="K119" s="8" t="s">
        <v>48</v>
      </c>
      <c r="L119" s="23">
        <f t="array" ref="L119">_xll.GetPrice("FP-PNL-0243","Actual","Low",_SPECIFICvarPubDate)</f>
        <v>1030</v>
      </c>
      <c r="M119" s="23">
        <f t="array" ref="M119">_xll.GetPrice("FP-PNL-0248","Actual","Low",_SPECIFICvarPubDate)</f>
        <v>970</v>
      </c>
      <c r="N119" s="23">
        <f t="array" ref="N119">_xll.GetPrice("FP-PNL-0253","Actual","Low",_SPECIFICvarPubDate)</f>
        <v>1150</v>
      </c>
      <c r="O119" s="23">
        <f t="array" ref="O119">_xll.GetPrice("FP-PNL-0258","Actual","Low",_SPECIFICvarPubDate)</f>
        <v>1185</v>
      </c>
      <c r="Z119" s="1"/>
    </row>
    <row r="120" spans="1:26" x14ac:dyDescent="0.2">
      <c r="A120" s="18" t="s">
        <v>49</v>
      </c>
      <c r="B120" s="23">
        <f t="array" ref="B120">_xll.GetPrice("FP-PNL-0050","Actual","Low",_SPECIFICvarPubDate)</f>
        <v>422</v>
      </c>
      <c r="C120" s="23">
        <f t="array" ref="C120">_xll.GetPrice("FP-PNL-0051","Actual","Low",_SPECIFICvarPubDate)</f>
        <v>422</v>
      </c>
      <c r="D120" s="23">
        <f t="array" ref="D120">_xll.GetPrice("FP-PNL-0052","Actual","Low",_SPECIFICvarPubDate)</f>
        <v>442</v>
      </c>
      <c r="E120" s="23">
        <f t="array" ref="E120">_xll.GetPrice("FP-PNL-0053","Actual","Low",_SPECIFICvarPubDate)</f>
        <v>540</v>
      </c>
      <c r="F120" s="23">
        <f t="array" ref="F120">_xll.GetPrice("FP-PNL-0054","Actual","Low",_SPECIFICvarPubDate)</f>
        <v>645</v>
      </c>
      <c r="G120" s="1"/>
      <c r="H120" s="1"/>
      <c r="K120" s="8" t="s">
        <v>50</v>
      </c>
      <c r="L120" s="23">
        <f t="array" ref="L120">_xll.GetPrice("FP-PNL-0244","Actual","Low",_SPECIFICvarPubDate)</f>
        <v>1055</v>
      </c>
      <c r="M120" s="23">
        <f t="array" ref="M120">_xll.GetPrice("FP-PNL-0249","Actual","Low",_SPECIFICvarPubDate)</f>
        <v>995</v>
      </c>
      <c r="N120" s="23">
        <f t="array" ref="N120">_xll.GetPrice("FP-PNL-0254","Actual","Low",_SPECIFICvarPubDate)</f>
        <v>1195</v>
      </c>
      <c r="O120" s="23">
        <f t="array" ref="O120">_xll.GetPrice("FP-PNL-0259","Actual","Low",_SPECIFICvarPubDate)</f>
        <v>1230</v>
      </c>
    </row>
    <row r="121" spans="1:26" x14ac:dyDescent="0.2">
      <c r="A121" s="18" t="s">
        <v>51</v>
      </c>
      <c r="B121" s="23">
        <f t="array" ref="B121">_xll.GetPrice("FP-PNL-0137","Actual","Low",_SPECIFICvarPubDate)</f>
        <v>400</v>
      </c>
      <c r="C121" s="23">
        <f t="array" ref="C121">_xll.GetPrice("FP-PNL-0138","Actual","Low",_SPECIFICvarPubDate)</f>
        <v>400</v>
      </c>
      <c r="D121" s="23">
        <f t="array" ref="D121">_xll.GetPrice("FP-PNL-0139","Actual","Low",_SPECIFICvarPubDate)</f>
        <v>425</v>
      </c>
      <c r="E121" s="23">
        <f t="array" ref="E121">_xll.GetPrice("FP-PNL-0140","Actual","Low",_SPECIFICvarPubDate)</f>
        <v>515</v>
      </c>
      <c r="F121" s="23">
        <f t="array" ref="F121">_xll.GetPrice("FP-PNL-0141","Actual","Low",_SPECIFICvarPubDate)</f>
        <v>565</v>
      </c>
      <c r="G121" s="1"/>
      <c r="H121" s="1"/>
      <c r="K121" s="8" t="s">
        <v>33</v>
      </c>
      <c r="L121" s="23">
        <f t="array" ref="L121">_xll.GetPrice("FP-PNL-0245","Actual","Low",_SPECIFICvarPubDate)</f>
        <v>1540</v>
      </c>
      <c r="M121" s="23">
        <f t="array" ref="M121">_xll.GetPrice("FP-PNL-0250","Actual","Low",_SPECIFICvarPubDate)</f>
        <v>1470</v>
      </c>
      <c r="N121" s="23">
        <f t="array" ref="N121">_xll.GetPrice("FP-PNL-0255","Actual","Low",_SPECIFICvarPubDate)</f>
        <v>1710</v>
      </c>
      <c r="O121" s="23">
        <f t="array" ref="O121">_xll.GetPrice("FP-PNL-0260","Actual","Low",_SPECIFICvarPubDate)</f>
        <v>1730</v>
      </c>
    </row>
    <row r="122" spans="1:26" x14ac:dyDescent="0.2">
      <c r="A122" s="18" t="s">
        <v>52</v>
      </c>
      <c r="B122" s="23">
        <f t="array" ref="B122">_xll.GetPrice("FP-PNL-0127","Actual","Low",_SPECIFICvarPubDate)</f>
        <v>365</v>
      </c>
      <c r="C122" s="23">
        <f t="array" ref="C122">_xll.GetPrice("FP-PNL-0128","Actual","Low",_SPECIFICvarPubDate)</f>
        <v>365</v>
      </c>
      <c r="D122" s="23">
        <f t="array" ref="D122">_xll.GetPrice("FP-PNL-0129","Actual","Low",_SPECIFICvarPubDate)</f>
        <v>385</v>
      </c>
      <c r="E122" s="23">
        <f t="array" ref="E122">_xll.GetPrice("FP-PNL-0130","Actual","Low",_SPECIFICvarPubDate)</f>
        <v>515</v>
      </c>
      <c r="F122" s="23">
        <f t="array" ref="F122">_xll.GetPrice("FP-PNL-0131","Actual","Low",_SPECIFICvarPubDate)</f>
        <v>565</v>
      </c>
      <c r="G122" s="1"/>
      <c r="H122" s="1"/>
      <c r="K122" s="8" t="s">
        <v>53</v>
      </c>
      <c r="L122" s="23">
        <f t="array" ref="L122">_xll.GetPrice("FP-PNL-0246","Actual","Low",_SPECIFICvarPubDate)</f>
        <v>1730</v>
      </c>
      <c r="M122" s="23">
        <f t="array" ref="M122">_xll.GetPrice("FP-PNL-0251","Actual","Low",_SPECIFICvarPubDate)</f>
        <v>1620</v>
      </c>
      <c r="N122" s="23">
        <f t="array" ref="N122">_xll.GetPrice("FP-PNL-0256","Actual","Low",_SPECIFICvarPubDate)</f>
        <v>1910</v>
      </c>
      <c r="O122" s="23">
        <f t="array" ref="O122">_xll.GetPrice("FP-PNL-0261","Actual","Low",_SPECIFICvarPubDate)</f>
        <v>1935</v>
      </c>
    </row>
    <row r="123" spans="1:26" x14ac:dyDescent="0.2">
      <c r="A123" s="18" t="s">
        <v>54</v>
      </c>
      <c r="B123" s="23">
        <f t="array" ref="B123">_xll.GetPrice("FP-PNL-0142","Actual","Low",_SPECIFICvarPubDate)</f>
        <v>400</v>
      </c>
      <c r="C123" s="23">
        <f t="array" ref="C123">_xll.GetPrice("FP-PNL-0143","Actual","Low",_SPECIFICvarPubDate)</f>
        <v>400</v>
      </c>
      <c r="D123" s="23">
        <f t="array" ref="D123">_xll.GetPrice("FP-PNL-0144","Actual","Low",_SPECIFICvarPubDate)</f>
        <v>420</v>
      </c>
      <c r="E123" s="23">
        <f t="array" ref="E123">_xll.GetPrice("FP-PNL-0145","Actual","Low",_SPECIFICvarPubDate)</f>
        <v>515</v>
      </c>
      <c r="F123" s="23">
        <f t="array" ref="F123">_xll.GetPrice("FP-PNL-0146","Actual","Low",_SPECIFICvarPubDate)</f>
        <v>585</v>
      </c>
      <c r="G123" s="1"/>
      <c r="H123" s="1"/>
      <c r="K123" s="8" t="s">
        <v>55</v>
      </c>
      <c r="L123" s="23">
        <f t="array" ref="L123">_xll.GetPrice("FP-PNL-0247","Actual","Low",_SPECIFICvarPubDate)</f>
        <v>1890</v>
      </c>
      <c r="M123" s="23">
        <f t="array" ref="M123">_xll.GetPrice("FP-PNL-0252","Actual","Low",_SPECIFICvarPubDate)</f>
        <v>1810</v>
      </c>
      <c r="N123" s="23">
        <f t="array" ref="N123">_xll.GetPrice("FP-PNL-0257","Actual","Low",_SPECIFICvarPubDate)</f>
        <v>2145</v>
      </c>
      <c r="O123" s="23">
        <f t="array" ref="O123">_xll.GetPrice("FP-PNL-0262","Actual","Low",_SPECIFICvarPubDate)</f>
        <v>2165</v>
      </c>
    </row>
    <row r="124" spans="1:26" x14ac:dyDescent="0.2">
      <c r="A124" s="18" t="s">
        <v>56</v>
      </c>
      <c r="B124" s="23">
        <f t="array" ref="B124">_xll.GetPrice("FP-PNL-0147","Actual","Low",_SPECIFICvarPubDate)</f>
        <v>400</v>
      </c>
      <c r="C124" s="23">
        <f t="array" ref="C124">_xll.GetPrice("FP-PNL-0148","Actual","Low",_SPECIFICvarPubDate)</f>
        <v>400</v>
      </c>
      <c r="D124" s="23">
        <f t="array" ref="D124">_xll.GetPrice("FP-PNL-0149","Actual","Low",_SPECIFICvarPubDate)</f>
        <v>420</v>
      </c>
      <c r="E124" s="23">
        <f t="array" ref="E124">_xll.GetPrice("FP-PNL-0150","Actual","Low",_SPECIFICvarPubDate)</f>
        <v>515</v>
      </c>
      <c r="F124" s="23">
        <f t="array" ref="F124">_xll.GetPrice("FP-PNL-0151","Actual","Low",_SPECIFICvarPubDate)</f>
        <v>585</v>
      </c>
      <c r="G124" s="1"/>
      <c r="H124" s="1"/>
      <c r="I124" s="1"/>
      <c r="J124" s="1"/>
      <c r="K124" s="35"/>
      <c r="V124" s="1"/>
    </row>
    <row r="125" spans="1:26" x14ac:dyDescent="0.2">
      <c r="A125" s="18" t="s">
        <v>57</v>
      </c>
      <c r="B125" s="23">
        <f t="array" ref="B125">_xll.GetPrice("FP-PNL-0132","Actual","Low",_SPECIFICvarPubDate)</f>
        <v>365</v>
      </c>
      <c r="C125" s="23">
        <f t="array" ref="C125">_xll.GetPrice("FP-PNL-0133","Actual","Low",_SPECIFICvarPubDate)</f>
        <v>365</v>
      </c>
      <c r="D125" s="23">
        <f t="array" ref="D125">_xll.GetPrice("FP-PNL-0134","Actual","Low",_SPECIFICvarPubDate)</f>
        <v>385</v>
      </c>
      <c r="E125" s="23">
        <f t="array" ref="E125">_xll.GetPrice("FP-PNL-0135","Actual","Low",_SPECIFICvarPubDate)</f>
        <v>515</v>
      </c>
      <c r="F125" s="23">
        <f t="array" ref="F125">_xll.GetPrice("FP-PNL-0136","Actual","Low",_SPECIFICvarPubDate)</f>
        <v>565</v>
      </c>
      <c r="G125" s="1"/>
      <c r="H125" s="1"/>
      <c r="I125" s="1"/>
      <c r="J125" s="1"/>
      <c r="K125" s="12" t="s">
        <v>58</v>
      </c>
      <c r="N125" s="12" t="s">
        <v>59</v>
      </c>
      <c r="O125" s="1"/>
      <c r="P125" s="1"/>
      <c r="Q125" s="1"/>
    </row>
    <row r="126" spans="1:26" x14ac:dyDescent="0.2">
      <c r="A126" s="35" t="s">
        <v>60</v>
      </c>
      <c r="C126" s="23">
        <f t="array" ref="C126">_xll.GetPrice("FP-PNL-0152","Actual","Low",_SPECIFICvarPubDate)</f>
        <v>10</v>
      </c>
      <c r="D126" s="23">
        <f t="array" ref="D126">_xll.GetPrice("FP-PNL-0152","Actual","High",_SPECIFICvarPubDate)</f>
        <v>20</v>
      </c>
      <c r="G126" s="1"/>
      <c r="H126" s="1"/>
      <c r="I126" s="1"/>
      <c r="J126" s="9"/>
      <c r="K126" s="4" t="s">
        <v>61</v>
      </c>
      <c r="L126" s="8"/>
      <c r="N126" s="9"/>
      <c r="O126" s="8" t="s">
        <v>62</v>
      </c>
      <c r="P126" s="8" t="s">
        <v>63</v>
      </c>
      <c r="Q126" s="8" t="s">
        <v>64</v>
      </c>
    </row>
    <row r="127" spans="1:26" x14ac:dyDescent="0.2">
      <c r="G127" s="1"/>
      <c r="H127" s="1"/>
      <c r="I127" s="1"/>
      <c r="J127" s="1"/>
      <c r="K127" s="8" t="s">
        <v>53</v>
      </c>
      <c r="L127" s="23">
        <f t="array" ref="L127">_xll.GetPrice("FP-PNL-0263","Actual","Low",_SPECIFICvarPubDate)</f>
        <v>860</v>
      </c>
      <c r="N127" s="8" t="s">
        <v>65</v>
      </c>
      <c r="O127" s="23">
        <f t="array" ref="O127">_xll.GetPrice("FP-PNL-0268","Actual","Low",_SPECIFICvarPubDate)</f>
        <v>1310</v>
      </c>
      <c r="P127" s="23">
        <f t="array" ref="P127">_xll.GetPrice("FP-PNL-0274","Actual","Low",_SPECIFICvarPubDate)</f>
        <v>1805</v>
      </c>
      <c r="Q127" s="23">
        <f t="array" ref="Q127">_xll.GetPrice("FP-PNL-0280","Actual","Low",_SPECIFICvarPubDate)</f>
        <v>1815</v>
      </c>
    </row>
    <row r="128" spans="1:26" x14ac:dyDescent="0.2">
      <c r="I128" s="1"/>
      <c r="J128" s="1"/>
      <c r="K128" s="8" t="s">
        <v>55</v>
      </c>
      <c r="L128" s="23">
        <f t="array" ref="L128">_xll.GetPrice("FP-PNL-0264","Actual","Low",_SPECIFICvarPubDate)</f>
        <v>900</v>
      </c>
      <c r="N128" s="8" t="s">
        <v>53</v>
      </c>
      <c r="O128" s="23">
        <f t="array" ref="O128">_xll.GetPrice("FP-PNL-0269","Actual","Low",_SPECIFICvarPubDate)</f>
        <v>1885</v>
      </c>
      <c r="P128" s="23">
        <f t="array" ref="P128">_xll.GetPrice("FP-PNL-0275","Actual","Low",_SPECIFICvarPubDate)</f>
        <v>2385</v>
      </c>
      <c r="Q128" s="23">
        <f t="array" ref="Q128">_xll.GetPrice("FP-PNL-0281","Actual","Low",_SPECIFICvarPubDate)</f>
        <v>2415</v>
      </c>
    </row>
    <row r="129" spans="1:26" x14ac:dyDescent="0.2">
      <c r="A129" s="3" t="s">
        <v>66</v>
      </c>
      <c r="B129" s="1"/>
      <c r="C129" s="1"/>
      <c r="D129" s="1"/>
      <c r="E129" s="1"/>
      <c r="F129" s="1"/>
      <c r="G129" s="1"/>
      <c r="H129" s="1"/>
      <c r="I129" s="1"/>
      <c r="J129" s="1"/>
      <c r="K129" s="8" t="s">
        <v>67</v>
      </c>
      <c r="L129" s="23">
        <f t="array" ref="L129">_xll.GetPrice("FP-PNL-0265","Actual","Low",_SPECIFICvarPubDate)</f>
        <v>1380</v>
      </c>
      <c r="N129" s="8" t="s">
        <v>68</v>
      </c>
      <c r="O129" s="23">
        <f t="array" ref="O129">_xll.GetPrice("FP-PNL-0270","Actual","Low",_SPECIFICvarPubDate)</f>
        <v>1935</v>
      </c>
      <c r="P129" s="23">
        <f t="array" ref="P129">_xll.GetPrice("FP-PNL-0276","Actual","Low",_SPECIFICvarPubDate)</f>
        <v>2425</v>
      </c>
      <c r="Q129" s="23">
        <f t="array" ref="Q129">_xll.GetPrice("FP-PNL-0282","Actual","Low",_SPECIFICvarPubDate)</f>
        <v>2455</v>
      </c>
    </row>
    <row r="130" spans="1:26" x14ac:dyDescent="0.2">
      <c r="A130" s="4" t="s">
        <v>11</v>
      </c>
      <c r="B130" s="1"/>
      <c r="C130" s="1"/>
      <c r="D130" s="1"/>
      <c r="E130" s="1"/>
      <c r="F130" s="1"/>
      <c r="G130" s="1"/>
      <c r="H130" s="1"/>
      <c r="I130" s="1"/>
      <c r="J130" s="1"/>
      <c r="K130" s="12" t="s">
        <v>69</v>
      </c>
      <c r="L130" s="1"/>
      <c r="N130" s="8" t="s">
        <v>70</v>
      </c>
      <c r="O130" s="23">
        <f t="array" ref="O130">_xll.GetPrice("FP-PNL-0271","Actual","Low",_SPECIFICvarPubDate)</f>
        <v>1230</v>
      </c>
      <c r="P130" s="23">
        <f t="array" ref="P130">_xll.GetPrice("FP-PNL-0277","Actual","Low",_SPECIFICvarPubDate)</f>
        <v>1590</v>
      </c>
      <c r="Q130" s="23">
        <f t="array" ref="Q130">_xll.GetPrice("FP-PNL-0283","Actual","Low",_SPECIFICvarPubDate)</f>
        <v>1625</v>
      </c>
      <c r="U130" s="1"/>
      <c r="V130" s="1"/>
      <c r="W130" s="1"/>
      <c r="X130" s="1"/>
      <c r="Y130" s="1"/>
      <c r="Z130" s="1"/>
    </row>
    <row r="131" spans="1:26" x14ac:dyDescent="0.2">
      <c r="A131" s="1"/>
      <c r="B131" s="4" t="s">
        <v>71</v>
      </c>
      <c r="C131" s="8"/>
      <c r="D131" s="8"/>
      <c r="E131" s="4" t="s">
        <v>72</v>
      </c>
      <c r="F131" s="1"/>
      <c r="G131" s="1"/>
      <c r="H131" s="1"/>
      <c r="I131" s="1"/>
      <c r="J131" s="1"/>
      <c r="K131" s="8" t="s">
        <v>73</v>
      </c>
      <c r="L131" s="23">
        <f t="array" ref="L131">_xll.GetPrice("FP-PNL-0266","Actual","Low",_SPECIFICvarPubDate)</f>
        <v>1740</v>
      </c>
      <c r="N131" s="8" t="s">
        <v>53</v>
      </c>
      <c r="O131" s="23">
        <f t="array" ref="O131">_xll.GetPrice("FP-PNL-0272","Actual","Low",_SPECIFICvarPubDate)</f>
        <v>1830</v>
      </c>
      <c r="P131" s="23">
        <f t="array" ref="P131">_xll.GetPrice("FP-PNL-0278","Actual","Low",_SPECIFICvarPubDate)</f>
        <v>2220</v>
      </c>
      <c r="Q131" s="23">
        <f t="array" ref="Q131">_xll.GetPrice("FP-PNL-0284","Actual","Low",_SPECIFICvarPubDate)</f>
        <v>2235</v>
      </c>
      <c r="U131" s="1"/>
      <c r="V131" s="1"/>
      <c r="W131" s="1"/>
      <c r="X131" s="1"/>
      <c r="Y131" s="1"/>
      <c r="Z131" s="1"/>
    </row>
    <row r="132" spans="1:26" x14ac:dyDescent="0.2">
      <c r="A132" s="8" t="s">
        <v>74</v>
      </c>
      <c r="B132" s="8" t="s">
        <v>22</v>
      </c>
      <c r="C132" s="8" t="s">
        <v>20</v>
      </c>
      <c r="D132" s="8" t="s">
        <v>23</v>
      </c>
      <c r="E132" s="8" t="s">
        <v>22</v>
      </c>
      <c r="F132" s="8" t="s">
        <v>20</v>
      </c>
      <c r="G132" s="8" t="s">
        <v>23</v>
      </c>
      <c r="H132" s="1"/>
      <c r="I132" s="1"/>
      <c r="J132" s="5" t="s">
        <v>75</v>
      </c>
      <c r="K132" s="8" t="s">
        <v>76</v>
      </c>
      <c r="L132" s="23">
        <f t="array" ref="L132">_xll.GetPrice("FP-PNL-0267","Actual","Low",_SPECIFICvarPubDate)</f>
        <v>1800</v>
      </c>
      <c r="N132" s="8" t="s">
        <v>68</v>
      </c>
      <c r="O132" s="23">
        <f t="array" ref="O132">_xll.GetPrice("FP-PNL-0273","Actual","Low",_SPECIFICvarPubDate)</f>
        <v>1885</v>
      </c>
      <c r="P132" s="23">
        <f t="array" ref="P132">_xll.GetPrice("FP-PNL-0279","Actual","Low",_SPECIFICvarPubDate)</f>
        <v>2240</v>
      </c>
      <c r="Q132" s="23">
        <f t="array" ref="Q132">_xll.GetPrice("FP-PNL-0285","Actual","Low",_SPECIFICvarPubDate)</f>
        <v>2270</v>
      </c>
      <c r="U132" s="1"/>
      <c r="V132" s="1"/>
      <c r="W132" s="1"/>
      <c r="X132" s="1"/>
      <c r="Y132" s="1"/>
      <c r="Z132" s="1"/>
    </row>
    <row r="133" spans="1:26" x14ac:dyDescent="0.2">
      <c r="A133" s="8" t="s">
        <v>29</v>
      </c>
      <c r="B133" s="23">
        <f t="array" ref="B133">_xll.GetPrice("FP-PNL-0153","Actual","Low",_SPECIFICvarPubDate)</f>
        <v>425</v>
      </c>
      <c r="C133" s="23">
        <f t="array" ref="C133">_xll.GetPrice("FP-PNL-0158","Actual","Low",_SPECIFICvarPubDate)</f>
        <v>448</v>
      </c>
      <c r="D133" s="23">
        <f t="array" ref="D133">_xll.GetPrice("FP-PNL-0163","Actual","Low",_SPECIFICvarPubDate)</f>
        <v>464</v>
      </c>
      <c r="E133" s="23">
        <f t="array" ref="E133">_xll.GetPrice("FP-PNL-0168","Actual","Low",_SPECIFICvarPubDate)</f>
        <v>321</v>
      </c>
      <c r="F133" s="23">
        <f t="array" ref="F133">_xll.GetPrice("FP-PNL-0173","Actual","Low",_SPECIFICvarPubDate)</f>
        <v>335</v>
      </c>
      <c r="G133" s="23">
        <f t="array" ref="G133">_xll.GetPrice("FP-PNL-0178","Actual","Low",_SPECIFICvarPubDate)</f>
        <v>315</v>
      </c>
      <c r="H133" s="1"/>
      <c r="I133" s="1"/>
      <c r="J133" s="1"/>
      <c r="U133" s="1"/>
      <c r="V133" s="1"/>
      <c r="W133" s="1"/>
      <c r="X133" s="1"/>
      <c r="Y133" s="1"/>
      <c r="Z133" s="1"/>
    </row>
    <row r="134" spans="1:26" x14ac:dyDescent="0.2">
      <c r="A134" s="8" t="s">
        <v>77</v>
      </c>
      <c r="B134" s="23">
        <f t="array" ref="B134">_xll.GetPrice("FP-PNL-0154","Actual","Low",_SPECIFICvarPubDate)</f>
        <v>528</v>
      </c>
      <c r="C134" s="23">
        <f t="array" ref="C134">_xll.GetPrice("FP-PNL-0159","Actual","Low",_SPECIFICvarPubDate)</f>
        <v>546</v>
      </c>
      <c r="D134" s="23">
        <f t="array" ref="D134">_xll.GetPrice("FP-PNL-0164","Actual","Low",_SPECIFICvarPubDate)</f>
        <v>553</v>
      </c>
      <c r="E134" s="23">
        <f t="array" ref="E134">_xll.GetPrice("FP-PNL-0169","Actual","Low",_SPECIFICvarPubDate)</f>
        <v>370</v>
      </c>
      <c r="F134" s="23">
        <f t="array" ref="F134">_xll.GetPrice("FP-PNL-0174","Actual","Low",_SPECIFICvarPubDate)</f>
        <v>385</v>
      </c>
      <c r="G134" s="23">
        <f t="array" ref="G134">_xll.GetPrice("FP-PNL-0179","Actual","Low",_SPECIFICvarPubDate)</f>
        <v>380</v>
      </c>
      <c r="I134" s="1"/>
      <c r="J134" s="1"/>
      <c r="T134" s="1"/>
      <c r="U134" s="1"/>
      <c r="V134" s="1"/>
      <c r="W134" s="1"/>
      <c r="X134" s="1"/>
      <c r="Y134" s="1"/>
      <c r="Z134" s="1"/>
    </row>
    <row r="135" spans="1:26" x14ac:dyDescent="0.2">
      <c r="A135" s="8" t="s">
        <v>78</v>
      </c>
      <c r="B135" s="23">
        <f t="array" ref="B135">_xll.GetPrice("FP-PNL-0155","Actual","Low",_SPECIFICvarPubDate)</f>
        <v>530</v>
      </c>
      <c r="C135" s="23">
        <f t="array" ref="C135">_xll.GetPrice("FP-PNL-0160","Actual","Low",_SPECIFICvarPubDate)</f>
        <v>566</v>
      </c>
      <c r="D135" s="23">
        <f t="array" ref="D135">_xll.GetPrice("FP-PNL-0165","Actual","Low",_SPECIFICvarPubDate)</f>
        <v>588</v>
      </c>
      <c r="E135" s="23">
        <f t="array" ref="E135">_xll.GetPrice("FP-PNL-0170","Actual","Low",_SPECIFICvarPubDate)</f>
        <v>370</v>
      </c>
      <c r="F135" s="23">
        <f t="array" ref="F135">_xll.GetPrice("FP-PNL-0175","Actual","Low",_SPECIFICvarPubDate)</f>
        <v>395</v>
      </c>
      <c r="G135" s="23">
        <f t="array" ref="G135">_xll.GetPrice("FP-PNL-0180","Actual","Low",_SPECIFICvarPubDate)</f>
        <v>380</v>
      </c>
      <c r="J135" s="1"/>
      <c r="K135" s="47" t="s">
        <v>79</v>
      </c>
      <c r="L135" s="1"/>
      <c r="M135" s="1"/>
      <c r="N135" s="1"/>
      <c r="O135" s="1"/>
      <c r="P135" s="1"/>
      <c r="Q135" s="1"/>
      <c r="R135" s="1"/>
      <c r="T135" s="1"/>
      <c r="U135" s="1"/>
      <c r="V135" s="1"/>
      <c r="W135" s="1"/>
      <c r="X135" s="1"/>
      <c r="Y135" s="1"/>
      <c r="Z135" s="1"/>
    </row>
    <row r="136" spans="1:26" x14ac:dyDescent="0.2">
      <c r="A136" s="8" t="s">
        <v>80</v>
      </c>
      <c r="B136" s="23">
        <f t="array" ref="B136">_xll.GetPrice("FP-PNL-0156","Actual","Low",_SPECIFICvarPubDate)</f>
        <v>548</v>
      </c>
      <c r="C136" s="23">
        <f t="array" ref="C136">_xll.GetPrice("FP-PNL-0161","Actual","Low",_SPECIFICvarPubDate)</f>
        <v>585</v>
      </c>
      <c r="D136" s="23">
        <f t="array" ref="D136">_xll.GetPrice("FP-PNL-0166","Actual","Low",_SPECIFICvarPubDate)</f>
        <v>585</v>
      </c>
      <c r="E136" s="23">
        <f t="array" ref="E136">_xll.GetPrice("FP-PNL-0171","Actual","Low",_SPECIFICvarPubDate)</f>
        <v>350</v>
      </c>
      <c r="F136" s="23">
        <f t="array" ref="F136">_xll.GetPrice("FP-PNL-0176","Actual","Low",_SPECIFICvarPubDate)</f>
        <v>340</v>
      </c>
      <c r="G136" s="23">
        <f t="array" ref="G136">_xll.GetPrice("FP-PNL-0181","Actual","Low",_SPECIFICvarPubDate)</f>
        <v>360</v>
      </c>
      <c r="J136" s="1"/>
      <c r="K136" s="14" t="s">
        <v>81</v>
      </c>
      <c r="L136" s="8" t="s">
        <v>82</v>
      </c>
      <c r="M136" s="8" t="s">
        <v>83</v>
      </c>
      <c r="N136" s="8" t="s">
        <v>84</v>
      </c>
      <c r="O136" s="8" t="s">
        <v>85</v>
      </c>
      <c r="P136" s="8" t="s">
        <v>86</v>
      </c>
      <c r="Q136" s="9"/>
      <c r="R136" s="1"/>
      <c r="X136" s="1"/>
      <c r="Y136" s="1"/>
      <c r="Z136" s="1"/>
    </row>
    <row r="137" spans="1:26" x14ac:dyDescent="0.2">
      <c r="A137" s="8" t="s">
        <v>55</v>
      </c>
      <c r="B137" s="23">
        <f t="array" ref="B137">_xll.GetPrice("FP-PNL-0157","Actual","Low",_SPECIFICvarPubDate)</f>
        <v>713</v>
      </c>
      <c r="C137" s="23">
        <f t="array" ref="C137">_xll.GetPrice("FP-PNL-0162","Actual","Low",_SPECIFICvarPubDate)</f>
        <v>724</v>
      </c>
      <c r="D137" s="23">
        <f t="array" ref="D137">_xll.GetPrice("FP-PNL-0167","Actual","Low",_SPECIFICvarPubDate)</f>
        <v>746</v>
      </c>
      <c r="E137" s="23">
        <f t="array" ref="E137">_xll.GetPrice("FP-PNL-0172","Actual","Low",_SPECIFICvarPubDate)</f>
        <v>495</v>
      </c>
      <c r="F137" s="23">
        <f t="array" ref="F137">_xll.GetPrice("FP-PNL-0177","Actual","Low",_SPECIFICvarPubDate)</f>
        <v>500</v>
      </c>
      <c r="G137" s="23">
        <f t="array" ref="G137">_xll.GetPrice("FP-PNL-0182","Actual","Low",_SPECIFICvarPubDate)</f>
        <v>500</v>
      </c>
      <c r="J137" s="1"/>
      <c r="K137" s="28" t="s">
        <v>87</v>
      </c>
      <c r="L137" s="34">
        <f t="array" ref="L137">_xll.GetPrice("FP-PNL-0288","Actual","Low",_SPECIFICvarPubDate)</f>
        <v>86.25</v>
      </c>
      <c r="M137" s="34">
        <f t="array" ref="M137">_xll.GetPrice("FP-PNL-0291","Actual","Low",_SPECIFICvarPubDate)</f>
        <v>45</v>
      </c>
      <c r="N137" s="34">
        <f t="array" ref="N137">_xll.GetPrice("FP-PNL-0294","Actual","Low",_SPECIFICvarPubDate)</f>
        <v>12.5</v>
      </c>
      <c r="O137" s="34">
        <f t="array" ref="O137">_xll.GetPrice("FP-PNL-0297","Actual","Low",_SPECIFICvarPubDate)</f>
        <v>14.25</v>
      </c>
      <c r="P137" s="34">
        <f t="array" ref="P137">_xll.GetPrice("FP-PNL-0505","Actual","Low",_SPECIFICvarPubDate)</f>
        <v>71.25</v>
      </c>
      <c r="Q137" s="1"/>
      <c r="R137" s="1"/>
      <c r="X137" s="1"/>
      <c r="Y137" s="1"/>
      <c r="Z137" s="1"/>
    </row>
    <row r="138" spans="1:26" x14ac:dyDescent="0.2">
      <c r="J138" s="1"/>
      <c r="K138" s="28" t="s">
        <v>89</v>
      </c>
      <c r="L138" s="34">
        <f t="array" ref="L138">_xll.GetPrice("FP-PNL-0289","Actual","Low",_SPECIFICvarPubDate)</f>
        <v>89</v>
      </c>
      <c r="M138" s="34">
        <f t="array" ref="M138">_xll.GetPrice("FP-PNL-0292","Actual","Low",_SPECIFICvarPubDate)</f>
        <v>64</v>
      </c>
      <c r="N138" s="34">
        <f t="array" ref="N138">_xll.GetPrice("FP-PNL-0295","Actual","Low",_SPECIFICvarPubDate)</f>
        <v>27.5</v>
      </c>
      <c r="O138" s="34">
        <f t="array" ref="O138">_xll.GetPrice("FP-PNL-0298","Actual","Low",_SPECIFICvarPubDate)</f>
        <v>26</v>
      </c>
      <c r="P138" s="19" t="s">
        <v>32</v>
      </c>
      <c r="X138" s="1"/>
      <c r="Y138" s="1"/>
      <c r="Z138" s="1"/>
    </row>
    <row r="139" spans="1:26" x14ac:dyDescent="0.2">
      <c r="A139" s="12" t="s">
        <v>42</v>
      </c>
      <c r="B139" s="1"/>
      <c r="C139" s="1"/>
      <c r="D139" s="1"/>
      <c r="E139" s="1"/>
      <c r="F139" s="12" t="s">
        <v>88</v>
      </c>
      <c r="G139" s="1"/>
      <c r="H139" s="1"/>
      <c r="I139" s="1"/>
      <c r="J139" s="1"/>
      <c r="Q139" s="1"/>
      <c r="R139" s="1"/>
      <c r="X139" s="1"/>
      <c r="Y139" s="1"/>
      <c r="Z139" s="1"/>
    </row>
    <row r="140" spans="1:26" x14ac:dyDescent="0.2">
      <c r="A140" s="1"/>
      <c r="B140" s="14" t="s">
        <v>43</v>
      </c>
      <c r="C140" s="1"/>
      <c r="D140" s="14" t="s">
        <v>44</v>
      </c>
      <c r="E140" s="1"/>
      <c r="F140" s="33" t="s">
        <v>90</v>
      </c>
      <c r="G140" s="1"/>
      <c r="H140" s="1"/>
      <c r="I140" s="1"/>
      <c r="J140" s="1"/>
      <c r="X140" s="1"/>
      <c r="Y140" s="1"/>
      <c r="Z140" s="1"/>
    </row>
    <row r="141" spans="1:26" x14ac:dyDescent="0.2">
      <c r="A141" s="8" t="s">
        <v>74</v>
      </c>
      <c r="B141" s="8" t="s">
        <v>22</v>
      </c>
      <c r="C141" s="8" t="s">
        <v>23</v>
      </c>
      <c r="D141" s="8" t="s">
        <v>22</v>
      </c>
      <c r="E141" s="8" t="s">
        <v>23</v>
      </c>
      <c r="F141" s="9"/>
      <c r="G141" s="8" t="s">
        <v>22</v>
      </c>
      <c r="H141" s="8" t="s">
        <v>20</v>
      </c>
      <c r="I141" s="8" t="s">
        <v>23</v>
      </c>
      <c r="J141" s="1"/>
      <c r="U141" s="1"/>
      <c r="V141" s="1"/>
      <c r="W141" s="1"/>
      <c r="X141" s="1"/>
      <c r="Y141" s="1"/>
      <c r="Z141" s="1"/>
    </row>
    <row r="142" spans="1:26" x14ac:dyDescent="0.2">
      <c r="A142" s="8" t="s">
        <v>48</v>
      </c>
      <c r="B142" s="23">
        <f t="array" ref="B142">_xll.GetPrice("FP-PNL-0183","Actual","Low",_SPECIFICvarPubDate)</f>
        <v>528</v>
      </c>
      <c r="C142" s="23">
        <f t="array" ref="C142">_xll.GetPrice("FP-PNL-0188","Actual","Low",_SPECIFICvarPubDate)</f>
        <v>560</v>
      </c>
      <c r="D142" s="23">
        <f t="array" ref="D142">_xll.GetPrice("FP-PNL-0193","Actual","Low",_SPECIFICvarPubDate)</f>
        <v>510</v>
      </c>
      <c r="E142" s="23">
        <f t="array" ref="E142">_xll.GetPrice("FP-PNL-0198","Actual","Low",_SPECIFICvarPubDate)</f>
        <v>530</v>
      </c>
      <c r="F142" s="27" t="s">
        <v>53</v>
      </c>
      <c r="G142" s="23">
        <f t="array" ref="G142">_xll.GetPrice("FP-PNL-0203","Actual","Low",_SPECIFICvarPubDate)</f>
        <v>888</v>
      </c>
      <c r="H142" s="23">
        <f t="array" ref="H142">_xll.GetPrice("FP-PNL-0205","Actual","Low",_SPECIFICvarPubDate)</f>
        <v>919</v>
      </c>
      <c r="I142" s="23">
        <f t="array" ref="I142">_xll.GetPrice("FP-PNL-0207","Actual","Low",_SPECIFICvarPubDate)</f>
        <v>821</v>
      </c>
      <c r="J142" s="1"/>
      <c r="O142" s="1"/>
      <c r="Q142" s="12"/>
      <c r="R142" s="1"/>
      <c r="U142" s="1"/>
      <c r="V142" s="1"/>
      <c r="W142" s="1"/>
      <c r="X142" s="1"/>
      <c r="Y142" s="1"/>
      <c r="Z142" s="1"/>
    </row>
    <row r="143" spans="1:26" x14ac:dyDescent="0.2">
      <c r="A143" s="8" t="s">
        <v>50</v>
      </c>
      <c r="B143" s="23">
        <f t="array" ref="B143">_xll.GetPrice("FP-PNL-0184","Actual","Low",_SPECIFICvarPubDate)</f>
        <v>608</v>
      </c>
      <c r="C143" s="23">
        <f t="array" ref="C143">_xll.GetPrice("FP-PNL-0189","Actual","Low",_SPECIFICvarPubDate)</f>
        <v>550</v>
      </c>
      <c r="D143" s="23">
        <f t="array" ref="D143">_xll.GetPrice("FP-PNL-0194","Actual","Low",_SPECIFICvarPubDate)</f>
        <v>560</v>
      </c>
      <c r="E143" s="23">
        <f t="array" ref="E143">_xll.GetPrice("FP-PNL-0199","Actual","Low",_SPECIFICvarPubDate)</f>
        <v>510</v>
      </c>
      <c r="F143" s="8" t="s">
        <v>55</v>
      </c>
      <c r="G143" s="23">
        <f t="array" ref="G143">_xll.GetPrice("FP-PNL-0204","Actual","Low",_SPECIFICvarPubDate)</f>
        <v>912</v>
      </c>
      <c r="H143" s="23">
        <f t="array" ref="H143">_xll.GetPrice("FP-PNL-0206","Actual","Low",_SPECIFICvarPubDate)</f>
        <v>930</v>
      </c>
      <c r="I143" s="23">
        <f t="array" ref="I143">_xll.GetPrice("FP-PNL-0208","Actual","Low",_SPECIFICvarPubDate)</f>
        <v>945</v>
      </c>
      <c r="J143" s="1"/>
      <c r="O143" s="8"/>
      <c r="Q143" s="8"/>
      <c r="R143" s="8"/>
      <c r="U143" s="1"/>
      <c r="V143" s="1"/>
      <c r="W143" s="1"/>
      <c r="X143" s="1"/>
      <c r="Y143" s="1"/>
      <c r="Z143" s="1"/>
    </row>
    <row r="144" spans="1:26" x14ac:dyDescent="0.2">
      <c r="A144" s="8" t="s">
        <v>33</v>
      </c>
      <c r="B144" s="23">
        <f t="array" ref="B144">_xll.GetPrice("FP-PNL-0185","Actual","Low",_SPECIFICvarPubDate)</f>
        <v>848</v>
      </c>
      <c r="C144" s="23">
        <f t="array" ref="C144">_xll.GetPrice("FP-PNL-0190","Actual","Low",_SPECIFICvarPubDate)</f>
        <v>805</v>
      </c>
      <c r="D144" s="23">
        <f t="array" ref="D144">_xll.GetPrice("FP-PNL-0195","Actual","Low",_SPECIFICvarPubDate)</f>
        <v>805</v>
      </c>
      <c r="E144" s="23">
        <f t="array" ref="E144">_xll.GetPrice("FP-PNL-0200","Actual","Low",_SPECIFICvarPubDate)</f>
        <v>760</v>
      </c>
      <c r="F144" s="12" t="s">
        <v>91</v>
      </c>
      <c r="G144" s="1"/>
      <c r="H144" s="1"/>
      <c r="I144" s="1"/>
      <c r="J144" s="1"/>
      <c r="O144" s="39"/>
      <c r="S144" s="1"/>
    </row>
    <row r="145" spans="1:26" x14ac:dyDescent="0.2">
      <c r="A145" s="8" t="s">
        <v>53</v>
      </c>
      <c r="B145" s="23">
        <f t="array" ref="B145">_xll.GetPrice("FP-PNL-0186","Actual","Low",_SPECIFICvarPubDate)</f>
        <v>888</v>
      </c>
      <c r="C145" s="23">
        <f t="array" ref="C145">_xll.GetPrice("FP-PNL-0191","Actual","Low",_SPECIFICvarPubDate)</f>
        <v>810</v>
      </c>
      <c r="D145" s="23">
        <f t="array" ref="D145">_xll.GetPrice("FP-PNL-0196","Actual","Low",_SPECIFICvarPubDate)</f>
        <v>855</v>
      </c>
      <c r="E145" s="23">
        <f t="array" ref="E145">_xll.GetPrice("FP-PNL-0201","Actual","Low",_SPECIFICvarPubDate)</f>
        <v>770</v>
      </c>
      <c r="F145" s="8" t="s">
        <v>53</v>
      </c>
      <c r="G145" s="23">
        <f t="array" ref="G145">_xll.GetPrice("FP-PNL-0209","Actual","Low",_SPECIFICvarPubDate)</f>
        <v>1280</v>
      </c>
      <c r="H145" s="15" t="s">
        <v>32</v>
      </c>
      <c r="I145" s="23">
        <f t="array" ref="I145">_xll.GetPrice("FP-PNL-0211","Actual","Low",_SPECIFICvarPubDate)</f>
        <v>1259</v>
      </c>
      <c r="J145" s="1"/>
      <c r="N145" s="39"/>
      <c r="O145" s="39"/>
      <c r="S145" s="1"/>
    </row>
    <row r="146" spans="1:26" x14ac:dyDescent="0.2">
      <c r="A146" s="8" t="s">
        <v>55</v>
      </c>
      <c r="B146" s="23">
        <f t="array" ref="B146">_xll.GetPrice("FP-PNL-0187","Actual","Low",_SPECIFICvarPubDate)</f>
        <v>1003</v>
      </c>
      <c r="C146" s="23">
        <f t="array" ref="C146">_xll.GetPrice("FP-PNL-0192","Actual","Low",_SPECIFICvarPubDate)</f>
        <v>975</v>
      </c>
      <c r="D146" s="23">
        <f t="array" ref="D146">_xll.GetPrice("FP-PNL-0197","Actual","Low",_SPECIFICvarPubDate)</f>
        <v>960</v>
      </c>
      <c r="E146" s="23">
        <f t="array" ref="E146">_xll.GetPrice("FP-PNL-0202","Actual","Low",_SPECIFICvarPubDate)</f>
        <v>915</v>
      </c>
      <c r="F146" s="8" t="s">
        <v>55</v>
      </c>
      <c r="G146" s="23">
        <f t="array" ref="G146">_xll.GetPrice("FP-PNL-0210","Actual","Low",_SPECIFICvarPubDate)</f>
        <v>1290</v>
      </c>
      <c r="H146" s="6" t="s">
        <v>32</v>
      </c>
      <c r="I146" s="23">
        <f t="array" ref="I146">_xll.GetPrice("FP-PNL-0212","Actual","Low",_SPECIFICvarPubDate)</f>
        <v>1331</v>
      </c>
      <c r="J146" s="1"/>
      <c r="S146" s="1"/>
    </row>
    <row r="147" spans="1:26" x14ac:dyDescent="0.2">
      <c r="J147" s="1"/>
      <c r="S147" s="1"/>
    </row>
    <row r="148" spans="1:26" x14ac:dyDescent="0.2">
      <c r="A148" s="12" t="s">
        <v>92</v>
      </c>
      <c r="B148" s="1"/>
      <c r="C148" s="1"/>
      <c r="D148" s="1"/>
      <c r="I148" s="1"/>
      <c r="J148" s="1"/>
      <c r="K148" s="47" t="s">
        <v>93</v>
      </c>
      <c r="L148" s="1"/>
      <c r="M148" s="1"/>
      <c r="N148" s="1"/>
      <c r="O148" s="1"/>
      <c r="Q148" s="1"/>
      <c r="S148" s="1"/>
    </row>
    <row r="149" spans="1:26" x14ac:dyDescent="0.2">
      <c r="A149" s="8" t="s">
        <v>74</v>
      </c>
      <c r="B149" s="8" t="s">
        <v>22</v>
      </c>
      <c r="C149" s="8" t="s">
        <v>23</v>
      </c>
      <c r="D149" s="1"/>
      <c r="I149" s="1"/>
      <c r="J149" s="1"/>
      <c r="K149" s="4" t="s">
        <v>94</v>
      </c>
      <c r="L149" s="1"/>
      <c r="M149" s="1"/>
      <c r="N149" s="1"/>
      <c r="O149" s="16"/>
      <c r="P149" s="4" t="s">
        <v>95</v>
      </c>
      <c r="Q149" s="41" t="s">
        <v>96</v>
      </c>
      <c r="R149" s="40"/>
      <c r="S149" s="1"/>
    </row>
    <row r="150" spans="1:26" x14ac:dyDescent="0.2">
      <c r="A150" s="8" t="s">
        <v>50</v>
      </c>
      <c r="B150" s="23">
        <f t="array" ref="B150">_xll.GetPrice("FP-PNL-0213","Actual","Low",_SPECIFICvarPubDate)</f>
        <v>925</v>
      </c>
      <c r="C150" s="23">
        <f t="array" ref="C150">_xll.GetPrice("FP-PNL-0216","Actual","Low",_SPECIFICvarPubDate)</f>
        <v>945</v>
      </c>
      <c r="D150" s="1"/>
      <c r="I150" s="1"/>
      <c r="J150" s="1"/>
      <c r="K150" s="1"/>
      <c r="L150" s="4" t="s">
        <v>13</v>
      </c>
      <c r="M150" s="9"/>
      <c r="N150" s="4" t="s">
        <v>97</v>
      </c>
      <c r="O150" s="17"/>
      <c r="P150" s="4" t="s">
        <v>98</v>
      </c>
      <c r="Q150" s="4" t="s">
        <v>22</v>
      </c>
      <c r="R150" s="4" t="s">
        <v>23</v>
      </c>
      <c r="S150" s="1"/>
    </row>
    <row r="151" spans="1:26" x14ac:dyDescent="0.2">
      <c r="A151" s="8" t="s">
        <v>99</v>
      </c>
      <c r="B151" s="23">
        <f t="array" ref="B151">_xll.GetPrice("FP-PNL-0214","Actual","Low",_SPECIFICvarPubDate)</f>
        <v>1245</v>
      </c>
      <c r="C151" s="23">
        <f t="array" ref="C151">_xll.GetPrice("FP-PNL-0217","Actual","Low",_SPECIFICvarPubDate)</f>
        <v>1220</v>
      </c>
      <c r="D151" s="1"/>
      <c r="I151" s="1"/>
      <c r="J151" s="1"/>
      <c r="K151" s="1"/>
      <c r="L151" s="8" t="s">
        <v>100</v>
      </c>
      <c r="M151" s="8" t="s">
        <v>101</v>
      </c>
      <c r="N151" s="8" t="s">
        <v>20</v>
      </c>
      <c r="O151" s="8" t="s">
        <v>23</v>
      </c>
      <c r="P151" s="4" t="s">
        <v>13</v>
      </c>
      <c r="Q151" s="8"/>
      <c r="R151" s="8"/>
      <c r="S151" s="1"/>
    </row>
    <row r="152" spans="1:26" x14ac:dyDescent="0.2">
      <c r="A152" s="8" t="s">
        <v>68</v>
      </c>
      <c r="B152" s="23">
        <f t="array" ref="B152">_xll.GetPrice("FP-PNL-0215","Actual","Low",_SPECIFICvarPubDate)</f>
        <v>1265</v>
      </c>
      <c r="C152" s="23">
        <f t="array" ref="C152">_xll.GetPrice("FP-PNL-0218","Actual","Low",_SPECIFICvarPubDate)</f>
        <v>1245</v>
      </c>
      <c r="D152" s="1"/>
      <c r="J152" s="1"/>
      <c r="K152" s="8" t="s">
        <v>29</v>
      </c>
      <c r="L152" s="23">
        <f t="array" ref="L152">_xll.GetPrice("FP-PNL-0301","Actual","Low",_SPECIFICvarPubDate)</f>
        <v>455</v>
      </c>
      <c r="M152" s="23">
        <f t="array" ref="M152">_xll.GetPrice("FP-PNL-0305","Actual","Low",_SPECIFICvarPubDate)</f>
        <v>460</v>
      </c>
      <c r="N152" s="23">
        <f t="array" ref="N152">_xll.GetPrice("FP-PNL-0309","Actual","Low",_SPECIFICvarPubDate)</f>
        <v>335</v>
      </c>
      <c r="O152" s="23">
        <f t="array" ref="O152">_xll.GetPrice("FP-PNL-0315","Actual","Low",_SPECIFICvarPubDate)</f>
        <v>385</v>
      </c>
      <c r="P152" s="23">
        <f t="array" ref="P152">_xll.GetPrice("FP-PNL-0321","Actual","Low",_SPECIFICvarPubDate)</f>
        <v>470</v>
      </c>
      <c r="Q152" s="13" t="s">
        <v>32</v>
      </c>
      <c r="R152" s="13" t="s">
        <v>32</v>
      </c>
      <c r="S152" s="1"/>
    </row>
    <row r="153" spans="1:26" x14ac:dyDescent="0.2">
      <c r="J153" s="1"/>
      <c r="K153" s="8" t="s">
        <v>35</v>
      </c>
      <c r="L153" s="23">
        <f t="array" ref="L153">_xll.GetPrice("FP-PNL-0302","Actual","Low",_SPECIFICvarPubDate)</f>
        <v>485</v>
      </c>
      <c r="M153" s="23">
        <f t="array" ref="M153">_xll.GetPrice("FP-PNL-0306","Actual","Low",_SPECIFICvarPubDate)</f>
        <v>485</v>
      </c>
      <c r="N153" s="23">
        <f t="array" ref="N153">_xll.GetPrice("FP-PNL-0310","Actual","Low",_SPECIFICvarPubDate)</f>
        <v>360</v>
      </c>
      <c r="O153" s="23">
        <f t="array" ref="O153">_xll.GetPrice("FP-PNL-0316","Actual","Low",_SPECIFICvarPubDate)</f>
        <v>410</v>
      </c>
      <c r="P153" s="23">
        <f t="array" ref="P153">_xll.GetPrice("FP-PNL-0322","Actual","Low",_SPECIFICvarPubDate)</f>
        <v>490</v>
      </c>
      <c r="Q153" s="13" t="s">
        <v>32</v>
      </c>
      <c r="R153" s="13" t="s">
        <v>32</v>
      </c>
    </row>
    <row r="154" spans="1:26" x14ac:dyDescent="0.2">
      <c r="J154" s="1"/>
      <c r="K154" s="8" t="s">
        <v>73</v>
      </c>
      <c r="L154" s="23">
        <f t="array" ref="L154">_xll.GetPrice("FP-PNL-0303","Actual","Low",_SPECIFICvarPubDate)</f>
        <v>530</v>
      </c>
      <c r="M154" s="23">
        <f t="array" ref="M154">_xll.GetPrice("FP-PNL-0307","Actual","Low",_SPECIFICvarPubDate)</f>
        <v>535</v>
      </c>
      <c r="N154" s="23">
        <f t="array" ref="N154">_xll.GetPrice("FP-PNL-0311","Actual","Low",_SPECIFICvarPubDate)</f>
        <v>425</v>
      </c>
      <c r="O154" s="23">
        <f t="array" ref="O154">_xll.GetPrice("FP-PNL-0317","Actual","Low",_SPECIFICvarPubDate)</f>
        <v>475</v>
      </c>
      <c r="P154" s="23">
        <f t="array" ref="P154">_xll.GetPrice("FP-PNL-0323","Actual","Low",_SPECIFICvarPubDate)</f>
        <v>540</v>
      </c>
      <c r="Q154" s="23">
        <f t="array" ref="Q154">_xll.GetPrice("FP-PNL-0325","Actual","Low",_SPECIFICvarPubDate)</f>
        <v>865</v>
      </c>
      <c r="R154" s="23">
        <f t="array" ref="R154">_xll.GetPrice("FP-PNL-0327","Actual","Low",_SPECIFICvarPubDate)</f>
        <v>810</v>
      </c>
      <c r="T154" s="1"/>
      <c r="U154" s="1"/>
      <c r="V154" s="1"/>
      <c r="W154" s="1"/>
      <c r="X154" s="1"/>
      <c r="Y154" s="1"/>
      <c r="Z154" s="1"/>
    </row>
    <row r="155" spans="1:26" x14ac:dyDescent="0.2">
      <c r="J155" s="1"/>
      <c r="K155" s="8" t="s">
        <v>102</v>
      </c>
      <c r="L155" s="6" t="s">
        <v>32</v>
      </c>
      <c r="M155" s="6" t="s">
        <v>32</v>
      </c>
      <c r="N155" s="23">
        <f t="array" ref="N155">_xll.GetPrice("FP-PNL-0312","Actual","Low",_SPECIFICvarPubDate)</f>
        <v>450</v>
      </c>
      <c r="O155" s="23">
        <f t="array" ref="O155">_xll.GetPrice("FP-PNL-0318","Actual","Low",_SPECIFICvarPubDate)</f>
        <v>500</v>
      </c>
      <c r="P155" s="13" t="s">
        <v>32</v>
      </c>
      <c r="Q155" s="13" t="s">
        <v>32</v>
      </c>
      <c r="R155" s="13" t="s">
        <v>32</v>
      </c>
      <c r="S155" s="1"/>
      <c r="T155" s="1"/>
      <c r="U155" s="1"/>
      <c r="V155" s="1"/>
      <c r="W155" s="1"/>
      <c r="X155" s="1"/>
      <c r="Y155" s="1"/>
      <c r="Z155" s="1"/>
    </row>
    <row r="156" spans="1:26" x14ac:dyDescent="0.2">
      <c r="K156" s="8" t="s">
        <v>103</v>
      </c>
      <c r="L156" s="23">
        <f t="array" ref="L156">_xll.GetPrice("FP-PNL-0304","Actual","Low",_SPECIFICvarPubDate)</f>
        <v>555</v>
      </c>
      <c r="M156" s="23">
        <f t="array" ref="M156">_xll.GetPrice("FP-PNL-0308","Actual","Low",_SPECIFICvarPubDate)</f>
        <v>555</v>
      </c>
      <c r="N156" s="23">
        <f t="array" ref="N156">_xll.GetPrice("FP-PNL-0313","Actual","Low",_SPECIFICvarPubDate)</f>
        <v>475</v>
      </c>
      <c r="O156" s="23">
        <f t="array" ref="O156">_xll.GetPrice("FP-PNL-0319","Actual","Low",_SPECIFICvarPubDate)</f>
        <v>520</v>
      </c>
      <c r="P156" s="23">
        <f t="array" ref="P156">_xll.GetPrice("FP-PNL-0324","Actual","Low",_SPECIFICvarPubDate)</f>
        <v>580</v>
      </c>
      <c r="Q156" s="23">
        <f t="array" ref="Q156">_xll.GetPrice("FP-PNL-0326","Actual","Low",_SPECIFICvarPubDate)</f>
        <v>895</v>
      </c>
      <c r="R156" s="23">
        <f t="array" ref="R156">_xll.GetPrice("FP-PNL-0328","Actual","Low",_SPECIFICvarPubDate)</f>
        <v>835</v>
      </c>
      <c r="T156" s="1"/>
      <c r="U156" s="1"/>
      <c r="V156" s="1"/>
      <c r="W156" s="1"/>
      <c r="X156" s="1"/>
      <c r="Y156" s="1"/>
      <c r="Z156" s="1"/>
    </row>
    <row r="157" spans="1:26" x14ac:dyDescent="0.2">
      <c r="K157" s="8" t="s">
        <v>67</v>
      </c>
      <c r="L157" s="6" t="s">
        <v>32</v>
      </c>
      <c r="M157" s="6" t="s">
        <v>32</v>
      </c>
      <c r="N157" s="23">
        <f t="array" ref="N157">_xll.GetPrice("FP-PNL-0314","Actual","Low",_SPECIFICvarPubDate)</f>
        <v>685</v>
      </c>
      <c r="O157" s="23">
        <f t="array" ref="O157">_xll.GetPrice("FP-PNL-0320","Actual","Low",_SPECIFICvarPubDate)</f>
        <v>730</v>
      </c>
      <c r="P157" s="6" t="s">
        <v>32</v>
      </c>
      <c r="Q157" s="6" t="s">
        <v>32</v>
      </c>
      <c r="R157" s="6" t="s">
        <v>32</v>
      </c>
      <c r="T157" s="1"/>
      <c r="U157" s="1"/>
      <c r="V157" s="1"/>
      <c r="W157" s="1"/>
      <c r="X157" s="1"/>
      <c r="Y157" s="1"/>
      <c r="Z157" s="1"/>
    </row>
    <row r="158" spans="1:26" x14ac:dyDescent="0.2">
      <c r="A158" s="1"/>
      <c r="B158" s="1"/>
      <c r="C158" s="1"/>
      <c r="D158" s="1"/>
      <c r="E158" s="1"/>
      <c r="F158" s="1"/>
      <c r="G158" s="1"/>
      <c r="H158" s="1"/>
      <c r="I158" s="1"/>
      <c r="J158" s="1"/>
      <c r="T158" s="1"/>
      <c r="U158" s="1"/>
      <c r="V158" s="1"/>
      <c r="W158" s="1"/>
      <c r="X158" s="1"/>
      <c r="Y158" s="1"/>
      <c r="Z158" s="1"/>
    </row>
    <row r="159" spans="1:26" x14ac:dyDescent="0.2">
      <c r="A159" s="1"/>
      <c r="B159" s="1"/>
      <c r="C159" s="1"/>
      <c r="D159" s="1"/>
      <c r="E159" s="1"/>
      <c r="F159" s="1"/>
      <c r="G159" s="1"/>
      <c r="H159" s="1"/>
      <c r="I159" s="1"/>
      <c r="J159" s="1"/>
      <c r="S159" s="1"/>
    </row>
    <row r="160" spans="1:26" x14ac:dyDescent="0.2">
      <c r="K160" s="4" t="s">
        <v>104</v>
      </c>
    </row>
    <row r="161" spans="1:18" x14ac:dyDescent="0.2">
      <c r="L161" s="8" t="s">
        <v>29</v>
      </c>
      <c r="M161" s="8" t="s">
        <v>35</v>
      </c>
      <c r="N161" s="8" t="s">
        <v>73</v>
      </c>
      <c r="O161" s="8" t="s">
        <v>103</v>
      </c>
      <c r="Q161" s="1"/>
      <c r="R161" s="1"/>
    </row>
    <row r="162" spans="1:18" x14ac:dyDescent="0.2">
      <c r="K162" s="8" t="s">
        <v>22</v>
      </c>
      <c r="L162" s="23">
        <f t="array" ref="L162">_xll.GetPrice("FP-PNL-0329","Actual","Low",_SPECIFICvarPubDate)</f>
        <v>715</v>
      </c>
      <c r="M162" s="23">
        <f t="array" ref="M162">_xll.GetPrice("FP-PNL-0330","Actual","Low",_SPECIFICvarPubDate)</f>
        <v>770</v>
      </c>
      <c r="N162" s="23">
        <f t="array" ref="N162">_xll.GetPrice("FP-PNL-0331","Actual","Low",_SPECIFICvarPubDate)</f>
        <v>860</v>
      </c>
      <c r="O162" s="23">
        <f t="array" ref="O162">_xll.GetPrice("FP-PNL-0332","Actual","Low",_SPECIFICvarPubDate)</f>
        <v>930</v>
      </c>
      <c r="P162" s="1"/>
    </row>
    <row r="163" spans="1:18" x14ac:dyDescent="0.2">
      <c r="K163" s="8" t="s">
        <v>23</v>
      </c>
      <c r="L163" s="23">
        <f t="array" ref="L163">_xll.GetPrice("FP-PNL-0333","Actual","Low",_SPECIFICvarPubDate)</f>
        <v>680</v>
      </c>
      <c r="M163" s="23">
        <f t="array" ref="M163">_xll.GetPrice("FP-PNL-0334","Actual","Low",_SPECIFICvarPubDate)</f>
        <v>735</v>
      </c>
      <c r="N163" s="23">
        <f t="array" ref="N163">_xll.GetPrice("FP-PNL-0335","Actual","Low",_SPECIFICvarPubDate)</f>
        <v>840</v>
      </c>
      <c r="O163" s="23">
        <f t="array" ref="O163">_xll.GetPrice("FP-PNL-0336","Actual","Low",_SPECIFICvarPubDate)</f>
        <v>890</v>
      </c>
    </row>
    <row r="167" spans="1:18" x14ac:dyDescent="0.2">
      <c r="A167" s="1"/>
      <c r="B167" s="1"/>
      <c r="C167" s="1"/>
      <c r="D167" s="1"/>
      <c r="E167" s="1"/>
      <c r="F167" s="1"/>
      <c r="G167" s="1"/>
      <c r="H167" s="1"/>
      <c r="I167" s="1"/>
      <c r="J167" s="1"/>
    </row>
    <row r="177" spans="21:26" x14ac:dyDescent="0.2">
      <c r="U177" s="1"/>
      <c r="V177" s="1"/>
      <c r="W177" s="1"/>
      <c r="X177" s="1"/>
      <c r="Y177" s="1"/>
      <c r="Z177" s="1"/>
    </row>
    <row r="178" spans="21:26" x14ac:dyDescent="0.2">
      <c r="U178" s="1"/>
      <c r="V178" s="1"/>
      <c r="W178" s="1"/>
      <c r="X178" s="1"/>
      <c r="Y178" s="1"/>
      <c r="Z178" s="1"/>
    </row>
    <row r="179" spans="21:26" x14ac:dyDescent="0.2">
      <c r="U179" s="1"/>
      <c r="V179" s="1"/>
      <c r="W179" s="1"/>
      <c r="X179" s="1"/>
      <c r="Y179" s="1"/>
      <c r="Z179" s="1"/>
    </row>
    <row r="180" spans="21:26" x14ac:dyDescent="0.2">
      <c r="U180" s="1"/>
      <c r="V180" s="1"/>
      <c r="W180" s="1"/>
      <c r="X180" s="1"/>
      <c r="Y180" s="1"/>
      <c r="Z180" s="1"/>
    </row>
    <row r="181" spans="21:26" x14ac:dyDescent="0.2">
      <c r="U181" s="1"/>
      <c r="V181" s="1"/>
      <c r="W181" s="1"/>
      <c r="X181" s="1"/>
      <c r="Y181" s="1"/>
      <c r="Z181" s="1"/>
    </row>
    <row r="182" spans="21:26" x14ac:dyDescent="0.2">
      <c r="U182" s="1"/>
      <c r="V182" s="1"/>
      <c r="W182" s="1"/>
      <c r="X182" s="1"/>
      <c r="Y182" s="1"/>
      <c r="Z182" s="1"/>
    </row>
    <row r="183" spans="21:26" x14ac:dyDescent="0.2">
      <c r="U183" s="1"/>
      <c r="V183" s="1"/>
      <c r="W183" s="1"/>
      <c r="X183" s="1"/>
      <c r="Y183" s="1"/>
      <c r="Z183" s="1"/>
    </row>
    <row r="184" spans="21:26" x14ac:dyDescent="0.2">
      <c r="U184" s="1"/>
      <c r="V184" s="1"/>
      <c r="W184" s="1"/>
      <c r="X184" s="1"/>
      <c r="Y184" s="1"/>
      <c r="Z184" s="1"/>
    </row>
    <row r="185" spans="21:26" x14ac:dyDescent="0.2">
      <c r="U185" s="1"/>
      <c r="V185" s="1"/>
      <c r="W185" s="1"/>
      <c r="X185" s="1"/>
      <c r="Y185" s="1"/>
      <c r="Z185" s="1"/>
    </row>
    <row r="186" spans="21:26" x14ac:dyDescent="0.2">
      <c r="U186" s="1"/>
      <c r="V186" s="1"/>
      <c r="W186" s="1"/>
      <c r="X186" s="1"/>
      <c r="Y186" s="1"/>
      <c r="Z186" s="1"/>
    </row>
    <row r="187" spans="21:26" x14ac:dyDescent="0.2">
      <c r="U187" s="1"/>
      <c r="V187" s="1"/>
      <c r="W187" s="1"/>
      <c r="X187" s="1"/>
      <c r="Y187" s="1"/>
      <c r="Z187" s="1"/>
    </row>
    <row r="188" spans="21:26" x14ac:dyDescent="0.2">
      <c r="U188" s="1"/>
      <c r="V188" s="1"/>
      <c r="W188" s="1"/>
      <c r="X188" s="1"/>
      <c r="Y188" s="1"/>
      <c r="Z188" s="1"/>
    </row>
    <row r="189" spans="21:26" x14ac:dyDescent="0.2">
      <c r="U189" s="1"/>
      <c r="V189" s="1"/>
      <c r="W189" s="1"/>
      <c r="X189" s="1"/>
      <c r="Y189" s="1"/>
      <c r="Z189" s="1"/>
    </row>
    <row r="190" spans="21:26" x14ac:dyDescent="0.2">
      <c r="U190" s="1"/>
      <c r="V190" s="1"/>
      <c r="W190" s="1"/>
      <c r="X190" s="1"/>
      <c r="Y190" s="1"/>
      <c r="Z190" s="1"/>
    </row>
    <row r="191" spans="21:26" x14ac:dyDescent="0.2">
      <c r="U191" s="1"/>
      <c r="V191" s="1"/>
      <c r="W191" s="1"/>
      <c r="X191" s="1"/>
      <c r="Y191" s="1"/>
      <c r="Z191" s="1"/>
    </row>
    <row r="192" spans="21:26" x14ac:dyDescent="0.2">
      <c r="U192" s="1"/>
      <c r="V192" s="1"/>
      <c r="W192" s="1"/>
      <c r="X192" s="1"/>
      <c r="Y192" s="1"/>
      <c r="Z192" s="1"/>
    </row>
    <row r="193" spans="1:26" x14ac:dyDescent="0.2">
      <c r="U193" s="1"/>
      <c r="V193" s="1"/>
      <c r="W193" s="1"/>
      <c r="X193" s="1"/>
      <c r="Y193" s="1"/>
      <c r="Z193" s="1"/>
    </row>
    <row r="194" spans="1:26" x14ac:dyDescent="0.2">
      <c r="U194" s="1"/>
      <c r="V194" s="1"/>
      <c r="W194" s="1"/>
      <c r="X194" s="1"/>
      <c r="Y194" s="1"/>
      <c r="Z194" s="1"/>
    </row>
    <row r="195" spans="1:26" x14ac:dyDescent="0.2">
      <c r="U195" s="1"/>
      <c r="V195" s="1"/>
      <c r="W195" s="1"/>
      <c r="X195" s="1"/>
      <c r="Y195" s="1"/>
      <c r="Z195" s="1"/>
    </row>
    <row r="196" spans="1:26" x14ac:dyDescent="0.2">
      <c r="U196" s="1"/>
      <c r="V196" s="1"/>
      <c r="W196" s="1"/>
      <c r="X196" s="1"/>
      <c r="Y196" s="1"/>
      <c r="Z196" s="1"/>
    </row>
    <row r="197" spans="1:26" x14ac:dyDescent="0.2">
      <c r="U197" s="1"/>
      <c r="V197" s="1"/>
      <c r="W197" s="1"/>
      <c r="X197" s="1"/>
      <c r="Y197" s="1"/>
      <c r="Z197" s="1"/>
    </row>
    <row r="198" spans="1:26" x14ac:dyDescent="0.2">
      <c r="U198" s="1"/>
      <c r="V198" s="1"/>
      <c r="W198" s="1"/>
      <c r="X198" s="1"/>
      <c r="Y198" s="1"/>
      <c r="Z198" s="1"/>
    </row>
    <row r="201" spans="1:26" ht="15" x14ac:dyDescent="0.2">
      <c r="A201" s="31">
        <f>_SPECIFICvarPubDate</f>
        <v>45597</v>
      </c>
      <c r="B201" s="21" t="str">
        <f>$A$1</f>
        <v>RANDOM LENGTHS PANEL REPORT</v>
      </c>
      <c r="C201" s="29"/>
      <c r="D201" s="29"/>
      <c r="E201" s="29"/>
      <c r="F201" s="29"/>
      <c r="G201" s="29"/>
      <c r="H201" s="2" t="s">
        <v>105</v>
      </c>
    </row>
    <row r="205" spans="1:26" x14ac:dyDescent="0.2">
      <c r="A205" s="47" t="s">
        <v>106</v>
      </c>
      <c r="K205" s="47" t="s">
        <v>107</v>
      </c>
      <c r="L205" s="47"/>
      <c r="M205" s="47"/>
    </row>
    <row r="206" spans="1:26" x14ac:dyDescent="0.2">
      <c r="A206" s="4" t="s">
        <v>41</v>
      </c>
      <c r="K206" s="4" t="s">
        <v>108</v>
      </c>
      <c r="L206" s="4"/>
      <c r="M206" s="4"/>
    </row>
    <row r="207" spans="1:26" x14ac:dyDescent="0.2">
      <c r="F207" s="40" t="s">
        <v>109</v>
      </c>
      <c r="G207" s="40"/>
    </row>
    <row r="208" spans="1:26" x14ac:dyDescent="0.2">
      <c r="B208" s="8" t="s">
        <v>29</v>
      </c>
      <c r="C208" s="8" t="s">
        <v>30</v>
      </c>
      <c r="D208" s="8" t="s">
        <v>33</v>
      </c>
      <c r="E208" s="8" t="s">
        <v>35</v>
      </c>
      <c r="F208" s="8" t="s">
        <v>110</v>
      </c>
      <c r="G208" s="8" t="s">
        <v>111</v>
      </c>
      <c r="L208" s="8" t="s">
        <v>112</v>
      </c>
      <c r="M208" s="8" t="s">
        <v>113</v>
      </c>
      <c r="N208" s="8" t="s">
        <v>114</v>
      </c>
      <c r="O208" s="8" t="s">
        <v>115</v>
      </c>
      <c r="P208" s="8" t="s">
        <v>116</v>
      </c>
      <c r="Q208" s="8" t="s">
        <v>117</v>
      </c>
      <c r="R208" s="8" t="s">
        <v>118</v>
      </c>
      <c r="S208" s="8" t="s">
        <v>119</v>
      </c>
    </row>
    <row r="209" spans="1:19" x14ac:dyDescent="0.2">
      <c r="A209" s="18" t="s">
        <v>120</v>
      </c>
      <c r="B209" s="23">
        <f t="array" ref="B209">_xll.GetPrice("FP-PNL-0055","Actual","Low",_SPECIFICvarPubDate)</f>
        <v>520</v>
      </c>
      <c r="C209" s="23">
        <f t="array" ref="C209">_xll.GetPrice("FP-PNL-0056","Actual","Low",_SPECIFICvarPubDate)</f>
        <v>520</v>
      </c>
      <c r="D209" s="23">
        <f t="array" ref="D209">_xll.GetPrice("FP-PNL-0057","Actual","Low",_SPECIFICvarPubDate)</f>
        <v>550</v>
      </c>
      <c r="E209" s="23">
        <f t="array" ref="E209">_xll.GetPrice("FP-PNL-0058","Actual","Low",_SPECIFICvarPubDate)</f>
        <v>570</v>
      </c>
      <c r="F209" s="23">
        <f t="array" ref="F209">_xll.GetPrice("FP-PNL-0059","Actual","Low",_SPECIFICvarPubDate)</f>
        <v>690</v>
      </c>
      <c r="G209" s="23">
        <f t="array" ref="G209">_xll.GetPrice("FP-PNL-0060","Actual","Low",_SPECIFICvarPubDate)</f>
        <v>805</v>
      </c>
      <c r="K209" s="8" t="s">
        <v>121</v>
      </c>
      <c r="L209" s="23">
        <f t="array" ref="L209">_xll.GetPrice("FP-PNL-0421","Actual","Low",_SPECIFICvarPubDate)</f>
        <v>660</v>
      </c>
      <c r="M209" s="23">
        <f t="array" ref="M209">_xll.GetPrice("FP-PNL-0426","Actual","Low",_SPECIFICvarPubDate)</f>
        <v>675</v>
      </c>
      <c r="N209" s="23">
        <f t="array" ref="N209">_xll.GetPrice("FP-PNL-0431","Actual","Low",_SPECIFICvarPubDate)</f>
        <v>690</v>
      </c>
      <c r="O209" s="23">
        <f t="array" ref="O209">_xll.GetPrice("FP-PNL-0436","Actual","Low",_SPECIFICvarPubDate)</f>
        <v>700</v>
      </c>
      <c r="P209" s="23">
        <f t="array" ref="P209">_xll.GetPrice("FP-PNL-0337","Actual","Low",_SPECIFICvarPubDate)</f>
        <v>749</v>
      </c>
      <c r="Q209" s="23">
        <f t="array" ref="Q209">_xll.GetPrice("FP-PNL-0445","Actual","Low",_SPECIFICvarPubDate)</f>
        <v>759</v>
      </c>
      <c r="R209" s="23">
        <f t="array" ref="R209">_xll.GetPrice("FP-PNL-0450","Actual","Low",_SPECIFICvarPubDate)</f>
        <v>784</v>
      </c>
      <c r="S209" s="23">
        <f t="array" ref="S209">_xll.GetPrice("FP-PNL-0455","Actual","Low",_SPECIFICvarPubDate)</f>
        <v>794</v>
      </c>
    </row>
    <row r="210" spans="1:19" x14ac:dyDescent="0.2">
      <c r="A210" s="18" t="s">
        <v>122</v>
      </c>
      <c r="B210" s="23">
        <f t="array" ref="B210">_xll.GetPrice("FP-PNL-0061","Actual","Low",_SPECIFICvarPubDate)</f>
        <v>510</v>
      </c>
      <c r="C210" s="23">
        <f t="array" ref="C210">_xll.GetPrice("FP-PNL-0062","Actual","Low",_SPECIFICvarPubDate)</f>
        <v>510</v>
      </c>
      <c r="D210" s="23">
        <f t="array" ref="D210">_xll.GetPrice("FP-PNL-0063","Actual","Low",_SPECIFICvarPubDate)</f>
        <v>540</v>
      </c>
      <c r="E210" s="23">
        <f t="array" ref="E210">_xll.GetPrice("FP-PNL-0064","Actual","Low",_SPECIFICvarPubDate)</f>
        <v>560</v>
      </c>
      <c r="F210" s="23">
        <f t="array" ref="F210">_xll.GetPrice("FP-PNL-0065","Actual","Low",_SPECIFICvarPubDate)</f>
        <v>685</v>
      </c>
      <c r="G210" s="23">
        <f t="array" ref="G210">_xll.GetPrice("FP-PNL-0066","Actual","Low",_SPECIFICvarPubDate)</f>
        <v>800</v>
      </c>
      <c r="K210" s="8" t="s">
        <v>123</v>
      </c>
      <c r="L210" s="23">
        <f t="array" ref="L210">_xll.GetPrice("FP-PNL-0422","Actual","Low",_SPECIFICvarPubDate)</f>
        <v>880</v>
      </c>
      <c r="M210" s="23">
        <f t="array" ref="M210">_xll.GetPrice("FP-PNL-0427","Actual","Low",_SPECIFICvarPubDate)</f>
        <v>900</v>
      </c>
      <c r="N210" s="23">
        <f t="array" ref="N210">_xll.GetPrice("FP-PNL-0432","Actual","Low",_SPECIFICvarPubDate)</f>
        <v>920</v>
      </c>
      <c r="O210" s="23">
        <f t="array" ref="O210">_xll.GetPrice("FP-PNL-0437","Actual","Low",_SPECIFICvarPubDate)</f>
        <v>933</v>
      </c>
      <c r="P210" s="23">
        <f t="array" ref="P210">_xll.GetPrice("FP-PNL-0441","Actual","Low",_SPECIFICvarPubDate)</f>
        <v>999</v>
      </c>
      <c r="Q210" s="23">
        <f t="array" ref="Q210">_xll.GetPrice("FP-PNL-0446","Actual","Low",_SPECIFICvarPubDate)</f>
        <v>1012</v>
      </c>
      <c r="R210" s="23">
        <f t="array" ref="R210">_xll.GetPrice("FP-PNL-0451","Actual","Low",_SPECIFICvarPubDate)</f>
        <v>1045</v>
      </c>
      <c r="S210" s="23">
        <f t="array" ref="S210">_xll.GetPrice("FP-PNL-0456","Actual","Low",_SPECIFICvarPubDate)</f>
        <v>1059</v>
      </c>
    </row>
    <row r="211" spans="1:19" x14ac:dyDescent="0.2">
      <c r="A211" s="18" t="s">
        <v>124</v>
      </c>
      <c r="B211" s="23">
        <f t="array" ref="B211">_xll.GetPrice("FP-PNL-0067","Actual","Low",_SPECIFICvarPubDate)</f>
        <v>520</v>
      </c>
      <c r="C211" s="23">
        <f t="array" ref="C211">_xll.GetPrice("FP-PNL-0068","Actual","Low",_SPECIFICvarPubDate)</f>
        <v>520</v>
      </c>
      <c r="D211" s="23">
        <f t="array" ref="D211">_xll.GetPrice("FP-PNL-0069","Actual","Low",_SPECIFICvarPubDate)</f>
        <v>550</v>
      </c>
      <c r="E211" s="23">
        <f t="array" ref="E211">_xll.GetPrice("FP-PNL-0070","Actual","Low",_SPECIFICvarPubDate)</f>
        <v>570</v>
      </c>
      <c r="F211" s="23">
        <f t="array" ref="F211">_xll.GetPrice("FP-PNL-0071","Actual","Low",_SPECIFICvarPubDate)</f>
        <v>690</v>
      </c>
      <c r="G211" s="23">
        <f t="array" ref="G211">_xll.GetPrice("FP-PNL-0072","Actual","Low",_SPECIFICvarPubDate)</f>
        <v>810</v>
      </c>
      <c r="K211" s="8" t="s">
        <v>125</v>
      </c>
      <c r="L211" s="23">
        <f t="array" ref="L211">_xll.GetPrice("FP-PNL-0423","Actual","Low",_SPECIFICvarPubDate)</f>
        <v>1100</v>
      </c>
      <c r="M211" s="23">
        <f t="array" ref="M211">_xll.GetPrice("FP-PNL-0428","Actual","Low",_SPECIFICvarPubDate)</f>
        <v>1125</v>
      </c>
      <c r="N211" s="23">
        <f t="array" ref="N211">_xll.GetPrice("FP-PNL-0433","Actual","Low",_SPECIFICvarPubDate)</f>
        <v>1150</v>
      </c>
      <c r="O211" s="23">
        <f t="array" ref="O211">_xll.GetPrice("FP-PNL-0438","Actual","Low",_SPECIFICvarPubDate)</f>
        <v>1167</v>
      </c>
      <c r="P211" s="23">
        <f t="array" ref="P211">_xll.GetPrice("FP-PNL-0442","Actual","Low",_SPECIFICvarPubDate)</f>
        <v>1248</v>
      </c>
      <c r="Q211" s="23">
        <f t="array" ref="Q211">_xll.GetPrice("FP-PNL-0447","Actual","Low",_SPECIFICvarPubDate)</f>
        <v>1265</v>
      </c>
      <c r="R211" s="23">
        <f t="array" ref="R211">_xll.GetPrice("FP-PNL-0452","Actual","Low",_SPECIFICvarPubDate)</f>
        <v>1307</v>
      </c>
      <c r="S211" s="23">
        <f t="array" ref="S211">_xll.GetPrice("FP-PNL-0457","Actual","Low",_SPECIFICvarPubDate)</f>
        <v>1323</v>
      </c>
    </row>
    <row r="212" spans="1:19" x14ac:dyDescent="0.2">
      <c r="A212" s="18" t="s">
        <v>126</v>
      </c>
      <c r="B212" s="23">
        <f t="array" ref="B212">_xll.GetPrice("FP-PNL-0073","Actual","Low",_SPECIFICvarPubDate)</f>
        <v>495</v>
      </c>
      <c r="C212" s="23">
        <f t="array" ref="C212">_xll.GetPrice("FP-PNL-0074","Actual","Low",_SPECIFICvarPubDate)</f>
        <v>495</v>
      </c>
      <c r="D212" s="23">
        <f t="array" ref="D212">_xll.GetPrice("FP-PNL-0075","Actual","Low",_SPECIFICvarPubDate)</f>
        <v>525</v>
      </c>
      <c r="E212" s="23">
        <f t="array" ref="E212">_xll.GetPrice("FP-PNL-0076","Actual","Low",_SPECIFICvarPubDate)</f>
        <v>545</v>
      </c>
      <c r="F212" s="23">
        <f t="array" ref="F212">_xll.GetPrice("FP-PNL-0077","Actual","Low",_SPECIFICvarPubDate)</f>
        <v>675</v>
      </c>
      <c r="G212" s="23">
        <f t="array" ref="G212">_xll.GetPrice("FP-PNL-0078","Actual","Low",_SPECIFICvarPubDate)</f>
        <v>795</v>
      </c>
      <c r="K212" s="8" t="s">
        <v>127</v>
      </c>
      <c r="L212" s="23">
        <f t="array" ref="L212">_xll.GetPrice("FP-PNL-0424","Actual","Low",_SPECIFICvarPubDate)</f>
        <v>1320</v>
      </c>
      <c r="M212" s="23">
        <f t="array" ref="M212">_xll.GetPrice("FP-PNL-0429","Actual","Low",_SPECIFICvarPubDate)</f>
        <v>1350</v>
      </c>
      <c r="N212" s="23">
        <f t="array" ref="N212">_xll.GetPrice("FP-PNL-0434","Actual","Low",_SPECIFICvarPubDate)</f>
        <v>1380</v>
      </c>
      <c r="O212" s="23">
        <f t="array" ref="O212">_xll.GetPrice("FP-PNL-0439","Actual","Low",_SPECIFICvarPubDate)</f>
        <v>1400</v>
      </c>
      <c r="P212" s="23">
        <f t="array" ref="P212">_xll.GetPrice("FP-PNL-0443","Actual","Low",_SPECIFICvarPubDate)</f>
        <v>1498</v>
      </c>
      <c r="Q212" s="23">
        <f t="array" ref="Q212">_xll.GetPrice("FP-PNL-0448","Actual","Low",_SPECIFICvarPubDate)</f>
        <v>1518</v>
      </c>
      <c r="R212" s="23">
        <f t="array" ref="R212">_xll.GetPrice("FP-PNL-0453","Actual","Low",_SPECIFICvarPubDate)</f>
        <v>1568</v>
      </c>
      <c r="S212" s="23">
        <f t="array" ref="S212">_xll.GetPrice("FP-PNL-0458","Actual","Low",_SPECIFICvarPubDate)</f>
        <v>1588</v>
      </c>
    </row>
    <row r="213" spans="1:19" x14ac:dyDescent="0.2">
      <c r="A213" s="18" t="s">
        <v>128</v>
      </c>
      <c r="B213" s="23">
        <f t="array" ref="B213">_xll.GetPrice("FP-PNL-0079","Actual","Low",_SPECIFICvarPubDate)</f>
        <v>505</v>
      </c>
      <c r="C213" s="23">
        <f t="array" ref="C213">_xll.GetPrice("FP-PNL-0080","Actual","Low",_SPECIFICvarPubDate)</f>
        <v>505</v>
      </c>
      <c r="D213" s="23">
        <f t="array" ref="D213">_xll.GetPrice("FP-PNL-0081","Actual","Low",_SPECIFICvarPubDate)</f>
        <v>535</v>
      </c>
      <c r="E213" s="23">
        <f t="array" ref="E213">_xll.GetPrice("FP-PNL-0082","Actual","Low",_SPECIFICvarPubDate)</f>
        <v>555</v>
      </c>
      <c r="F213" s="23">
        <f t="array" ref="F213">_xll.GetPrice("FP-PNL-0083","Actual","Low",_SPECIFICvarPubDate)</f>
        <v>680</v>
      </c>
      <c r="G213" s="23">
        <f t="array" ref="G213">_xll.GetPrice("FP-PNL-0084","Actual","Low",_SPECIFICvarPubDate)</f>
        <v>800</v>
      </c>
      <c r="K213" s="8" t="s">
        <v>129</v>
      </c>
      <c r="L213" s="23">
        <f t="array" ref="L213">_xll.GetPrice("FP-PNL-0425","Actual","Low",_SPECIFICvarPubDate)</f>
        <v>1996</v>
      </c>
      <c r="M213" s="23">
        <f t="array" ref="M213">_xll.GetPrice("FP-PNL-0430","Actual","Low",_SPECIFICvarPubDate)</f>
        <v>2037</v>
      </c>
      <c r="N213" s="23">
        <f t="array" ref="N213">_xll.GetPrice("FP-PNL-0435","Actual","Low",_SPECIFICvarPubDate)</f>
        <v>2077</v>
      </c>
      <c r="O213" s="23">
        <f t="array" ref="O213">_xll.GetPrice("FP-PNL-0440","Actual","Low",_SPECIFICvarPubDate)</f>
        <v>2103</v>
      </c>
      <c r="P213" s="23">
        <f t="array" ref="P213">_xll.GetPrice("FP-PNL-0444","Actual","Low",_SPECIFICvarPubDate)</f>
        <v>2247</v>
      </c>
      <c r="Q213" s="23">
        <f t="array" ref="Q213">_xll.GetPrice("FP-PNL-0449","Actual","Low",_SPECIFICvarPubDate)</f>
        <v>2274</v>
      </c>
      <c r="R213" s="23">
        <f t="array" ref="R213">_xll.GetPrice("FP-PNL-0454","Actual","Low",_SPECIFICvarPubDate)</f>
        <v>2340</v>
      </c>
      <c r="S213" s="23">
        <f t="array" ref="S213">_xll.GetPrice("FP-PNL-0459","Actual","Low",_SPECIFICvarPubDate)</f>
        <v>2367</v>
      </c>
    </row>
    <row r="214" spans="1:19" x14ac:dyDescent="0.2">
      <c r="A214" s="18" t="s">
        <v>130</v>
      </c>
      <c r="B214" s="23">
        <f t="array" ref="B214">_xll.GetPrice("FP-PNL-0085","Actual","Low",_SPECIFICvarPubDate)</f>
        <v>495</v>
      </c>
      <c r="C214" s="23">
        <f t="array" ref="C214">_xll.GetPrice("FP-PNL-0086","Actual","Low",_SPECIFICvarPubDate)</f>
        <v>500</v>
      </c>
      <c r="D214" s="23">
        <f t="array" ref="D214">_xll.GetPrice("FP-PNL-0087","Actual","Low",_SPECIFICvarPubDate)</f>
        <v>520</v>
      </c>
      <c r="E214" s="23">
        <f t="array" ref="E214">_xll.GetPrice("FP-PNL-0088","Actual","Low",_SPECIFICvarPubDate)</f>
        <v>540</v>
      </c>
      <c r="F214" s="23">
        <f t="array" ref="F214">_xll.GetPrice("FP-PNL-0089","Actual","Low",_SPECIFICvarPubDate)</f>
        <v>675</v>
      </c>
      <c r="G214" s="23">
        <f t="array" ref="G214">_xll.GetPrice("FP-PNL-0090","Actual","Low",_SPECIFICvarPubDate)</f>
        <v>785</v>
      </c>
      <c r="K214" s="35" t="s">
        <v>131</v>
      </c>
      <c r="M214" s="23">
        <f t="array" ref="M214">_xll.GetPrice("FP-PNL-0339","Actual","Low",_SPECIFICvarPubDate)</f>
        <v>60</v>
      </c>
    </row>
    <row r="215" spans="1:19" x14ac:dyDescent="0.2">
      <c r="A215" s="18" t="s">
        <v>132</v>
      </c>
      <c r="B215" s="23">
        <f t="array" ref="B215">_xll.GetPrice("FP-PNL-0091","Actual","Low",_SPECIFICvarPubDate)</f>
        <v>525</v>
      </c>
      <c r="C215" s="23">
        <f t="array" ref="C215">_xll.GetPrice("FP-PNL-0092","Actual","Low",_SPECIFICvarPubDate)</f>
        <v>525</v>
      </c>
      <c r="D215" s="23">
        <f t="array" ref="D215">_xll.GetPrice("FP-PNL-0093","Actual","Low",_SPECIFICvarPubDate)</f>
        <v>545</v>
      </c>
      <c r="E215" s="23">
        <f t="array" ref="E215">_xll.GetPrice("FP-PNL-0094","Actual","Low",_SPECIFICvarPubDate)</f>
        <v>565</v>
      </c>
      <c r="F215" s="23">
        <f t="array" ref="F215">_xll.GetPrice("FP-PNL-0095","Actual","Low",_SPECIFICvarPubDate)</f>
        <v>720</v>
      </c>
      <c r="G215" s="23">
        <f t="array" ref="G215">_xll.GetPrice("FP-PNL-0096","Actual","Low",_SPECIFICvarPubDate)</f>
        <v>825</v>
      </c>
      <c r="K215" s="35" t="s">
        <v>133</v>
      </c>
      <c r="M215" s="23">
        <f t="array" ref="M215">_xll.GetPrice("FP-PNL-0340","Actual","Low",_SPECIFICvarPubDate)</f>
        <v>20</v>
      </c>
    </row>
    <row r="216" spans="1:19" x14ac:dyDescent="0.2">
      <c r="A216" s="18" t="s">
        <v>134</v>
      </c>
      <c r="B216" s="23">
        <f t="array" ref="B216">_xll.GetPrice("FP-PNL-0097","Actual","Low",_SPECIFICvarPubDate)</f>
        <v>537</v>
      </c>
      <c r="C216" s="23">
        <f t="array" ref="C216">_xll.GetPrice("FP-PNL-0098","Actual","Low",_SPECIFICvarPubDate)</f>
        <v>537</v>
      </c>
      <c r="D216" s="23">
        <f t="array" ref="D216">_xll.GetPrice("FP-PNL-0099","Actual","Low",_SPECIFICvarPubDate)</f>
        <v>562</v>
      </c>
      <c r="E216" s="23">
        <f t="array" ref="E216">_xll.GetPrice("FP-PNL-0100","Actual","Low",_SPECIFICvarPubDate)</f>
        <v>582</v>
      </c>
      <c r="F216" s="23">
        <f t="array" ref="F216">_xll.GetPrice("FP-PNL-0101","Actual","Low",_SPECIFICvarPubDate)</f>
        <v>734</v>
      </c>
      <c r="G216" s="23">
        <f t="array" ref="G216">_xll.GetPrice("FP-PNL-0102","Actual","Low",_SPECIFICvarPubDate)</f>
        <v>839</v>
      </c>
    </row>
    <row r="217" spans="1:19" x14ac:dyDescent="0.2">
      <c r="A217" s="18" t="s">
        <v>135</v>
      </c>
      <c r="B217" s="23">
        <f t="array" ref="B217">_xll.GetPrice("FP-PNL-0103","Actual","Low",_SPECIFICvarPubDate)</f>
        <v>542</v>
      </c>
      <c r="C217" s="23">
        <f t="array" ref="C217">_xll.GetPrice("FP-PNL-0104","Actual","Low",_SPECIFICvarPubDate)</f>
        <v>542</v>
      </c>
      <c r="D217" s="23">
        <f t="array" ref="D217">_xll.GetPrice("FP-PNL-0105","Actual","Low",_SPECIFICvarPubDate)</f>
        <v>567</v>
      </c>
      <c r="E217" s="23">
        <f t="array" ref="E217">_xll.GetPrice("FP-PNL-0106","Actual","Low",_SPECIFICvarPubDate)</f>
        <v>587</v>
      </c>
      <c r="F217" s="23">
        <f t="array" ref="F217">_xll.GetPrice("FP-PNL-0107","Actual","Low",_SPECIFICvarPubDate)</f>
        <v>739</v>
      </c>
      <c r="G217" s="23">
        <f t="array" ref="G217">_xll.GetPrice("FP-PNL-0108","Actual","Low",_SPECIFICvarPubDate)</f>
        <v>844</v>
      </c>
    </row>
    <row r="218" spans="1:19" x14ac:dyDescent="0.2">
      <c r="K218" s="4" t="s">
        <v>136</v>
      </c>
      <c r="L218" s="4"/>
      <c r="M218" s="4"/>
    </row>
    <row r="219" spans="1:19" x14ac:dyDescent="0.2">
      <c r="L219" s="8" t="s">
        <v>112</v>
      </c>
      <c r="M219" s="8" t="s">
        <v>113</v>
      </c>
      <c r="N219" s="8" t="s">
        <v>114</v>
      </c>
      <c r="O219" s="8" t="s">
        <v>115</v>
      </c>
      <c r="P219" s="8" t="s">
        <v>116</v>
      </c>
      <c r="Q219" s="8" t="s">
        <v>117</v>
      </c>
      <c r="R219" s="8" t="s">
        <v>118</v>
      </c>
      <c r="S219" s="8" t="s">
        <v>119</v>
      </c>
    </row>
    <row r="220" spans="1:19" x14ac:dyDescent="0.2">
      <c r="K220" s="8" t="s">
        <v>121</v>
      </c>
      <c r="L220" s="23">
        <f t="array" ref="L220">_xll.GetPrice("FP-PNL-0460","Actual","Low",_SPECIFICvarPubDate)</f>
        <v>660</v>
      </c>
      <c r="M220" s="23">
        <f t="array" ref="M220">_xll.GetPrice("FP-PNL-0465","Actual","Low",_SPECIFICvarPubDate)</f>
        <v>675</v>
      </c>
      <c r="N220" s="23">
        <f t="array" ref="N220">_xll.GetPrice("FP-PNL-0470","Actual","Low",_SPECIFICvarPubDate)</f>
        <v>690</v>
      </c>
      <c r="O220" s="23">
        <f t="array" ref="O220">_xll.GetPrice("FP-PNL-0475","Actual","Low",_SPECIFICvarPubDate)</f>
        <v>700</v>
      </c>
      <c r="P220" s="23">
        <f t="array" ref="P220">_xll.GetPrice("FP-PNL-0338","Actual","Low",_SPECIFICvarPubDate)</f>
        <v>749</v>
      </c>
      <c r="Q220" s="23">
        <f t="array" ref="Q220">_xll.GetPrice("FP-PNL-0484","Actual","Low",_SPECIFICvarPubDate)</f>
        <v>759</v>
      </c>
      <c r="R220" s="23">
        <f t="array" ref="R220">_xll.GetPrice("FP-PNL-0489","Actual","Low",_SPECIFICvarPubDate)</f>
        <v>784</v>
      </c>
      <c r="S220" s="23">
        <f t="array" ref="S220">_xll.GetPrice("FP-PNL-0494","Actual","Low",_SPECIFICvarPubDate)</f>
        <v>794</v>
      </c>
    </row>
    <row r="221" spans="1:19" x14ac:dyDescent="0.2">
      <c r="K221" s="8" t="s">
        <v>123</v>
      </c>
      <c r="L221" s="23">
        <f t="array" ref="L221">_xll.GetPrice("FP-PNL-0461","Actual","Low",_SPECIFICvarPubDate)</f>
        <v>880</v>
      </c>
      <c r="M221" s="23">
        <f t="array" ref="M221">_xll.GetPrice("FP-PNL-0466","Actual","Low",_SPECIFICvarPubDate)</f>
        <v>900</v>
      </c>
      <c r="N221" s="23">
        <f t="array" ref="N221">_xll.GetPrice("FP-PNL-0471","Actual","Low",_SPECIFICvarPubDate)</f>
        <v>920</v>
      </c>
      <c r="O221" s="23">
        <f t="array" ref="O221">_xll.GetPrice("FP-PNL-0476","Actual","Low",_SPECIFICvarPubDate)</f>
        <v>933</v>
      </c>
      <c r="P221" s="23">
        <f t="array" ref="P221">_xll.GetPrice("FP-PNL-0480","Actual","Low",_SPECIFICvarPubDate)</f>
        <v>999</v>
      </c>
      <c r="Q221" s="23">
        <f t="array" ref="Q221">_xll.GetPrice("FP-PNL-0485","Actual","Low",_SPECIFICvarPubDate)</f>
        <v>1012</v>
      </c>
      <c r="R221" s="23">
        <f t="array" ref="R221">_xll.GetPrice("FP-PNL-0490","Actual","Low",_SPECIFICvarPubDate)</f>
        <v>1045</v>
      </c>
      <c r="S221" s="23">
        <f t="array" ref="S221">_xll.GetPrice("FP-PNL-0495","Actual","Low",_SPECIFICvarPubDate)</f>
        <v>1059</v>
      </c>
    </row>
    <row r="222" spans="1:19" x14ac:dyDescent="0.2">
      <c r="K222" s="8" t="s">
        <v>125</v>
      </c>
      <c r="L222" s="23">
        <f t="array" ref="L222">_xll.GetPrice("FP-PNL-0462","Actual","Low",_SPECIFICvarPubDate)</f>
        <v>1100</v>
      </c>
      <c r="M222" s="23">
        <f t="array" ref="M222">_xll.GetPrice("FP-PNL-0467","Actual","Low",_SPECIFICvarPubDate)</f>
        <v>1125</v>
      </c>
      <c r="N222" s="23">
        <f t="array" ref="N222">_xll.GetPrice("FP-PNL-0472","Actual","Low",_SPECIFICvarPubDate)</f>
        <v>1150</v>
      </c>
      <c r="O222" s="23">
        <f t="array" ref="O222">_xll.GetPrice("FP-PNL-0477","Actual","Low",_SPECIFICvarPubDate)</f>
        <v>1167</v>
      </c>
      <c r="P222" s="23">
        <f t="array" ref="P222">_xll.GetPrice("FP-PNL-0481","Actual","Low",_SPECIFICvarPubDate)</f>
        <v>1248</v>
      </c>
      <c r="Q222" s="23">
        <f t="array" ref="Q222">_xll.GetPrice("FP-PNL-0486","Actual","Low",_SPECIFICvarPubDate)</f>
        <v>1265</v>
      </c>
      <c r="R222" s="23">
        <f t="array" ref="R222">_xll.GetPrice("FP-PNL-0491","Actual","Low",_SPECIFICvarPubDate)</f>
        <v>1307</v>
      </c>
      <c r="S222" s="23">
        <f t="array" ref="S222">_xll.GetPrice("FP-PNL-0496","Actual","Low",_SPECIFICvarPubDate)</f>
        <v>1323</v>
      </c>
    </row>
    <row r="223" spans="1:19" x14ac:dyDescent="0.2">
      <c r="K223" s="8" t="s">
        <v>127</v>
      </c>
      <c r="L223" s="23">
        <f t="array" ref="L223">_xll.GetPrice("FP-PNL-0463","Actual","Low",_SPECIFICvarPubDate)</f>
        <v>1320</v>
      </c>
      <c r="M223" s="23">
        <f t="array" ref="M223">_xll.GetPrice("FP-PNL-0468","Actual","Low",_SPECIFICvarPubDate)</f>
        <v>1350</v>
      </c>
      <c r="N223" s="23">
        <f t="array" ref="N223">_xll.GetPrice("FP-PNL-0473","Actual","Low",_SPECIFICvarPubDate)</f>
        <v>1380</v>
      </c>
      <c r="O223" s="23">
        <f t="array" ref="O223">_xll.GetPrice("FP-PNL-0478","Actual","Low",_SPECIFICvarPubDate)</f>
        <v>1400</v>
      </c>
      <c r="P223" s="23">
        <f t="array" ref="P223">_xll.GetPrice("FP-PNL-0482","Actual","Low",_SPECIFICvarPubDate)</f>
        <v>1498</v>
      </c>
      <c r="Q223" s="23">
        <f t="array" ref="Q223">_xll.GetPrice("FP-PNL-0487","Actual","Low",_SPECIFICvarPubDate)</f>
        <v>1518</v>
      </c>
      <c r="R223" s="23">
        <f t="array" ref="R223">_xll.GetPrice("FP-PNL-0492","Actual","Low",_SPECIFICvarPubDate)</f>
        <v>1568</v>
      </c>
      <c r="S223" s="23">
        <f t="array" ref="S223">_xll.GetPrice("FP-PNL-0497","Actual","Low",_SPECIFICvarPubDate)</f>
        <v>1588</v>
      </c>
    </row>
    <row r="224" spans="1:19" x14ac:dyDescent="0.2">
      <c r="K224" s="8" t="s">
        <v>137</v>
      </c>
      <c r="L224" s="23">
        <f t="array" ref="L224">_xll.GetPrice("FP-PNL-0464","Actual","Low",_SPECIFICvarPubDate)</f>
        <v>1996</v>
      </c>
      <c r="M224" s="23">
        <f t="array" ref="M224">_xll.GetPrice("FP-PNL-0469","Actual","Low",_SPECIFICvarPubDate)</f>
        <v>2037</v>
      </c>
      <c r="N224" s="23">
        <f t="array" ref="N224">_xll.GetPrice("FP-PNL-0474","Actual","Low",_SPECIFICvarPubDate)</f>
        <v>2077</v>
      </c>
      <c r="O224" s="23">
        <f t="array" ref="O224">_xll.GetPrice("FP-PNL-0479","Actual","Low",_SPECIFICvarPubDate)</f>
        <v>2103</v>
      </c>
      <c r="P224" s="23">
        <f t="array" ref="P224">_xll.GetPrice("FP-PNL-0483","Actual","Low",_SPECIFICvarPubDate)</f>
        <v>2247</v>
      </c>
      <c r="Q224" s="23">
        <f t="array" ref="Q224">_xll.GetPrice("FP-PNL-0488","Actual","Low",_SPECIFICvarPubDate)</f>
        <v>2274</v>
      </c>
      <c r="R224" s="23">
        <f t="array" ref="R224">_xll.GetPrice("FP-PNL-0493","Actual","Low",_SPECIFICvarPubDate)</f>
        <v>2340</v>
      </c>
      <c r="S224" s="23">
        <f t="array" ref="S224">_xll.GetPrice("FP-PNL-0498","Actual","Low",_SPECIFICvarPubDate)</f>
        <v>2367</v>
      </c>
    </row>
    <row r="225" spans="11:13" x14ac:dyDescent="0.2">
      <c r="K225" s="35" t="s">
        <v>138</v>
      </c>
      <c r="L225" s="35"/>
      <c r="M225" s="23">
        <f t="array" ref="M225">_xll.GetPrice("FP-PNL-0341","Actual","Low",_SPECIFICvarPubDate)</f>
        <v>60</v>
      </c>
    </row>
    <row r="226" spans="11:13" x14ac:dyDescent="0.2">
      <c r="K226" s="35" t="s">
        <v>133</v>
      </c>
      <c r="L226" s="35"/>
      <c r="M226" s="23">
        <f t="array" ref="M226">_xll.GetPrice("FP-PNL-0342","Actual","Low",_SPECIFICvarPubDate)</f>
        <v>20</v>
      </c>
    </row>
    <row r="301" spans="1:14" ht="15" x14ac:dyDescent="0.2">
      <c r="A301" s="31">
        <f>_SPECIFICvarPubDate</f>
        <v>45597</v>
      </c>
      <c r="B301" s="21" t="s">
        <v>0</v>
      </c>
      <c r="C301" s="29"/>
      <c r="D301" s="29"/>
      <c r="E301" s="29"/>
      <c r="F301" s="29"/>
      <c r="G301" s="29"/>
      <c r="H301" s="2" t="s">
        <v>139</v>
      </c>
      <c r="L301" s="44"/>
      <c r="N301" s="44"/>
    </row>
    <row r="302" spans="1:14" x14ac:dyDescent="0.2">
      <c r="L302" s="44"/>
      <c r="M302" s="1"/>
      <c r="N302" s="44"/>
    </row>
    <row r="303" spans="1:14" x14ac:dyDescent="0.2">
      <c r="F303" s="36" t="s">
        <v>140</v>
      </c>
      <c r="G303" s="36" t="s">
        <v>141</v>
      </c>
      <c r="H303" s="36" t="s">
        <v>142</v>
      </c>
      <c r="L303" s="48"/>
      <c r="N303" s="48"/>
    </row>
    <row r="304" spans="1:14" x14ac:dyDescent="0.2">
      <c r="A304" s="37" t="s">
        <v>143</v>
      </c>
      <c r="F304" s="23">
        <f t="array" ref="F304">_xll.GetPrice("FP-PNL-0499","Actual","Low",_SPECIFICvarPubDate)</f>
        <v>548</v>
      </c>
      <c r="G304" s="23">
        <f t="array" ref="G304">_xll.GetPrice("FP-PNL-0499","Actual","Low",_SPECIFICvarPrvWk)</f>
        <v>541</v>
      </c>
      <c r="H304" s="23">
        <f t="array" ref="H304">_xll.GetPrice("FP-PNL-0499","Actual","Low",_SPECIFICvarPrvYr)</f>
        <v>572</v>
      </c>
    </row>
    <row r="305" spans="1:8" x14ac:dyDescent="0.2">
      <c r="A305" s="38" t="s">
        <v>144</v>
      </c>
      <c r="F305" s="23">
        <f t="array" ref="F305">_xll.GetPrice("FP-PNL-0500","Actual","Low",_SPECIFICvarPubDate)</f>
        <v>389</v>
      </c>
      <c r="G305" s="23">
        <f t="array" ref="G305">_xll.GetPrice("FP-PNL-0500","Actual","Low",_SPECIFICvarPrvWk)</f>
        <v>372</v>
      </c>
      <c r="H305" s="23">
        <f t="array" ref="H305">_xll.GetPrice("FP-PNL-0500","Actual","Low",_SPECIFICvarPrvYr)</f>
        <v>383</v>
      </c>
    </row>
    <row r="306" spans="1:8" x14ac:dyDescent="0.2">
      <c r="A306" s="38" t="s">
        <v>145</v>
      </c>
      <c r="F306" s="23">
        <f t="array" ref="F306">_xll.GetPrice("FP-PNL-0501","Actual","Low",_SPECIFICvarPubDate)</f>
        <v>743</v>
      </c>
      <c r="G306" s="23">
        <f t="array" ref="G306">_xll.GetPrice("FP-PNL-0501","Actual","Low",_SPECIFICvarPrvWk)</f>
        <v>743</v>
      </c>
      <c r="H306" s="23">
        <f t="array" ref="H306">_xll.GetPrice("FP-PNL-0501","Actual","Low",_SPECIFICvarPrvYr)</f>
        <v>815</v>
      </c>
    </row>
    <row r="307" spans="1:8" x14ac:dyDescent="0.2">
      <c r="A307" s="38" t="s">
        <v>146</v>
      </c>
      <c r="F307" s="23">
        <f t="array" ref="F307">_xll.GetPrice("FP-PNL-0502","Actual","Low",_SPECIFICvarPubDate)</f>
        <v>988</v>
      </c>
      <c r="G307" s="23">
        <f t="array" ref="G307">_xll.GetPrice("FP-PNL-0502","Actual","Low",_SPECIFICvarPrvWk)</f>
        <v>988</v>
      </c>
      <c r="H307" s="23">
        <f t="array" ref="H307">_xll.GetPrice("FP-PNL-0502","Actual","Low",_SPECIFICvarPrvYr)</f>
        <v>1002</v>
      </c>
    </row>
    <row r="308" spans="1:8" x14ac:dyDescent="0.2">
      <c r="A308" s="38" t="s">
        <v>147</v>
      </c>
      <c r="F308" s="23">
        <f t="array" ref="F308">_xll.GetPrice("FP-PNL-0503","Actual","Low",_SPECIFICvarPubDate)</f>
        <v>681</v>
      </c>
      <c r="G308" s="23">
        <f t="array" ref="G308">_xll.GetPrice("FP-PNL-0503","Actual","Low",_SPECIFICvarPrvWk)</f>
        <v>681</v>
      </c>
      <c r="H308" s="23">
        <f t="array" ref="H308">_xll.GetPrice("FP-PNL-0503","Actual","Low",_SPECIFICvarPrvYr)</f>
        <v>659</v>
      </c>
    </row>
    <row r="484" ht="12.75" customHeight="1" x14ac:dyDescent="0.2"/>
    <row r="485" ht="15" customHeight="1" x14ac:dyDescent="0.2"/>
    <row r="486" ht="15" customHeight="1" x14ac:dyDescent="0.2"/>
    <row r="487" ht="15" customHeight="1" x14ac:dyDescent="0.2"/>
    <row r="488" ht="12.75" customHeight="1" x14ac:dyDescent="0.2"/>
    <row r="490" ht="12.75" customHeight="1" x14ac:dyDescent="0.2"/>
    <row r="491" ht="13.5" customHeight="1" x14ac:dyDescent="0.2"/>
    <row r="493" ht="12.75" customHeight="1" x14ac:dyDescent="0.2"/>
    <row r="500" ht="13.5" customHeight="1" x14ac:dyDescent="0.2"/>
    <row r="1561" ht="12" customHeight="1" x14ac:dyDescent="0.2"/>
  </sheetData>
  <phoneticPr fontId="11" type="noConversion"/>
  <printOptions horizontalCentered="1" verticalCentered="1" headings="1" gridLines="1"/>
  <pageMargins left="0.5" right="0.5" top="0.5" bottom="0.5" header="0" footer="0"/>
  <pageSetup scale="12" orientation="landscape"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E7BFD7DDE2EAE49AAC78A68AB7AA4C6" ma:contentTypeVersion="18" ma:contentTypeDescription="Create a new document." ma:contentTypeScope="" ma:versionID="f204cc806845aa2af1fdfa580804559a">
  <xsd:schema xmlns:xsd="http://www.w3.org/2001/XMLSchema" xmlns:xs="http://www.w3.org/2001/XMLSchema" xmlns:p="http://schemas.microsoft.com/office/2006/metadata/properties" xmlns:ns2="37a4200c-0ed5-4d27-bdfb-343e8c4f4810" xmlns:ns3="de5281ab-0e43-4ae6-a18f-9b82c26df0e2" targetNamespace="http://schemas.microsoft.com/office/2006/metadata/properties" ma:root="true" ma:fieldsID="613ec300197912e5dd627532e1197081" ns2:_="" ns3:_="">
    <xsd:import namespace="37a4200c-0ed5-4d27-bdfb-343e8c4f4810"/>
    <xsd:import namespace="de5281ab-0e43-4ae6-a18f-9b82c26df0e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ObjectDetectorVersions" minOccurs="0"/>
                <xsd:element ref="ns2:MediaServiceGenerationTime" minOccurs="0"/>
                <xsd:element ref="ns2:MediaServiceEventHashCod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a4200c-0ed5-4d27-bdfb-343e8c4f4810" elementFormDefault="qualified">
    <xsd:import namespace="http://schemas.microsoft.com/office/2006/documentManagement/types"/>
    <xsd:import namespace="http://schemas.microsoft.com/office/infopath/2007/PartnerControls"/>
    <xsd:element name="MediaServiceMetadata" ma:index="5" nillable="true" ma:displayName="MediaServiceMetadata" ma:hidden="true" ma:internalName="MediaServiceMetadata" ma:readOnly="true">
      <xsd:simpleType>
        <xsd:restriction base="dms:Note"/>
      </xsd:simpleType>
    </xsd:element>
    <xsd:element name="MediaServiceFastMetadata" ma:index="6" nillable="true" ma:displayName="MediaServiceFastMetadata" ma:hidden="true" ma:internalName="MediaServiceFastMetadata" ma:readOnly="true">
      <xsd:simpleType>
        <xsd:restriction base="dms:Note"/>
      </xsd:simpleType>
    </xsd:element>
    <xsd:element name="MediaServiceDateTaken" ma:index="7" nillable="true" ma:displayName="MediaServiceDateTaken" ma:description="" ma:hidden="true" ma:internalName="MediaServiceDateTaken" ma:readOnly="true">
      <xsd:simpleType>
        <xsd:restriction base="dms:Text"/>
      </xsd:simpleType>
    </xsd:element>
    <xsd:element name="MediaLengthInSeconds" ma:index="8" nillable="true" ma:displayName="MediaLengthInSeconds" ma:hidden="true" ma:internalName="MediaLengthInSeconds" ma:readOnly="true">
      <xsd:simpleType>
        <xsd:restriction base="dms:Unknown"/>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e5281ab-0e43-4ae6-a18f-9b82c26df0e2" elementFormDefault="qualified">
    <xsd:import namespace="http://schemas.microsoft.com/office/2006/documentManagement/types"/>
    <xsd:import namespace="http://schemas.microsoft.com/office/infopath/2007/PartnerControls"/>
    <xsd:element name="SharedWithUsers" ma:index="9"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4"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4F3B20C-C86F-4818-81D4-A3026993F5EE}">
  <ds:schemaRefs>
    <ds:schemaRef ds:uri="http://schemas.microsoft.com/sharepoint/v3/contenttype/forms"/>
  </ds:schemaRefs>
</ds:datastoreItem>
</file>

<file path=customXml/itemProps2.xml><?xml version="1.0" encoding="utf-8"?>
<ds:datastoreItem xmlns:ds="http://schemas.openxmlformats.org/officeDocument/2006/customXml" ds:itemID="{3C361220-8E2C-4980-85DC-741EDAEA5A7F}"/>
</file>

<file path=customXml/itemProps3.xml><?xml version="1.0" encoding="utf-8"?>
<ds:datastoreItem xmlns:ds="http://schemas.openxmlformats.org/officeDocument/2006/customXml" ds:itemID="{8BBE117B-FEE5-416E-9B79-384726170730}">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830</vt:i4>
      </vt:variant>
    </vt:vector>
  </HeadingPairs>
  <TitlesOfParts>
    <vt:vector size="832" baseType="lpstr">
      <vt:lpstr>Panel assessments-Latest price</vt:lpstr>
      <vt:lpstr>Panel assessments-Specific date</vt:lpstr>
      <vt:lpstr>'Panel assessments-Latest price'!__Comp</vt:lpstr>
      <vt:lpstr>__Comp</vt:lpstr>
      <vt:lpstr>'Panel assessments-Latest price'!__RptP12</vt:lpstr>
      <vt:lpstr>__RptP12</vt:lpstr>
      <vt:lpstr>'Panel assessments-Latest price'!__RptP13</vt:lpstr>
      <vt:lpstr>__RptP13</vt:lpstr>
      <vt:lpstr>'Panel assessments-Latest price'!_LATESTvarPrvWk</vt:lpstr>
      <vt:lpstr>'Panel assessments-Latest price'!_LATESTvarPrvYr</vt:lpstr>
      <vt:lpstr>'Panel assessments-Latest price'!_LATESTvarPrvYrWithMid</vt:lpstr>
      <vt:lpstr>'Panel assessments-Latest price'!_LATESTvarPrvYrWithMidPrvDate</vt:lpstr>
      <vt:lpstr>'Panel assessments-Latest price'!_LATESTvarPubDate</vt:lpstr>
      <vt:lpstr>_SPECIFICvarPrvWk</vt:lpstr>
      <vt:lpstr>_SPECIFICvarPrvYr</vt:lpstr>
      <vt:lpstr>_SPECIFICvarPrvYrWithMid</vt:lpstr>
      <vt:lpstr>_SPECIFICvarPrvYrWithMidPrvDate</vt:lpstr>
      <vt:lpstr>_SPECIFICvarPubDate</vt:lpstr>
      <vt:lpstr>'Panel assessments-Latest price'!PAAB</vt:lpstr>
      <vt:lpstr>PAAB</vt:lpstr>
      <vt:lpstr>'Panel assessments-Latest price'!PAAC</vt:lpstr>
      <vt:lpstr>PAAC</vt:lpstr>
      <vt:lpstr>'Panel assessments-Latest price'!PAAD</vt:lpstr>
      <vt:lpstr>PAAD</vt:lpstr>
      <vt:lpstr>'Panel assessments-Latest price'!PAAE</vt:lpstr>
      <vt:lpstr>PAAE</vt:lpstr>
      <vt:lpstr>'Panel assessments-Latest price'!PAAF</vt:lpstr>
      <vt:lpstr>PAAF</vt:lpstr>
      <vt:lpstr>'Panel assessments-Latest price'!PAAG</vt:lpstr>
      <vt:lpstr>PAAG</vt:lpstr>
      <vt:lpstr>'Panel assessments-Latest price'!PAAH</vt:lpstr>
      <vt:lpstr>PAAH</vt:lpstr>
      <vt:lpstr>'Panel assessments-Latest price'!PAAI</vt:lpstr>
      <vt:lpstr>PAAI</vt:lpstr>
      <vt:lpstr>'Panel assessments-Latest price'!PAAJ</vt:lpstr>
      <vt:lpstr>PAAJ</vt:lpstr>
      <vt:lpstr>'Panel assessments-Latest price'!PAAK</vt:lpstr>
      <vt:lpstr>PAAK</vt:lpstr>
      <vt:lpstr>'Panel assessments-Latest price'!PAAL</vt:lpstr>
      <vt:lpstr>PAAL</vt:lpstr>
      <vt:lpstr>'Panel assessments-Latest price'!PAAM</vt:lpstr>
      <vt:lpstr>PAAM</vt:lpstr>
      <vt:lpstr>'Panel assessments-Latest price'!PAAN</vt:lpstr>
      <vt:lpstr>PAAN</vt:lpstr>
      <vt:lpstr>'Panel assessments-Latest price'!PAAO</vt:lpstr>
      <vt:lpstr>PAAO</vt:lpstr>
      <vt:lpstr>'Panel assessments-Latest price'!PAAP</vt:lpstr>
      <vt:lpstr>PAAP</vt:lpstr>
      <vt:lpstr>'Panel assessments-Latest price'!PAAR</vt:lpstr>
      <vt:lpstr>PAAR</vt:lpstr>
      <vt:lpstr>'Panel assessments-Latest price'!PAAS</vt:lpstr>
      <vt:lpstr>PAAS</vt:lpstr>
      <vt:lpstr>'Panel assessments-Latest price'!PAAT</vt:lpstr>
      <vt:lpstr>PAAT</vt:lpstr>
      <vt:lpstr>'Panel assessments-Latest price'!PAAU</vt:lpstr>
      <vt:lpstr>PAAU</vt:lpstr>
      <vt:lpstr>'Panel assessments-Latest price'!PAAV</vt:lpstr>
      <vt:lpstr>PAAV</vt:lpstr>
      <vt:lpstr>'Panel assessments-Latest price'!PAAW</vt:lpstr>
      <vt:lpstr>PAAW</vt:lpstr>
      <vt:lpstr>'Panel assessments-Latest price'!PAAX</vt:lpstr>
      <vt:lpstr>PAAX</vt:lpstr>
      <vt:lpstr>'Panel assessments-Latest price'!PAAY</vt:lpstr>
      <vt:lpstr>PAAY</vt:lpstr>
      <vt:lpstr>'Panel assessments-Latest price'!PAAZ</vt:lpstr>
      <vt:lpstr>PAAZ</vt:lpstr>
      <vt:lpstr>'Panel assessments-Latest price'!PABA</vt:lpstr>
      <vt:lpstr>PABA</vt:lpstr>
      <vt:lpstr>'Panel assessments-Latest price'!PABB</vt:lpstr>
      <vt:lpstr>PABB</vt:lpstr>
      <vt:lpstr>'Panel assessments-Latest price'!PABC</vt:lpstr>
      <vt:lpstr>PABC</vt:lpstr>
      <vt:lpstr>'Panel assessments-Latest price'!PABD</vt:lpstr>
      <vt:lpstr>PABD</vt:lpstr>
      <vt:lpstr>'Panel assessments-Latest price'!PABE</vt:lpstr>
      <vt:lpstr>PABE</vt:lpstr>
      <vt:lpstr>'Panel assessments-Latest price'!PABG</vt:lpstr>
      <vt:lpstr>PABG</vt:lpstr>
      <vt:lpstr>'Panel assessments-Latest price'!PABH</vt:lpstr>
      <vt:lpstr>PABH</vt:lpstr>
      <vt:lpstr>'Panel assessments-Latest price'!PABI</vt:lpstr>
      <vt:lpstr>PABI</vt:lpstr>
      <vt:lpstr>'Panel assessments-Latest price'!PABJ</vt:lpstr>
      <vt:lpstr>PABJ</vt:lpstr>
      <vt:lpstr>'Panel assessments-Latest price'!PABK</vt:lpstr>
      <vt:lpstr>PABK</vt:lpstr>
      <vt:lpstr>'Panel assessments-Latest price'!PABL</vt:lpstr>
      <vt:lpstr>PABL</vt:lpstr>
      <vt:lpstr>'Panel assessments-Latest price'!PABM</vt:lpstr>
      <vt:lpstr>PABM</vt:lpstr>
      <vt:lpstr>'Panel assessments-Latest price'!PABW</vt:lpstr>
      <vt:lpstr>PABW</vt:lpstr>
      <vt:lpstr>'Panel assessments-Latest price'!PABX</vt:lpstr>
      <vt:lpstr>PABX</vt:lpstr>
      <vt:lpstr>'Panel assessments-Latest price'!PABY</vt:lpstr>
      <vt:lpstr>PABY</vt:lpstr>
      <vt:lpstr>'Panel assessments-Latest price'!PABZ</vt:lpstr>
      <vt:lpstr>PABZ</vt:lpstr>
      <vt:lpstr>'Panel assessments-Latest price'!PACA</vt:lpstr>
      <vt:lpstr>PACA</vt:lpstr>
      <vt:lpstr>'Panel assessments-Latest price'!PACB</vt:lpstr>
      <vt:lpstr>PACB</vt:lpstr>
      <vt:lpstr>'Panel assessments-Latest price'!PACC</vt:lpstr>
      <vt:lpstr>PACC</vt:lpstr>
      <vt:lpstr>'Panel assessments-Latest price'!PACD</vt:lpstr>
      <vt:lpstr>PACD</vt:lpstr>
      <vt:lpstr>'Panel assessments-Latest price'!PACL</vt:lpstr>
      <vt:lpstr>PACL</vt:lpstr>
      <vt:lpstr>'Panel assessments-Latest price'!PACM</vt:lpstr>
      <vt:lpstr>PACM</vt:lpstr>
      <vt:lpstr>'Panel assessments-Latest price'!PACN</vt:lpstr>
      <vt:lpstr>PACN</vt:lpstr>
      <vt:lpstr>'Panel assessments-Latest price'!PACO</vt:lpstr>
      <vt:lpstr>PACO</vt:lpstr>
      <vt:lpstr>'Panel assessments-Latest price'!PACP</vt:lpstr>
      <vt:lpstr>PACP</vt:lpstr>
      <vt:lpstr>'Panel assessments-Latest price'!PACR</vt:lpstr>
      <vt:lpstr>PACR</vt:lpstr>
      <vt:lpstr>'Panel assessments-Latest price'!PACS</vt:lpstr>
      <vt:lpstr>PACS</vt:lpstr>
      <vt:lpstr>'Panel assessments-Latest price'!PACT</vt:lpstr>
      <vt:lpstr>PACT</vt:lpstr>
      <vt:lpstr>'Panel assessments-Latest price'!PACU</vt:lpstr>
      <vt:lpstr>PACU</vt:lpstr>
      <vt:lpstr>'Panel assessments-Latest price'!PACV</vt:lpstr>
      <vt:lpstr>PACV</vt:lpstr>
      <vt:lpstr>'Panel assessments-Latest price'!PACW</vt:lpstr>
      <vt:lpstr>PACW</vt:lpstr>
      <vt:lpstr>'Panel assessments-Latest price'!PACX</vt:lpstr>
      <vt:lpstr>PACX</vt:lpstr>
      <vt:lpstr>'Panel assessments-Latest price'!PACY</vt:lpstr>
      <vt:lpstr>PACY</vt:lpstr>
      <vt:lpstr>'Panel assessments-Latest price'!PACZ</vt:lpstr>
      <vt:lpstr>PACZ</vt:lpstr>
      <vt:lpstr>'Panel assessments-Latest price'!PADA</vt:lpstr>
      <vt:lpstr>PADA</vt:lpstr>
      <vt:lpstr>'Panel assessments-Latest price'!PADB</vt:lpstr>
      <vt:lpstr>PADB</vt:lpstr>
      <vt:lpstr>'Panel assessments-Latest price'!PADC</vt:lpstr>
      <vt:lpstr>PADC</vt:lpstr>
      <vt:lpstr>'Panel assessments-Latest price'!PADD</vt:lpstr>
      <vt:lpstr>PADD</vt:lpstr>
      <vt:lpstr>'Panel assessments-Latest price'!PADE</vt:lpstr>
      <vt:lpstr>PADE</vt:lpstr>
      <vt:lpstr>'Panel assessments-Latest price'!PADH</vt:lpstr>
      <vt:lpstr>PADH</vt:lpstr>
      <vt:lpstr>'Panel assessments-Latest price'!PADI</vt:lpstr>
      <vt:lpstr>PADI</vt:lpstr>
      <vt:lpstr>'Panel assessments-Latest price'!PADJ</vt:lpstr>
      <vt:lpstr>PADJ</vt:lpstr>
      <vt:lpstr>'Panel assessments-Latest price'!PADK</vt:lpstr>
      <vt:lpstr>PADK</vt:lpstr>
      <vt:lpstr>'Panel assessments-Latest price'!PADL</vt:lpstr>
      <vt:lpstr>PADL</vt:lpstr>
      <vt:lpstr>'Panel assessments-Latest price'!PADM</vt:lpstr>
      <vt:lpstr>PADM</vt:lpstr>
      <vt:lpstr>'Panel assessments-Latest price'!PADN</vt:lpstr>
      <vt:lpstr>PADN</vt:lpstr>
      <vt:lpstr>'Panel assessments-Latest price'!PADO</vt:lpstr>
      <vt:lpstr>PADO</vt:lpstr>
      <vt:lpstr>'Panel assessments-Latest price'!PADP</vt:lpstr>
      <vt:lpstr>PADP</vt:lpstr>
      <vt:lpstr>'Panel assessments-Latest price'!PADR</vt:lpstr>
      <vt:lpstr>PADR</vt:lpstr>
      <vt:lpstr>'Panel assessments-Latest price'!PADS</vt:lpstr>
      <vt:lpstr>PADS</vt:lpstr>
      <vt:lpstr>'Panel assessments-Latest price'!PADT</vt:lpstr>
      <vt:lpstr>PADT</vt:lpstr>
      <vt:lpstr>'Panel assessments-Latest price'!PADU</vt:lpstr>
      <vt:lpstr>PADU</vt:lpstr>
      <vt:lpstr>'Panel assessments-Latest price'!PADV</vt:lpstr>
      <vt:lpstr>PADV</vt:lpstr>
      <vt:lpstr>'Panel assessments-Latest price'!PADW</vt:lpstr>
      <vt:lpstr>PADW</vt:lpstr>
      <vt:lpstr>'Panel assessments-Latest price'!PADX</vt:lpstr>
      <vt:lpstr>PADX</vt:lpstr>
      <vt:lpstr>'Panel assessments-Latest price'!PADY</vt:lpstr>
      <vt:lpstr>PADY</vt:lpstr>
      <vt:lpstr>'Panel assessments-Latest price'!PADZ</vt:lpstr>
      <vt:lpstr>PADZ</vt:lpstr>
      <vt:lpstr>'Panel assessments-Latest price'!PAEA</vt:lpstr>
      <vt:lpstr>PAEA</vt:lpstr>
      <vt:lpstr>'Panel assessments-Latest price'!PAEB</vt:lpstr>
      <vt:lpstr>PAEB</vt:lpstr>
      <vt:lpstr>'Panel assessments-Latest price'!PAEC</vt:lpstr>
      <vt:lpstr>PAEC</vt:lpstr>
      <vt:lpstr>'Panel assessments-Latest price'!PAED</vt:lpstr>
      <vt:lpstr>PAED</vt:lpstr>
      <vt:lpstr>'Panel assessments-Latest price'!PAEE</vt:lpstr>
      <vt:lpstr>PAEE</vt:lpstr>
      <vt:lpstr>'Panel assessments-Latest price'!PAEH</vt:lpstr>
      <vt:lpstr>PAEH</vt:lpstr>
      <vt:lpstr>'Panel assessments-Latest price'!PAEI</vt:lpstr>
      <vt:lpstr>PAEI</vt:lpstr>
      <vt:lpstr>'Panel assessments-Latest price'!PAEJ</vt:lpstr>
      <vt:lpstr>PAEJ</vt:lpstr>
      <vt:lpstr>'Panel assessments-Latest price'!PAEK</vt:lpstr>
      <vt:lpstr>PAEK</vt:lpstr>
      <vt:lpstr>'Panel assessments-Latest price'!PAEQ</vt:lpstr>
      <vt:lpstr>PAEQ</vt:lpstr>
      <vt:lpstr>'Panel assessments-Latest price'!PAER</vt:lpstr>
      <vt:lpstr>PAER</vt:lpstr>
      <vt:lpstr>'Panel assessments-Latest price'!PAES</vt:lpstr>
      <vt:lpstr>PAES</vt:lpstr>
      <vt:lpstr>'Panel assessments-Latest price'!PAET</vt:lpstr>
      <vt:lpstr>PAET</vt:lpstr>
      <vt:lpstr>'Panel assessments-Latest price'!PAEU</vt:lpstr>
      <vt:lpstr>PAEU</vt:lpstr>
      <vt:lpstr>'Panel assessments-Latest price'!PAEV</vt:lpstr>
      <vt:lpstr>PAEV</vt:lpstr>
      <vt:lpstr>'Panel assessments-Latest price'!PAEW</vt:lpstr>
      <vt:lpstr>PAEW</vt:lpstr>
      <vt:lpstr>'Panel assessments-Latest price'!PAEX</vt:lpstr>
      <vt:lpstr>PAEX</vt:lpstr>
      <vt:lpstr>'Panel assessments-Latest price'!PAEZ</vt:lpstr>
      <vt:lpstr>PAEZ</vt:lpstr>
      <vt:lpstr>'Panel assessments-Latest price'!PAFA</vt:lpstr>
      <vt:lpstr>PAFA</vt:lpstr>
      <vt:lpstr>'Panel assessments-Latest price'!PAFB</vt:lpstr>
      <vt:lpstr>PAFB</vt:lpstr>
      <vt:lpstr>'Panel assessments-Latest price'!PAFC</vt:lpstr>
      <vt:lpstr>PAFC</vt:lpstr>
      <vt:lpstr>'Panel assessments-Latest price'!PAFI</vt:lpstr>
      <vt:lpstr>PAFI</vt:lpstr>
      <vt:lpstr>'Panel assessments-Latest price'!PAFJ</vt:lpstr>
      <vt:lpstr>PAFJ</vt:lpstr>
      <vt:lpstr>'Panel assessments-Latest price'!PAFK</vt:lpstr>
      <vt:lpstr>PAFK</vt:lpstr>
      <vt:lpstr>'Panel assessments-Latest price'!PAFO</vt:lpstr>
      <vt:lpstr>PAFO</vt:lpstr>
      <vt:lpstr>'Panel assessments-Latest price'!PAFP</vt:lpstr>
      <vt:lpstr>PAFP</vt:lpstr>
      <vt:lpstr>'Panel assessments-Latest price'!PAFQ</vt:lpstr>
      <vt:lpstr>PAFQ</vt:lpstr>
      <vt:lpstr>'Panel assessments-Latest price'!PAFR</vt:lpstr>
      <vt:lpstr>PAFR</vt:lpstr>
      <vt:lpstr>'Panel assessments-Latest price'!PAFS</vt:lpstr>
      <vt:lpstr>PAFS</vt:lpstr>
      <vt:lpstr>'Panel assessments-Latest price'!PAFT</vt:lpstr>
      <vt:lpstr>PAFT</vt:lpstr>
      <vt:lpstr>'Panel assessments-Latest price'!PAFV</vt:lpstr>
      <vt:lpstr>PAFV</vt:lpstr>
      <vt:lpstr>'Panel assessments-Latest price'!PAFX</vt:lpstr>
      <vt:lpstr>PAFX</vt:lpstr>
      <vt:lpstr>'Panel assessments-Latest price'!PAFY</vt:lpstr>
      <vt:lpstr>PAFY</vt:lpstr>
      <vt:lpstr>'Panel assessments-Latest price'!PAFZ</vt:lpstr>
      <vt:lpstr>PAFZ</vt:lpstr>
      <vt:lpstr>'Panel assessments-Latest price'!PAGF</vt:lpstr>
      <vt:lpstr>PAGF</vt:lpstr>
      <vt:lpstr>'Panel assessments-Latest price'!PAGG</vt:lpstr>
      <vt:lpstr>PAGG</vt:lpstr>
      <vt:lpstr>'Panel assessments-Latest price'!PAGH</vt:lpstr>
      <vt:lpstr>PAGH</vt:lpstr>
      <vt:lpstr>'Panel assessments-Latest price'!PAGP</vt:lpstr>
      <vt:lpstr>PAGP</vt:lpstr>
      <vt:lpstr>'Panel assessments-Latest price'!PAGQ</vt:lpstr>
      <vt:lpstr>PAGQ</vt:lpstr>
      <vt:lpstr>'Panel assessments-Latest price'!PAGR</vt:lpstr>
      <vt:lpstr>PAGR</vt:lpstr>
      <vt:lpstr>'Panel assessments-Latest price'!PAGS</vt:lpstr>
      <vt:lpstr>PAGS</vt:lpstr>
      <vt:lpstr>'Panel assessments-Latest price'!PAGT</vt:lpstr>
      <vt:lpstr>PAGT</vt:lpstr>
      <vt:lpstr>'Panel assessments-Latest price'!PAGU</vt:lpstr>
      <vt:lpstr>PAGU</vt:lpstr>
      <vt:lpstr>'Panel assessments-Latest price'!PAGV</vt:lpstr>
      <vt:lpstr>PAGV</vt:lpstr>
      <vt:lpstr>'Panel assessments-Latest price'!PAGW</vt:lpstr>
      <vt:lpstr>PAGW</vt:lpstr>
      <vt:lpstr>'Panel assessments-Latest price'!PAGX</vt:lpstr>
      <vt:lpstr>PAGX</vt:lpstr>
      <vt:lpstr>'Panel assessments-Latest price'!PAGY</vt:lpstr>
      <vt:lpstr>PAGY</vt:lpstr>
      <vt:lpstr>'Panel assessments-Latest price'!PAGZ</vt:lpstr>
      <vt:lpstr>PAGZ</vt:lpstr>
      <vt:lpstr>'Panel assessments-Latest price'!PAHA</vt:lpstr>
      <vt:lpstr>PAHA</vt:lpstr>
      <vt:lpstr>'Panel assessments-Latest price'!PAHB</vt:lpstr>
      <vt:lpstr>PAHB</vt:lpstr>
      <vt:lpstr>'Panel assessments-Latest price'!PAHC</vt:lpstr>
      <vt:lpstr>PAHC</vt:lpstr>
      <vt:lpstr>'Panel assessments-Latest price'!PAHD</vt:lpstr>
      <vt:lpstr>PAHD</vt:lpstr>
      <vt:lpstr>'Panel assessments-Latest price'!PAHE</vt:lpstr>
      <vt:lpstr>PAHE</vt:lpstr>
      <vt:lpstr>'Panel assessments-Latest price'!PAHF</vt:lpstr>
      <vt:lpstr>PAHF</vt:lpstr>
      <vt:lpstr>'Panel assessments-Latest price'!PAHI</vt:lpstr>
      <vt:lpstr>PAHI</vt:lpstr>
      <vt:lpstr>'Panel assessments-Latest price'!PAHJ</vt:lpstr>
      <vt:lpstr>PAHJ</vt:lpstr>
      <vt:lpstr>'Panel assessments-Latest price'!PAHK</vt:lpstr>
      <vt:lpstr>PAHK</vt:lpstr>
      <vt:lpstr>'Panel assessments-Latest price'!PAHL</vt:lpstr>
      <vt:lpstr>PAHL</vt:lpstr>
      <vt:lpstr>'Panel assessments-Latest price'!PAHM</vt:lpstr>
      <vt:lpstr>PAHM</vt:lpstr>
      <vt:lpstr>'Panel assessments-Latest price'!PAHN</vt:lpstr>
      <vt:lpstr>PAHN</vt:lpstr>
      <vt:lpstr>'Panel assessments-Latest price'!PAHO</vt:lpstr>
      <vt:lpstr>PAHO</vt:lpstr>
      <vt:lpstr>'Panel assessments-Latest price'!PAHP</vt:lpstr>
      <vt:lpstr>PAHP</vt:lpstr>
      <vt:lpstr>'Panel assessments-Latest price'!PAHQ</vt:lpstr>
      <vt:lpstr>PAHQ</vt:lpstr>
      <vt:lpstr>'Panel assessments-Latest price'!PAHR</vt:lpstr>
      <vt:lpstr>PAHR</vt:lpstr>
      <vt:lpstr>'Panel assessments-Latest price'!PAHS</vt:lpstr>
      <vt:lpstr>PAHS</vt:lpstr>
      <vt:lpstr>'Panel assessments-Latest price'!PAHT</vt:lpstr>
      <vt:lpstr>PAHT</vt:lpstr>
      <vt:lpstr>'Panel assessments-Latest price'!PAHU</vt:lpstr>
      <vt:lpstr>PAHU</vt:lpstr>
      <vt:lpstr>'Panel assessments-Latest price'!PAHV</vt:lpstr>
      <vt:lpstr>PAHV</vt:lpstr>
      <vt:lpstr>'Panel assessments-Latest price'!PAHW</vt:lpstr>
      <vt:lpstr>PAHW</vt:lpstr>
      <vt:lpstr>'Panel assessments-Latest price'!PAHX</vt:lpstr>
      <vt:lpstr>PAHX</vt:lpstr>
      <vt:lpstr>'Panel assessments-Latest price'!PAHY</vt:lpstr>
      <vt:lpstr>PAHY</vt:lpstr>
      <vt:lpstr>'Panel assessments-Latest price'!PAHZ</vt:lpstr>
      <vt:lpstr>PAHZ</vt:lpstr>
      <vt:lpstr>'Panel assessments-Latest price'!PAIC</vt:lpstr>
      <vt:lpstr>PAIC</vt:lpstr>
      <vt:lpstr>'Panel assessments-Latest price'!PAID</vt:lpstr>
      <vt:lpstr>PAID</vt:lpstr>
      <vt:lpstr>'Panel assessments-Latest price'!PAIE</vt:lpstr>
      <vt:lpstr>PAIE</vt:lpstr>
      <vt:lpstr>'Panel assessments-Latest price'!PAIF</vt:lpstr>
      <vt:lpstr>PAIF</vt:lpstr>
      <vt:lpstr>'Panel assessments-Latest price'!PAIG</vt:lpstr>
      <vt:lpstr>PAIG</vt:lpstr>
      <vt:lpstr>'Panel assessments-Latest price'!PAIH</vt:lpstr>
      <vt:lpstr>PAIH</vt:lpstr>
      <vt:lpstr>'Panel assessments-Latest price'!PAII</vt:lpstr>
      <vt:lpstr>PAII</vt:lpstr>
      <vt:lpstr>'Panel assessments-Latest price'!PAIJ</vt:lpstr>
      <vt:lpstr>PAIJ</vt:lpstr>
      <vt:lpstr>'Panel assessments-Latest price'!PAIK</vt:lpstr>
      <vt:lpstr>PAIK</vt:lpstr>
      <vt:lpstr>'Panel assessments-Latest price'!PAIL</vt:lpstr>
      <vt:lpstr>PAIL</vt:lpstr>
      <vt:lpstr>'Panel assessments-Latest price'!PAIM</vt:lpstr>
      <vt:lpstr>PAIM</vt:lpstr>
      <vt:lpstr>'Panel assessments-Latest price'!PAIN</vt:lpstr>
      <vt:lpstr>PAIN</vt:lpstr>
      <vt:lpstr>'Panel assessments-Latest price'!PAIO</vt:lpstr>
      <vt:lpstr>PAIO</vt:lpstr>
      <vt:lpstr>'Panel assessments-Latest price'!PAIP</vt:lpstr>
      <vt:lpstr>PAIP</vt:lpstr>
      <vt:lpstr>'Panel assessments-Latest price'!PAIQ</vt:lpstr>
      <vt:lpstr>PAIQ</vt:lpstr>
      <vt:lpstr>'Panel assessments-Latest price'!PAIR</vt:lpstr>
      <vt:lpstr>PAIR</vt:lpstr>
      <vt:lpstr>'Panel assessments-Latest price'!PAIW</vt:lpstr>
      <vt:lpstr>PAIW</vt:lpstr>
      <vt:lpstr>'Panel assessments-Latest price'!PAIX</vt:lpstr>
      <vt:lpstr>PAIX</vt:lpstr>
      <vt:lpstr>'Panel assessments-Latest price'!PAIY</vt:lpstr>
      <vt:lpstr>PAIY</vt:lpstr>
      <vt:lpstr>'Panel assessments-Latest price'!PAIZ</vt:lpstr>
      <vt:lpstr>PAIZ</vt:lpstr>
      <vt:lpstr>'Panel assessments-Latest price'!PAJA</vt:lpstr>
      <vt:lpstr>PAJA</vt:lpstr>
      <vt:lpstr>'Panel assessments-Latest price'!PAJB</vt:lpstr>
      <vt:lpstr>PAJB</vt:lpstr>
      <vt:lpstr>'Panel assessments-Latest price'!PAJC</vt:lpstr>
      <vt:lpstr>PAJC</vt:lpstr>
      <vt:lpstr>'Panel assessments-Latest price'!PAJD</vt:lpstr>
      <vt:lpstr>PAJD</vt:lpstr>
      <vt:lpstr>'Panel assessments-Latest price'!PAJE</vt:lpstr>
      <vt:lpstr>PAJE</vt:lpstr>
      <vt:lpstr>'Panel assessments-Latest price'!PAJF</vt:lpstr>
      <vt:lpstr>PAJF</vt:lpstr>
      <vt:lpstr>'Panel assessments-Latest price'!PAJG</vt:lpstr>
      <vt:lpstr>PAJG</vt:lpstr>
      <vt:lpstr>'Panel assessments-Latest price'!PAJH</vt:lpstr>
      <vt:lpstr>PAJH</vt:lpstr>
      <vt:lpstr>'Panel assessments-Latest price'!PAJI</vt:lpstr>
      <vt:lpstr>PAJI</vt:lpstr>
      <vt:lpstr>'Panel assessments-Latest price'!PAJJ</vt:lpstr>
      <vt:lpstr>PAJJ</vt:lpstr>
      <vt:lpstr>'Panel assessments-Latest price'!PAJK</vt:lpstr>
      <vt:lpstr>PAJK</vt:lpstr>
      <vt:lpstr>'Panel assessments-Latest price'!PAJP</vt:lpstr>
      <vt:lpstr>PAJP</vt:lpstr>
      <vt:lpstr>'Panel assessments-Latest price'!PAJQ</vt:lpstr>
      <vt:lpstr>PAJQ</vt:lpstr>
      <vt:lpstr>'Panel assessments-Latest price'!PAJR</vt:lpstr>
      <vt:lpstr>PAJR</vt:lpstr>
      <vt:lpstr>'Panel assessments-Latest price'!PAJS</vt:lpstr>
      <vt:lpstr>PAJS</vt:lpstr>
      <vt:lpstr>'Panel assessments-Latest price'!PAJT</vt:lpstr>
      <vt:lpstr>PAJT</vt:lpstr>
      <vt:lpstr>'Panel assessments-Latest price'!PAJU</vt:lpstr>
      <vt:lpstr>PAJU</vt:lpstr>
      <vt:lpstr>'Panel assessments-Latest price'!PAJV</vt:lpstr>
      <vt:lpstr>PAJV</vt:lpstr>
      <vt:lpstr>'Panel assessments-Latest price'!PAJW</vt:lpstr>
      <vt:lpstr>PAJW</vt:lpstr>
      <vt:lpstr>'Panel assessments-Latest price'!PAJX</vt:lpstr>
      <vt:lpstr>PAJX</vt:lpstr>
      <vt:lpstr>'Panel assessments-Latest price'!PAJZ</vt:lpstr>
      <vt:lpstr>PAJZ</vt:lpstr>
      <vt:lpstr>'Panel assessments-Latest price'!PAKA</vt:lpstr>
      <vt:lpstr>PAKA</vt:lpstr>
      <vt:lpstr>'Panel assessments-Latest price'!PAKB</vt:lpstr>
      <vt:lpstr>PAKB</vt:lpstr>
      <vt:lpstr>'Panel assessments-Latest price'!PAKC</vt:lpstr>
      <vt:lpstr>PAKC</vt:lpstr>
      <vt:lpstr>'Panel assessments-Latest price'!PAKD</vt:lpstr>
      <vt:lpstr>PAKD</vt:lpstr>
      <vt:lpstr>'Panel assessments-Latest price'!PAKE</vt:lpstr>
      <vt:lpstr>PAKE</vt:lpstr>
      <vt:lpstr>'Panel assessments-Latest price'!PAKF</vt:lpstr>
      <vt:lpstr>PAKF</vt:lpstr>
      <vt:lpstr>'Panel assessments-Latest price'!PAKG</vt:lpstr>
      <vt:lpstr>PAKG</vt:lpstr>
      <vt:lpstr>'Panel assessments-Latest price'!PAKH</vt:lpstr>
      <vt:lpstr>PAKH</vt:lpstr>
      <vt:lpstr>'Panel assessments-Latest price'!PAKK</vt:lpstr>
      <vt:lpstr>PAKK</vt:lpstr>
      <vt:lpstr>'Panel assessments-Latest price'!PAKL</vt:lpstr>
      <vt:lpstr>PAKL</vt:lpstr>
      <vt:lpstr>'Panel assessments-Latest price'!PAKN</vt:lpstr>
      <vt:lpstr>PAKN</vt:lpstr>
      <vt:lpstr>'Panel assessments-Latest price'!PAKO</vt:lpstr>
      <vt:lpstr>PAKO</vt:lpstr>
      <vt:lpstr>'Panel assessments-Latest price'!PAKP</vt:lpstr>
      <vt:lpstr>PAKP</vt:lpstr>
      <vt:lpstr>'Panel assessments-Latest price'!PAKQ</vt:lpstr>
      <vt:lpstr>PAKQ</vt:lpstr>
      <vt:lpstr>'Panel assessments-Latest price'!PAKT</vt:lpstr>
      <vt:lpstr>PAKT</vt:lpstr>
      <vt:lpstr>'Panel assessments-Latest price'!PAKU</vt:lpstr>
      <vt:lpstr>PAKU</vt:lpstr>
      <vt:lpstr>'Panel assessments-Latest price'!PAKV</vt:lpstr>
      <vt:lpstr>PAKV</vt:lpstr>
      <vt:lpstr>'Panel assessments-Latest price'!PAKW</vt:lpstr>
      <vt:lpstr>PAKW</vt:lpstr>
      <vt:lpstr>'Panel assessments-Latest price'!PAKX</vt:lpstr>
      <vt:lpstr>PAKX</vt:lpstr>
      <vt:lpstr>'Panel assessments-Latest price'!PAKY</vt:lpstr>
      <vt:lpstr>PAKY</vt:lpstr>
      <vt:lpstr>'Panel assessments-Latest price'!PALA</vt:lpstr>
      <vt:lpstr>PALA</vt:lpstr>
      <vt:lpstr>'Panel assessments-Latest price'!PALB</vt:lpstr>
      <vt:lpstr>PALB</vt:lpstr>
      <vt:lpstr>'Panel assessments-Latest price'!PALC</vt:lpstr>
      <vt:lpstr>PALC</vt:lpstr>
      <vt:lpstr>'Panel assessments-Latest price'!PALD</vt:lpstr>
      <vt:lpstr>PALD</vt:lpstr>
      <vt:lpstr>'Panel assessments-Latest price'!PALE</vt:lpstr>
      <vt:lpstr>PALE</vt:lpstr>
      <vt:lpstr>'Panel assessments-Latest price'!PALF</vt:lpstr>
      <vt:lpstr>PALF</vt:lpstr>
      <vt:lpstr>'Panel assessments-Latest price'!PALH</vt:lpstr>
      <vt:lpstr>PALH</vt:lpstr>
      <vt:lpstr>'Panel assessments-Latest price'!PALI</vt:lpstr>
      <vt:lpstr>PALI</vt:lpstr>
      <vt:lpstr>'Panel assessments-Latest price'!PALJ</vt:lpstr>
      <vt:lpstr>PALJ</vt:lpstr>
      <vt:lpstr>'Panel assessments-Latest price'!PALK</vt:lpstr>
      <vt:lpstr>PALK</vt:lpstr>
      <vt:lpstr>'Panel assessments-Latest price'!PALL</vt:lpstr>
      <vt:lpstr>PALL</vt:lpstr>
      <vt:lpstr>'Panel assessments-Latest price'!PALM</vt:lpstr>
      <vt:lpstr>PALM</vt:lpstr>
      <vt:lpstr>'Panel assessments-Latest price'!PALN</vt:lpstr>
      <vt:lpstr>PALN</vt:lpstr>
      <vt:lpstr>'Panel assessments-Latest price'!PALO</vt:lpstr>
      <vt:lpstr>PALO</vt:lpstr>
      <vt:lpstr>'Panel assessments-Latest price'!PALP</vt:lpstr>
      <vt:lpstr>PALP</vt:lpstr>
      <vt:lpstr>'Panel assessments-Latest price'!PALQ</vt:lpstr>
      <vt:lpstr>PALQ</vt:lpstr>
      <vt:lpstr>'Panel assessments-Latest price'!PALS</vt:lpstr>
      <vt:lpstr>PALS</vt:lpstr>
      <vt:lpstr>'Panel assessments-Latest price'!PALT</vt:lpstr>
      <vt:lpstr>PALT</vt:lpstr>
      <vt:lpstr>'Panel assessments-Latest price'!PALV</vt:lpstr>
      <vt:lpstr>PALV</vt:lpstr>
      <vt:lpstr>'Panel assessments-Latest price'!PALW</vt:lpstr>
      <vt:lpstr>PALW</vt:lpstr>
      <vt:lpstr>'Panel assessments-Latest price'!PALX</vt:lpstr>
      <vt:lpstr>PALX</vt:lpstr>
      <vt:lpstr>'Panel assessments-Latest price'!PALY</vt:lpstr>
      <vt:lpstr>PALY</vt:lpstr>
      <vt:lpstr>'Panel assessments-Latest price'!PALZ</vt:lpstr>
      <vt:lpstr>PALZ</vt:lpstr>
      <vt:lpstr>'Panel assessments-Latest price'!PAMA</vt:lpstr>
      <vt:lpstr>PAMA</vt:lpstr>
      <vt:lpstr>'Panel assessments-Latest price'!PAMB</vt:lpstr>
      <vt:lpstr>PAMB</vt:lpstr>
      <vt:lpstr>'Panel assessments-Latest price'!PAMC</vt:lpstr>
      <vt:lpstr>PAMC</vt:lpstr>
      <vt:lpstr>'Panel assessments-Latest price'!PAMD</vt:lpstr>
      <vt:lpstr>PAMD</vt:lpstr>
      <vt:lpstr>'Panel assessments-Latest price'!PAME</vt:lpstr>
      <vt:lpstr>PAME</vt:lpstr>
      <vt:lpstr>'Panel assessments-Latest price'!PAMF</vt:lpstr>
      <vt:lpstr>PAMF</vt:lpstr>
      <vt:lpstr>'Panel assessments-Latest price'!PAMG</vt:lpstr>
      <vt:lpstr>PAMG</vt:lpstr>
      <vt:lpstr>'Panel assessments-Latest price'!PAMH</vt:lpstr>
      <vt:lpstr>PAMH</vt:lpstr>
      <vt:lpstr>'Panel assessments-Latest price'!PAMI</vt:lpstr>
      <vt:lpstr>PAMI</vt:lpstr>
      <vt:lpstr>'Panel assessments-Latest price'!PAMJ</vt:lpstr>
      <vt:lpstr>PAMJ</vt:lpstr>
      <vt:lpstr>'Panel assessments-Latest price'!PAMK</vt:lpstr>
      <vt:lpstr>PAMK</vt:lpstr>
      <vt:lpstr>'Panel assessments-Latest price'!PAML</vt:lpstr>
      <vt:lpstr>PAML</vt:lpstr>
      <vt:lpstr>'Panel assessments-Latest price'!PAMM</vt:lpstr>
      <vt:lpstr>PAMM</vt:lpstr>
      <vt:lpstr>'Panel assessments-Latest price'!PAMN</vt:lpstr>
      <vt:lpstr>PAMN</vt:lpstr>
      <vt:lpstr>'Panel assessments-Latest price'!PAMP</vt:lpstr>
      <vt:lpstr>PAMP</vt:lpstr>
      <vt:lpstr>'Panel assessments-Latest price'!PAMQ</vt:lpstr>
      <vt:lpstr>PAMQ</vt:lpstr>
      <vt:lpstr>'Panel assessments-Latest price'!PAMR</vt:lpstr>
      <vt:lpstr>PAMR</vt:lpstr>
      <vt:lpstr>'Panel assessments-Latest price'!PAMS</vt:lpstr>
      <vt:lpstr>PAMS</vt:lpstr>
      <vt:lpstr>'Panel assessments-Latest price'!PAMT</vt:lpstr>
      <vt:lpstr>PAMT</vt:lpstr>
      <vt:lpstr>'Panel assessments-Latest price'!PAMU</vt:lpstr>
      <vt:lpstr>PAMU</vt:lpstr>
      <vt:lpstr>'Panel assessments-Latest price'!PAMV</vt:lpstr>
      <vt:lpstr>PAMV</vt:lpstr>
      <vt:lpstr>'Panel assessments-Latest price'!PAMW</vt:lpstr>
      <vt:lpstr>PAMW</vt:lpstr>
      <vt:lpstr>'Panel assessments-Latest price'!PAMX</vt:lpstr>
      <vt:lpstr>PAMX</vt:lpstr>
      <vt:lpstr>'Panel assessments-Latest price'!PAMY</vt:lpstr>
      <vt:lpstr>PAMY</vt:lpstr>
      <vt:lpstr>'Panel assessments-Latest price'!PAND</vt:lpstr>
      <vt:lpstr>PAND</vt:lpstr>
      <vt:lpstr>'Panel assessments-Latest price'!PANE</vt:lpstr>
      <vt:lpstr>PANE</vt:lpstr>
      <vt:lpstr>'Panel assessments-Latest price'!PANF</vt:lpstr>
      <vt:lpstr>PANF</vt:lpstr>
      <vt:lpstr>'Panel assessments-Latest price'!PANG</vt:lpstr>
      <vt:lpstr>PANG</vt:lpstr>
      <vt:lpstr>'Panel assessments-Latest price'!PANH</vt:lpstr>
      <vt:lpstr>PANH</vt:lpstr>
      <vt:lpstr>'Panel assessments-Latest price'!PANI</vt:lpstr>
      <vt:lpstr>PANI</vt:lpstr>
      <vt:lpstr>'Panel assessments-Latest price'!PANJ</vt:lpstr>
      <vt:lpstr>PANJ</vt:lpstr>
      <vt:lpstr>'Panel assessments-Latest price'!PANK</vt:lpstr>
      <vt:lpstr>PANK</vt:lpstr>
      <vt:lpstr>'Panel assessments-Latest price'!PANL</vt:lpstr>
      <vt:lpstr>PANL</vt:lpstr>
      <vt:lpstr>'Panel assessments-Latest price'!PANM</vt:lpstr>
      <vt:lpstr>PANM</vt:lpstr>
      <vt:lpstr>'Panel assessments-Latest price'!PANN</vt:lpstr>
      <vt:lpstr>PANN</vt:lpstr>
      <vt:lpstr>'Panel assessments-Latest price'!PANR</vt:lpstr>
      <vt:lpstr>PANR</vt:lpstr>
      <vt:lpstr>'Panel assessments-Latest price'!PANS</vt:lpstr>
      <vt:lpstr>PANS</vt:lpstr>
      <vt:lpstr>'Panel assessments-Latest price'!PANT</vt:lpstr>
      <vt:lpstr>PANT</vt:lpstr>
      <vt:lpstr>'Panel assessments-Latest price'!PANU</vt:lpstr>
      <vt:lpstr>PANU</vt:lpstr>
      <vt:lpstr>'Panel assessments-Latest price'!PANV</vt:lpstr>
      <vt:lpstr>PANV</vt:lpstr>
      <vt:lpstr>'Panel assessments-Latest price'!PANW</vt:lpstr>
      <vt:lpstr>PANW</vt:lpstr>
      <vt:lpstr>'Panel assessments-Latest price'!PANX</vt:lpstr>
      <vt:lpstr>PANX</vt:lpstr>
      <vt:lpstr>'Panel assessments-Latest price'!PANY</vt:lpstr>
      <vt:lpstr>PANY</vt:lpstr>
      <vt:lpstr>'Panel assessments-Latest price'!PANZ</vt:lpstr>
      <vt:lpstr>PANZ</vt:lpstr>
      <vt:lpstr>'Panel assessments-Latest price'!PAOA</vt:lpstr>
      <vt:lpstr>PAOA</vt:lpstr>
      <vt:lpstr>'Panel assessments-Latest price'!PAOB</vt:lpstr>
      <vt:lpstr>PAOB</vt:lpstr>
      <vt:lpstr>'Panel assessments-Latest price'!PAOC</vt:lpstr>
      <vt:lpstr>PAOC</vt:lpstr>
      <vt:lpstr>'Panel assessments-Latest price'!PAOD</vt:lpstr>
      <vt:lpstr>PAOD</vt:lpstr>
      <vt:lpstr>'Panel assessments-Latest price'!PAOE</vt:lpstr>
      <vt:lpstr>PAOE</vt:lpstr>
      <vt:lpstr>'Panel assessments-Latest price'!PAOF</vt:lpstr>
      <vt:lpstr>PAOF</vt:lpstr>
      <vt:lpstr>'Panel assessments-Latest price'!PAOG</vt:lpstr>
      <vt:lpstr>PAOG</vt:lpstr>
      <vt:lpstr>'Panel assessments-Latest price'!PAOH</vt:lpstr>
      <vt:lpstr>PAOH</vt:lpstr>
      <vt:lpstr>'Panel assessments-Latest price'!PAOI</vt:lpstr>
      <vt:lpstr>PAOI</vt:lpstr>
      <vt:lpstr>'Panel assessments-Latest price'!PAOJ</vt:lpstr>
      <vt:lpstr>PAOJ</vt:lpstr>
      <vt:lpstr>'Panel assessments-Latest price'!PAOK</vt:lpstr>
      <vt:lpstr>PAOK</vt:lpstr>
      <vt:lpstr>'Panel assessments-Latest price'!PAOL</vt:lpstr>
      <vt:lpstr>PAOL</vt:lpstr>
      <vt:lpstr>'Panel assessments-Latest price'!PAOM</vt:lpstr>
      <vt:lpstr>PAOM</vt:lpstr>
      <vt:lpstr>'Panel assessments-Latest price'!PAON</vt:lpstr>
      <vt:lpstr>PAON</vt:lpstr>
      <vt:lpstr>'Panel assessments-Latest price'!PAOO</vt:lpstr>
      <vt:lpstr>PAOO</vt:lpstr>
      <vt:lpstr>'Panel assessments-Latest price'!PAOP</vt:lpstr>
      <vt:lpstr>PAOP</vt:lpstr>
      <vt:lpstr>'Panel assessments-Latest price'!PAOQ</vt:lpstr>
      <vt:lpstr>PAOQ</vt:lpstr>
      <vt:lpstr>'Panel assessments-Latest price'!PAOR</vt:lpstr>
      <vt:lpstr>PAOR</vt:lpstr>
      <vt:lpstr>'Panel assessments-Latest price'!PAOS</vt:lpstr>
      <vt:lpstr>PAOS</vt:lpstr>
      <vt:lpstr>'Panel assessments-Latest price'!PAOT</vt:lpstr>
      <vt:lpstr>PAOT</vt:lpstr>
      <vt:lpstr>'Panel assessments-Latest price'!PAOU</vt:lpstr>
      <vt:lpstr>PAOU</vt:lpstr>
      <vt:lpstr>'Panel assessments-Latest price'!PAOV</vt:lpstr>
      <vt:lpstr>PAOV</vt:lpstr>
      <vt:lpstr>'Panel assessments-Latest price'!PAOW</vt:lpstr>
      <vt:lpstr>PAOW</vt:lpstr>
      <vt:lpstr>'Panel assessments-Latest price'!PAOX</vt:lpstr>
      <vt:lpstr>PAOX</vt:lpstr>
      <vt:lpstr>'Panel assessments-Latest price'!PAOY</vt:lpstr>
      <vt:lpstr>PAOY</vt:lpstr>
      <vt:lpstr>'Panel assessments-Latest price'!PAOZ</vt:lpstr>
      <vt:lpstr>PAOZ</vt:lpstr>
      <vt:lpstr>'Panel assessments-Latest price'!PAPA</vt:lpstr>
      <vt:lpstr>PAPA</vt:lpstr>
      <vt:lpstr>'Panel assessments-Latest price'!PAPB</vt:lpstr>
      <vt:lpstr>PAPB</vt:lpstr>
      <vt:lpstr>'Panel assessments-Latest price'!PAPC</vt:lpstr>
      <vt:lpstr>PAPC</vt:lpstr>
      <vt:lpstr>'Panel assessments-Latest price'!PAPD</vt:lpstr>
      <vt:lpstr>PAPD</vt:lpstr>
      <vt:lpstr>'Panel assessments-Latest price'!PAPE</vt:lpstr>
      <vt:lpstr>PAPE</vt:lpstr>
      <vt:lpstr>'Panel assessments-Latest price'!PAPF</vt:lpstr>
      <vt:lpstr>PAPF</vt:lpstr>
      <vt:lpstr>'Panel assessments-Latest price'!PAPG</vt:lpstr>
      <vt:lpstr>PAPG</vt:lpstr>
      <vt:lpstr>'Panel assessments-Latest price'!PAPH</vt:lpstr>
      <vt:lpstr>PAPH</vt:lpstr>
      <vt:lpstr>'Panel assessments-Latest price'!PAPI</vt:lpstr>
      <vt:lpstr>PAPI</vt:lpstr>
      <vt:lpstr>'Panel assessments-Latest price'!PAPJ</vt:lpstr>
      <vt:lpstr>PAPJ</vt:lpstr>
      <vt:lpstr>'Panel assessments-Latest price'!PAPK</vt:lpstr>
      <vt:lpstr>PAPK</vt:lpstr>
      <vt:lpstr>'Panel assessments-Latest price'!PAPL</vt:lpstr>
      <vt:lpstr>PAPL</vt:lpstr>
      <vt:lpstr>'Panel assessments-Latest price'!PAPM</vt:lpstr>
      <vt:lpstr>PAPM</vt:lpstr>
      <vt:lpstr>'Panel assessments-Latest price'!PAPN</vt:lpstr>
      <vt:lpstr>PAPN</vt:lpstr>
      <vt:lpstr>'Panel assessments-Latest price'!PAPO</vt:lpstr>
      <vt:lpstr>PAPO</vt:lpstr>
      <vt:lpstr>'Panel assessments-Latest price'!PAPP</vt:lpstr>
      <vt:lpstr>PAPP</vt:lpstr>
      <vt:lpstr>'Panel assessments-Latest price'!PAPQ</vt:lpstr>
      <vt:lpstr>PAPQ</vt:lpstr>
      <vt:lpstr>'Panel assessments-Latest price'!PAPR</vt:lpstr>
      <vt:lpstr>PAPR</vt:lpstr>
      <vt:lpstr>'Panel assessments-Latest price'!PAPS</vt:lpstr>
      <vt:lpstr>PAPS</vt:lpstr>
      <vt:lpstr>'Panel assessments-Latest price'!PAPT</vt:lpstr>
      <vt:lpstr>PAPT</vt:lpstr>
      <vt:lpstr>'Panel assessments-Latest price'!PAPU</vt:lpstr>
      <vt:lpstr>PAPU</vt:lpstr>
      <vt:lpstr>'Panel assessments-Latest price'!PAPV</vt:lpstr>
      <vt:lpstr>PAPV</vt:lpstr>
      <vt:lpstr>'Panel assessments-Latest price'!PAPW</vt:lpstr>
      <vt:lpstr>PAPW</vt:lpstr>
      <vt:lpstr>'Panel assessments-Latest price'!PAPX</vt:lpstr>
      <vt:lpstr>PAPX</vt:lpstr>
      <vt:lpstr>'Panel assessments-Latest price'!PAPY</vt:lpstr>
      <vt:lpstr>PAPY</vt:lpstr>
      <vt:lpstr>'Panel assessments-Latest price'!PAPZ</vt:lpstr>
      <vt:lpstr>PAPZ</vt:lpstr>
      <vt:lpstr>'Panel assessments-Latest price'!PAQA</vt:lpstr>
      <vt:lpstr>PAQA</vt:lpstr>
      <vt:lpstr>'Panel assessments-Latest price'!PAQB</vt:lpstr>
      <vt:lpstr>PAQB</vt:lpstr>
      <vt:lpstr>'Panel assessments-Latest price'!PAQC</vt:lpstr>
      <vt:lpstr>PAQC</vt:lpstr>
      <vt:lpstr>'Panel assessments-Latest price'!PAQD</vt:lpstr>
      <vt:lpstr>PAQD</vt:lpstr>
      <vt:lpstr>'Panel assessments-Latest price'!PAQE</vt:lpstr>
      <vt:lpstr>PAQE</vt:lpstr>
      <vt:lpstr>'Panel assessments-Latest price'!PAQF</vt:lpstr>
      <vt:lpstr>PAQF</vt:lpstr>
      <vt:lpstr>'Panel assessments-Latest price'!PAQG</vt:lpstr>
      <vt:lpstr>PAQG</vt:lpstr>
      <vt:lpstr>'Panel assessments-Latest price'!PAQH</vt:lpstr>
      <vt:lpstr>PAQH</vt:lpstr>
      <vt:lpstr>'Panel assessments-Latest price'!PAQI</vt:lpstr>
      <vt:lpstr>PAQI</vt:lpstr>
      <vt:lpstr>'Panel assessments-Latest price'!PAQJ</vt:lpstr>
      <vt:lpstr>PAQJ</vt:lpstr>
      <vt:lpstr>'Panel assessments-Latest price'!PAQK</vt:lpstr>
      <vt:lpstr>PAQK</vt:lpstr>
      <vt:lpstr>'Panel assessments-Latest price'!PAQL</vt:lpstr>
      <vt:lpstr>PAQL</vt:lpstr>
      <vt:lpstr>'Panel assessments-Latest price'!PAQM</vt:lpstr>
      <vt:lpstr>PAQM</vt:lpstr>
      <vt:lpstr>'Panel assessments-Latest price'!PAQN</vt:lpstr>
      <vt:lpstr>PAQN</vt:lpstr>
      <vt:lpstr>'Panel assessments-Latest price'!PAQO</vt:lpstr>
      <vt:lpstr>PAQO</vt:lpstr>
      <vt:lpstr>'Panel assessments-Latest price'!PAQP</vt:lpstr>
      <vt:lpstr>PAQP</vt:lpstr>
      <vt:lpstr>'Panel assessments-Latest price'!PAQQ</vt:lpstr>
      <vt:lpstr>PAQQ</vt:lpstr>
      <vt:lpstr>'Panel assessments-Latest price'!PAQR</vt:lpstr>
      <vt:lpstr>PAQR</vt:lpstr>
      <vt:lpstr>'Panel assessments-Latest price'!PAQS</vt:lpstr>
      <vt:lpstr>PAQS</vt:lpstr>
      <vt:lpstr>'Panel assessments-Latest price'!PAQT</vt:lpstr>
      <vt:lpstr>PAQT</vt:lpstr>
      <vt:lpstr>'Panel assessments-Latest price'!PAQU</vt:lpstr>
      <vt:lpstr>PAQU</vt:lpstr>
      <vt:lpstr>'Panel assessments-Latest price'!PAQV</vt:lpstr>
      <vt:lpstr>PAQV</vt:lpstr>
      <vt:lpstr>'Panel assessments-Latest price'!PAQW</vt:lpstr>
      <vt:lpstr>PAQW</vt:lpstr>
      <vt:lpstr>'Panel assessments-Latest price'!PAQX</vt:lpstr>
      <vt:lpstr>PAQX</vt:lpstr>
      <vt:lpstr>'Panel assessments-Latest price'!PAQY</vt:lpstr>
      <vt:lpstr>PAQY</vt:lpstr>
      <vt:lpstr>'Panel assessments-Latest price'!PAQZ</vt:lpstr>
      <vt:lpstr>PAQZ</vt:lpstr>
      <vt:lpstr>'Panel assessments-Latest price'!PARA</vt:lpstr>
      <vt:lpstr>PARA</vt:lpstr>
      <vt:lpstr>'Panel assessments-Latest price'!PARB</vt:lpstr>
      <vt:lpstr>PARB</vt:lpstr>
      <vt:lpstr>'Panel assessments-Latest price'!PARC</vt:lpstr>
      <vt:lpstr>PARC</vt:lpstr>
      <vt:lpstr>'Panel assessments-Latest price'!PARD</vt:lpstr>
      <vt:lpstr>PARD</vt:lpstr>
      <vt:lpstr>'Panel assessments-Latest price'!PARE</vt:lpstr>
      <vt:lpstr>PARE</vt:lpstr>
      <vt:lpstr>'Panel assessments-Latest price'!PARF</vt:lpstr>
      <vt:lpstr>PARF</vt:lpstr>
      <vt:lpstr>'Panel assessments-Latest price'!PARG</vt:lpstr>
      <vt:lpstr>PARG</vt:lpstr>
      <vt:lpstr>'Panel assessments-Latest price'!PARH</vt:lpstr>
      <vt:lpstr>PARH</vt:lpstr>
      <vt:lpstr>'Panel assessments-Latest price'!PARI</vt:lpstr>
      <vt:lpstr>PARI</vt:lpstr>
      <vt:lpstr>'Panel assessments-Latest price'!PARJ</vt:lpstr>
      <vt:lpstr>PARJ</vt:lpstr>
      <vt:lpstr>'Panel assessments-Latest price'!PARK</vt:lpstr>
      <vt:lpstr>PARK</vt:lpstr>
      <vt:lpstr>'Panel assessments-Latest price'!PARL</vt:lpstr>
      <vt:lpstr>PARL</vt:lpstr>
      <vt:lpstr>'Panel assessments-Latest price'!PARM</vt:lpstr>
      <vt:lpstr>PARM</vt:lpstr>
      <vt:lpstr>'Panel assessments-Latest price'!PARN</vt:lpstr>
      <vt:lpstr>PARN</vt:lpstr>
      <vt:lpstr>'Panel assessments-Latest price'!PARO</vt:lpstr>
      <vt:lpstr>PARO</vt:lpstr>
      <vt:lpstr>'Panel assessments-Latest price'!PARP</vt:lpstr>
      <vt:lpstr>PARP</vt:lpstr>
      <vt:lpstr>'Panel assessments-Latest price'!PARQ</vt:lpstr>
      <vt:lpstr>PARQ</vt:lpstr>
      <vt:lpstr>'Panel assessments-Latest price'!PARR</vt:lpstr>
      <vt:lpstr>PARR</vt:lpstr>
      <vt:lpstr>'Panel assessments-Latest price'!PARS</vt:lpstr>
      <vt:lpstr>PARS</vt:lpstr>
      <vt:lpstr>'Panel assessments-Latest price'!PART</vt:lpstr>
      <vt:lpstr>PART</vt:lpstr>
      <vt:lpstr>'Panel assessments-Latest price'!PARU</vt:lpstr>
      <vt:lpstr>PARU</vt:lpstr>
      <vt:lpstr>'Panel assessments-Latest price'!PARV</vt:lpstr>
      <vt:lpstr>PARV</vt:lpstr>
      <vt:lpstr>'Panel assessments-Latest price'!PARW</vt:lpstr>
      <vt:lpstr>PARW</vt:lpstr>
      <vt:lpstr>'Panel assessments-Latest price'!PARX</vt:lpstr>
      <vt:lpstr>PARX</vt:lpstr>
      <vt:lpstr>'Panel assessments-Latest price'!PARY</vt:lpstr>
      <vt:lpstr>PARY</vt:lpstr>
      <vt:lpstr>'Panel assessments-Latest price'!PARZ</vt:lpstr>
      <vt:lpstr>PARZ</vt:lpstr>
      <vt:lpstr>'Panel assessments-Latest price'!PASA</vt:lpstr>
      <vt:lpstr>PASA</vt:lpstr>
      <vt:lpstr>'Panel assessments-Latest price'!PASB</vt:lpstr>
      <vt:lpstr>PASB</vt:lpstr>
      <vt:lpstr>'Panel assessments-Latest price'!PASC</vt:lpstr>
      <vt:lpstr>PASC</vt:lpstr>
      <vt:lpstr>'Panel assessments-Latest price'!PASD</vt:lpstr>
      <vt:lpstr>PASD</vt:lpstr>
      <vt:lpstr>'Panel assessments-Latest price'!PASE</vt:lpstr>
      <vt:lpstr>PASE</vt:lpstr>
      <vt:lpstr>'Panel assessments-Latest price'!PASF</vt:lpstr>
      <vt:lpstr>PASF</vt:lpstr>
      <vt:lpstr>'Panel assessments-Latest price'!PASG</vt:lpstr>
      <vt:lpstr>PASG</vt:lpstr>
      <vt:lpstr>'Panel assessments-Latest price'!PASH</vt:lpstr>
      <vt:lpstr>PASH</vt:lpstr>
      <vt:lpstr>'Panel assessments-Latest price'!PASI</vt:lpstr>
      <vt:lpstr>PASI</vt:lpstr>
      <vt:lpstr>'Panel assessments-Latest price'!PASJ</vt:lpstr>
      <vt:lpstr>PASJ</vt:lpstr>
      <vt:lpstr>'Panel assessments-Latest price'!PASK</vt:lpstr>
      <vt:lpstr>PASK</vt:lpstr>
      <vt:lpstr>'Panel assessments-Latest price'!PASL</vt:lpstr>
      <vt:lpstr>PASL</vt:lpstr>
      <vt:lpstr>'Panel assessments-Latest price'!PASM</vt:lpstr>
      <vt:lpstr>PASM</vt:lpstr>
      <vt:lpstr>'Panel assessments-Latest price'!PASN</vt:lpstr>
      <vt:lpstr>PASN</vt:lpstr>
      <vt:lpstr>'Panel assessments-Latest price'!PASO</vt:lpstr>
      <vt:lpstr>PASO</vt:lpstr>
      <vt:lpstr>'Panel assessments-Latest price'!PASP</vt:lpstr>
      <vt:lpstr>PASP</vt:lpstr>
      <vt:lpstr>'Panel assessments-Latest price'!PASQ</vt:lpstr>
      <vt:lpstr>PASQ</vt:lpstr>
      <vt:lpstr>'Panel assessments-Latest price'!PASR</vt:lpstr>
      <vt:lpstr>PASR</vt:lpstr>
      <vt:lpstr>'Panel assessments-Latest price'!PASS</vt:lpstr>
      <vt:lpstr>PASS</vt:lpstr>
      <vt:lpstr>'Panel assessments-Latest price'!PAST</vt:lpstr>
      <vt:lpstr>PAST</vt:lpstr>
      <vt:lpstr>'Panel assessments-Latest price'!PASU</vt:lpstr>
      <vt:lpstr>PASU</vt:lpstr>
      <vt:lpstr>'Panel assessments-Latest price'!PASV</vt:lpstr>
      <vt:lpstr>PASV</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RL Panel Price Guide</dc:title>
  <dc:subject/>
  <dc:creator>Debbie Norman</dc:creator>
  <cp:keywords/>
  <dc:description/>
  <cp:lastModifiedBy>Fitzgerald, Amber (UK)</cp:lastModifiedBy>
  <cp:revision/>
  <dcterms:created xsi:type="dcterms:W3CDTF">1997-09-23T22:28:29Z</dcterms:created>
  <dcterms:modified xsi:type="dcterms:W3CDTF">2024-12-13T21:25:35Z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6e81d9b9-86c5-4287-85cd-364de3fa3b05</vt:lpwstr>
  </property>
  <property fmtid="{D5CDD505-2E9C-101B-9397-08002B2CF9AE}" pid="3" name="ContentTypeId">
    <vt:lpwstr>0x0101002E7BFD7DDE2EAE49AAC78A68AB7AA4C6</vt:lpwstr>
  </property>
  <property fmtid="{D5CDD505-2E9C-101B-9397-08002B2CF9AE}" pid="4" name="Order">
    <vt:r8>1400</vt:r8>
  </property>
  <property fmtid="{D5CDD505-2E9C-101B-9397-08002B2CF9AE}" pid="5" name="_ExtendedDescription">
    <vt:lpwstr/>
  </property>
</Properties>
</file>