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fmpra-my.sharepoint.com/personal/amber_fitzgerald_fastmarkets_com/Documents/Desktop/Changes/Random Lengths/2025/2025 open consultation/xls and dbf files/Live versions/updated files for July 2025/"/>
    </mc:Choice>
  </mc:AlternateContent>
  <xr:revisionPtr revIDLastSave="175" documentId="8_{ECF49229-66C0-45B9-8629-06C39990A1E8}" xr6:coauthVersionLast="47" xr6:coauthVersionMax="47" xr10:uidLastSave="{8A101627-92D3-4F94-B0CF-FB568E296E7F}"/>
  <bookViews>
    <workbookView xWindow="28680" yWindow="-120" windowWidth="29040" windowHeight="15720" xr2:uid="{00000000-000D-0000-FFFF-FFFF00000000}"/>
  </bookViews>
  <sheets>
    <sheet name="Lumber Assessments-Latest price" sheetId="3" r:id="rId1"/>
    <sheet name="Lumber Assessments-Specify Date" sheetId="2" r:id="rId2"/>
    <sheet name="Lumber Assessments-SpecificDate" sheetId="1" r:id="rId3"/>
  </sheets>
  <definedNames>
    <definedName name="_xlnm._FilterDatabase" localSheetId="0" hidden="1">'Lumber Assessments-Latest price'!$A$1:$I$1409</definedName>
    <definedName name="_xlnm._FilterDatabase" localSheetId="2" hidden="1">'Lumber Assessments-SpecificDate'!$A$1:$H$1397</definedName>
    <definedName name="_SPECIFIEDvarMonth">'Lumber Assessments-Specify Date'!$D$4</definedName>
    <definedName name="_SPECIFIEDvarPrvWeekDate">'Lumber Assessments-Specify Date'!$H$4</definedName>
    <definedName name="_SPECIFIEDvarPrvYearDate">'Lumber Assessments-Specify Date'!$I$4</definedName>
    <definedName name="_SPECIFIEDvarPubDate">'Lumber Assessments-Specify Date'!$B$4</definedName>
    <definedName name="_SPECIFIEDvarYear">'Lumber Assessments-Specify Date'!$C$4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00" i="1" l="1"/>
  <c r="C1401" i="1"/>
  <c r="C1402" i="1"/>
  <c r="C1403" i="1"/>
  <c r="C1404" i="1"/>
  <c r="C1405" i="1"/>
  <c r="C1406" i="1"/>
  <c r="C1407" i="1"/>
  <c r="C1408" i="1"/>
  <c r="C1409" i="1"/>
  <c r="C1398" i="1"/>
  <c r="C1399" i="1"/>
  <c r="C1397" i="1"/>
  <c r="C1396" i="1"/>
  <c r="C1395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2" i="1"/>
  <c r="C1396" i="3" a="1"/>
  <c r="C1395" i="3" a="1"/>
  <c r="B1395" i="3" a="1"/>
  <c r="B1397" i="3" a="1"/>
  <c r="C1397" i="3" a="1"/>
  <c r="B1396" i="3" a="1"/>
  <c r="B1399" i="1" a="1"/>
  <c r="B1402" i="3" a="1"/>
  <c r="B1403" i="3" a="1"/>
  <c r="B1405" i="3" a="1"/>
  <c r="B1409" i="3" a="1"/>
  <c r="C1405" i="3" a="1"/>
  <c r="B1406" i="3" a="1"/>
  <c r="B1400" i="3" a="1"/>
  <c r="C1399" i="3" a="1"/>
  <c r="B1408" i="3" a="1"/>
  <c r="C1403" i="3" a="1"/>
  <c r="B1398" i="3" a="1"/>
  <c r="B1401" i="3" a="1"/>
  <c r="C1402" i="3" a="1"/>
  <c r="C1398" i="3" a="1"/>
  <c r="C1401" i="3" a="1"/>
  <c r="C1408" i="3" a="1"/>
  <c r="C1407" i="3" a="1"/>
  <c r="B1404" i="3" a="1"/>
  <c r="C1409" i="3" a="1"/>
  <c r="B1407" i="3" a="1"/>
  <c r="C1400" i="3" a="1"/>
  <c r="C1404" i="3" a="1"/>
  <c r="B1399" i="3" a="1"/>
  <c r="C1406" i="3" a="1"/>
  <c r="B1402" i="1" a="1"/>
  <c r="B1405" i="1" a="1"/>
  <c r="B1406" i="1" a="1"/>
  <c r="B1407" i="1" a="1"/>
  <c r="B1403" i="1" a="1"/>
  <c r="B1404" i="1" a="1"/>
  <c r="B1401" i="1" a="1"/>
  <c r="B1409" i="1" a="1"/>
  <c r="B1395" i="1" a="1"/>
  <c r="B1396" i="1" a="1"/>
  <c r="B1398" i="1" a="1"/>
  <c r="B1408" i="1" a="1"/>
  <c r="B1400" i="1" a="1"/>
  <c r="B1397" i="1" a="1"/>
  <c r="B1399" i="1" l="1"/>
  <c r="B1399" i="3"/>
  <c r="B1409" i="1"/>
  <c r="B1401" i="1"/>
  <c r="B1408" i="1"/>
  <c r="B1403" i="1"/>
  <c r="B1402" i="1"/>
  <c r="B1407" i="1"/>
  <c r="B1404" i="1"/>
  <c r="B1406" i="1"/>
  <c r="B1405" i="1"/>
  <c r="B1400" i="1"/>
  <c r="C1409" i="3"/>
  <c r="C1405" i="3"/>
  <c r="B1401" i="3"/>
  <c r="C1403" i="3"/>
  <c r="B1409" i="3"/>
  <c r="B1407" i="3"/>
  <c r="B1403" i="3"/>
  <c r="C1408" i="3"/>
  <c r="C1406" i="3"/>
  <c r="C1404" i="3"/>
  <c r="C1402" i="3"/>
  <c r="C1400" i="3"/>
  <c r="C1407" i="3"/>
  <c r="B1405" i="3"/>
  <c r="C1401" i="3"/>
  <c r="B1408" i="3"/>
  <c r="B1406" i="3"/>
  <c r="B1404" i="3"/>
  <c r="B1402" i="3"/>
  <c r="B1400" i="3"/>
  <c r="B1398" i="1"/>
  <c r="C1398" i="3"/>
  <c r="B1398" i="3"/>
  <c r="C1399" i="3"/>
  <c r="B1397" i="1"/>
  <c r="B1396" i="1"/>
  <c r="B1395" i="1"/>
  <c r="B1395" i="3"/>
  <c r="B1396" i="3"/>
  <c r="B1397" i="3"/>
  <c r="C1395" i="3"/>
  <c r="C1396" i="3"/>
  <c r="C1397" i="3"/>
  <c r="D4" i="2"/>
  <c r="C4" i="2"/>
  <c r="E1405" i="1" l="1"/>
  <c r="E1409" i="1"/>
  <c r="E1402" i="1"/>
  <c r="E1400" i="1"/>
  <c r="E1404" i="1"/>
  <c r="E1408" i="1"/>
  <c r="E1401" i="1"/>
  <c r="E1398" i="1"/>
  <c r="E1403" i="1"/>
  <c r="E1407" i="1"/>
  <c r="E1399" i="1"/>
  <c r="E1406" i="1"/>
  <c r="D1400" i="1"/>
  <c r="D1404" i="1"/>
  <c r="D1408" i="1"/>
  <c r="D1398" i="1"/>
  <c r="D1406" i="1"/>
  <c r="D1401" i="1"/>
  <c r="D1405" i="1"/>
  <c r="D1409" i="1"/>
  <c r="D1403" i="1"/>
  <c r="D1407" i="1"/>
  <c r="D1399" i="1"/>
  <c r="D1402" i="1"/>
  <c r="D1407" i="3"/>
  <c r="E1407" i="3"/>
  <c r="D1409" i="3"/>
  <c r="E1409" i="3"/>
  <c r="D1402" i="3"/>
  <c r="E1402" i="3"/>
  <c r="D1404" i="3"/>
  <c r="E1404" i="3"/>
  <c r="D1406" i="3"/>
  <c r="E1406" i="3"/>
  <c r="D1408" i="3"/>
  <c r="E1408" i="3"/>
  <c r="D1403" i="3"/>
  <c r="E1403" i="3"/>
  <c r="D1405" i="3"/>
  <c r="E1405" i="3"/>
  <c r="E1400" i="3"/>
  <c r="D1400" i="3"/>
  <c r="D1401" i="3"/>
  <c r="E1401" i="3"/>
  <c r="D1398" i="3"/>
  <c r="E1398" i="3"/>
  <c r="D1399" i="3"/>
  <c r="E1399" i="3"/>
  <c r="D1397" i="1"/>
  <c r="D1396" i="1"/>
  <c r="D1395" i="1"/>
  <c r="E1397" i="1"/>
  <c r="E1396" i="1"/>
  <c r="E1395" i="1"/>
  <c r="E1397" i="3"/>
  <c r="D1397" i="3"/>
  <c r="E1396" i="3"/>
  <c r="D1396" i="3"/>
  <c r="E1395" i="3"/>
  <c r="D1395" i="3"/>
  <c r="E25" i="1"/>
  <c r="E33" i="1"/>
  <c r="E41" i="1"/>
  <c r="E49" i="1"/>
  <c r="E57" i="1"/>
  <c r="E65" i="1"/>
  <c r="E73" i="1"/>
  <c r="E81" i="1"/>
  <c r="E89" i="1"/>
  <c r="E97" i="1"/>
  <c r="E105" i="1"/>
  <c r="E113" i="1"/>
  <c r="E121" i="1"/>
  <c r="E129" i="1"/>
  <c r="E137" i="1"/>
  <c r="E145" i="1"/>
  <c r="E153" i="1"/>
  <c r="E161" i="1"/>
  <c r="E169" i="1"/>
  <c r="E177" i="1"/>
  <c r="E185" i="1"/>
  <c r="E193" i="1"/>
  <c r="E201" i="1"/>
  <c r="E209" i="1"/>
  <c r="E217" i="1"/>
  <c r="E225" i="1"/>
  <c r="E233" i="1"/>
  <c r="E241" i="1"/>
  <c r="E249" i="1"/>
  <c r="E257" i="1"/>
  <c r="E265" i="1"/>
  <c r="E273" i="1"/>
  <c r="E281" i="1"/>
  <c r="E289" i="1"/>
  <c r="E297" i="1"/>
  <c r="E305" i="1"/>
  <c r="E313" i="1"/>
  <c r="E321" i="1"/>
  <c r="E329" i="1"/>
  <c r="E337" i="1"/>
  <c r="E345" i="1"/>
  <c r="E353" i="1"/>
  <c r="E361" i="1"/>
  <c r="E369" i="1"/>
  <c r="E377" i="1"/>
  <c r="E385" i="1"/>
  <c r="E393" i="1"/>
  <c r="E401" i="1"/>
  <c r="E409" i="1"/>
  <c r="E417" i="1"/>
  <c r="E425" i="1"/>
  <c r="E433" i="1"/>
  <c r="E441" i="1"/>
  <c r="E449" i="1"/>
  <c r="E457" i="1"/>
  <c r="E465" i="1"/>
  <c r="E473" i="1"/>
  <c r="E481" i="1"/>
  <c r="E489" i="1"/>
  <c r="E497" i="1"/>
  <c r="E505" i="1"/>
  <c r="E513" i="1"/>
  <c r="E521" i="1"/>
  <c r="E529" i="1"/>
  <c r="E537" i="1"/>
  <c r="E545" i="1"/>
  <c r="E553" i="1"/>
  <c r="E561" i="1"/>
  <c r="E569" i="1"/>
  <c r="E577" i="1"/>
  <c r="E585" i="1"/>
  <c r="E593" i="1"/>
  <c r="E601" i="1"/>
  <c r="E609" i="1"/>
  <c r="E617" i="1"/>
  <c r="E625" i="1"/>
  <c r="E633" i="1"/>
  <c r="E641" i="1"/>
  <c r="E649" i="1"/>
  <c r="E657" i="1"/>
  <c r="E665" i="1"/>
  <c r="E673" i="1"/>
  <c r="E26" i="1"/>
  <c r="E34" i="1"/>
  <c r="E42" i="1"/>
  <c r="E50" i="1"/>
  <c r="E58" i="1"/>
  <c r="E66" i="1"/>
  <c r="E74" i="1"/>
  <c r="E82" i="1"/>
  <c r="E90" i="1"/>
  <c r="E98" i="1"/>
  <c r="E106" i="1"/>
  <c r="E114" i="1"/>
  <c r="E122" i="1"/>
  <c r="E130" i="1"/>
  <c r="E138" i="1"/>
  <c r="E146" i="1"/>
  <c r="E154" i="1"/>
  <c r="E162" i="1"/>
  <c r="E170" i="1"/>
  <c r="E178" i="1"/>
  <c r="E186" i="1"/>
  <c r="E194" i="1"/>
  <c r="E202" i="1"/>
  <c r="E210" i="1"/>
  <c r="E218" i="1"/>
  <c r="E226" i="1"/>
  <c r="E234" i="1"/>
  <c r="E242" i="1"/>
  <c r="E250" i="1"/>
  <c r="E258" i="1"/>
  <c r="E266" i="1"/>
  <c r="E274" i="1"/>
  <c r="E282" i="1"/>
  <c r="E290" i="1"/>
  <c r="E298" i="1"/>
  <c r="E306" i="1"/>
  <c r="E314" i="1"/>
  <c r="E322" i="1"/>
  <c r="E330" i="1"/>
  <c r="E338" i="1"/>
  <c r="E346" i="1"/>
  <c r="E354" i="1"/>
  <c r="E362" i="1"/>
  <c r="E370" i="1"/>
  <c r="E378" i="1"/>
  <c r="E386" i="1"/>
  <c r="E394" i="1"/>
  <c r="E402" i="1"/>
  <c r="E410" i="1"/>
  <c r="E418" i="1"/>
  <c r="E426" i="1"/>
  <c r="E434" i="1"/>
  <c r="E442" i="1"/>
  <c r="E450" i="1"/>
  <c r="E458" i="1"/>
  <c r="E466" i="1"/>
  <c r="E474" i="1"/>
  <c r="E482" i="1"/>
  <c r="E490" i="1"/>
  <c r="E498" i="1"/>
  <c r="E506" i="1"/>
  <c r="E514" i="1"/>
  <c r="E522" i="1"/>
  <c r="E530" i="1"/>
  <c r="E538" i="1"/>
  <c r="E546" i="1"/>
  <c r="E554" i="1"/>
  <c r="E562" i="1"/>
  <c r="E570" i="1"/>
  <c r="E578" i="1"/>
  <c r="E586" i="1"/>
  <c r="E594" i="1"/>
  <c r="E602" i="1"/>
  <c r="E610" i="1"/>
  <c r="E618" i="1"/>
  <c r="E626" i="1"/>
  <c r="E634" i="1"/>
  <c r="E642" i="1"/>
  <c r="E650" i="1"/>
  <c r="E658" i="1"/>
  <c r="E666" i="1"/>
  <c r="E674" i="1"/>
  <c r="E27" i="1"/>
  <c r="E35" i="1"/>
  <c r="E43" i="1"/>
  <c r="E51" i="1"/>
  <c r="E59" i="1"/>
  <c r="E67" i="1"/>
  <c r="E75" i="1"/>
  <c r="E83" i="1"/>
  <c r="E91" i="1"/>
  <c r="E99" i="1"/>
  <c r="E107" i="1"/>
  <c r="E115" i="1"/>
  <c r="E123" i="1"/>
  <c r="E131" i="1"/>
  <c r="E139" i="1"/>
  <c r="E147" i="1"/>
  <c r="E155" i="1"/>
  <c r="E163" i="1"/>
  <c r="E171" i="1"/>
  <c r="E179" i="1"/>
  <c r="E187" i="1"/>
  <c r="E195" i="1"/>
  <c r="E203" i="1"/>
  <c r="E211" i="1"/>
  <c r="E219" i="1"/>
  <c r="E227" i="1"/>
  <c r="E235" i="1"/>
  <c r="E243" i="1"/>
  <c r="E251" i="1"/>
  <c r="E259" i="1"/>
  <c r="E267" i="1"/>
  <c r="E275" i="1"/>
  <c r="E283" i="1"/>
  <c r="E291" i="1"/>
  <c r="E299" i="1"/>
  <c r="E307" i="1"/>
  <c r="E315" i="1"/>
  <c r="E323" i="1"/>
  <c r="E331" i="1"/>
  <c r="E339" i="1"/>
  <c r="E347" i="1"/>
  <c r="E355" i="1"/>
  <c r="E363" i="1"/>
  <c r="E371" i="1"/>
  <c r="E379" i="1"/>
  <c r="E387" i="1"/>
  <c r="E395" i="1"/>
  <c r="E403" i="1"/>
  <c r="E411" i="1"/>
  <c r="E419" i="1"/>
  <c r="E427" i="1"/>
  <c r="E435" i="1"/>
  <c r="E443" i="1"/>
  <c r="E451" i="1"/>
  <c r="E459" i="1"/>
  <c r="E467" i="1"/>
  <c r="E475" i="1"/>
  <c r="E483" i="1"/>
  <c r="E491" i="1"/>
  <c r="E499" i="1"/>
  <c r="E507" i="1"/>
  <c r="E515" i="1"/>
  <c r="E523" i="1"/>
  <c r="E531" i="1"/>
  <c r="E539" i="1"/>
  <c r="E547" i="1"/>
  <c r="E555" i="1"/>
  <c r="E563" i="1"/>
  <c r="E571" i="1"/>
  <c r="E579" i="1"/>
  <c r="E587" i="1"/>
  <c r="E595" i="1"/>
  <c r="E603" i="1"/>
  <c r="E611" i="1"/>
  <c r="E619" i="1"/>
  <c r="E627" i="1"/>
  <c r="E635" i="1"/>
  <c r="E643" i="1"/>
  <c r="E651" i="1"/>
  <c r="E659" i="1"/>
  <c r="E667" i="1"/>
  <c r="E675" i="1"/>
  <c r="E21" i="1"/>
  <c r="E29" i="1"/>
  <c r="E37" i="1"/>
  <c r="E45" i="1"/>
  <c r="E53" i="1"/>
  <c r="E61" i="1"/>
  <c r="E69" i="1"/>
  <c r="E77" i="1"/>
  <c r="E85" i="1"/>
  <c r="E93" i="1"/>
  <c r="E101" i="1"/>
  <c r="E109" i="1"/>
  <c r="E117" i="1"/>
  <c r="E125" i="1"/>
  <c r="E133" i="1"/>
  <c r="E141" i="1"/>
  <c r="E149" i="1"/>
  <c r="E157" i="1"/>
  <c r="E165" i="1"/>
  <c r="E173" i="1"/>
  <c r="E181" i="1"/>
  <c r="E189" i="1"/>
  <c r="E197" i="1"/>
  <c r="E205" i="1"/>
  <c r="E213" i="1"/>
  <c r="E221" i="1"/>
  <c r="E229" i="1"/>
  <c r="E237" i="1"/>
  <c r="E245" i="1"/>
  <c r="E253" i="1"/>
  <c r="E261" i="1"/>
  <c r="E269" i="1"/>
  <c r="E277" i="1"/>
  <c r="E285" i="1"/>
  <c r="E293" i="1"/>
  <c r="E301" i="1"/>
  <c r="E309" i="1"/>
  <c r="E317" i="1"/>
  <c r="E325" i="1"/>
  <c r="E333" i="1"/>
  <c r="E341" i="1"/>
  <c r="E349" i="1"/>
  <c r="E357" i="1"/>
  <c r="E365" i="1"/>
  <c r="E373" i="1"/>
  <c r="E381" i="1"/>
  <c r="E389" i="1"/>
  <c r="E397" i="1"/>
  <c r="E405" i="1"/>
  <c r="E413" i="1"/>
  <c r="E421" i="1"/>
  <c r="E429" i="1"/>
  <c r="E437" i="1"/>
  <c r="E445" i="1"/>
  <c r="E453" i="1"/>
  <c r="E461" i="1"/>
  <c r="E469" i="1"/>
  <c r="E477" i="1"/>
  <c r="E485" i="1"/>
  <c r="E493" i="1"/>
  <c r="E501" i="1"/>
  <c r="E509" i="1"/>
  <c r="E517" i="1"/>
  <c r="E525" i="1"/>
  <c r="E533" i="1"/>
  <c r="E541" i="1"/>
  <c r="E549" i="1"/>
  <c r="E557" i="1"/>
  <c r="E565" i="1"/>
  <c r="E573" i="1"/>
  <c r="E581" i="1"/>
  <c r="E589" i="1"/>
  <c r="E597" i="1"/>
  <c r="E605" i="1"/>
  <c r="E613" i="1"/>
  <c r="E621" i="1"/>
  <c r="E629" i="1"/>
  <c r="E637" i="1"/>
  <c r="E22" i="1"/>
  <c r="E30" i="1"/>
  <c r="E38" i="1"/>
  <c r="E46" i="1"/>
  <c r="E54" i="1"/>
  <c r="E62" i="1"/>
  <c r="E70" i="1"/>
  <c r="E78" i="1"/>
  <c r="E86" i="1"/>
  <c r="E94" i="1"/>
  <c r="E102" i="1"/>
  <c r="E110" i="1"/>
  <c r="E118" i="1"/>
  <c r="E126" i="1"/>
  <c r="E134" i="1"/>
  <c r="E142" i="1"/>
  <c r="E150" i="1"/>
  <c r="E158" i="1"/>
  <c r="E166" i="1"/>
  <c r="E174" i="1"/>
  <c r="E182" i="1"/>
  <c r="E190" i="1"/>
  <c r="E198" i="1"/>
  <c r="E206" i="1"/>
  <c r="E214" i="1"/>
  <c r="E222" i="1"/>
  <c r="E230" i="1"/>
  <c r="E238" i="1"/>
  <c r="E246" i="1"/>
  <c r="E254" i="1"/>
  <c r="E262" i="1"/>
  <c r="E270" i="1"/>
  <c r="E278" i="1"/>
  <c r="E286" i="1"/>
  <c r="E294" i="1"/>
  <c r="E302" i="1"/>
  <c r="E310" i="1"/>
  <c r="E318" i="1"/>
  <c r="E326" i="1"/>
  <c r="E334" i="1"/>
  <c r="E342" i="1"/>
  <c r="E350" i="1"/>
  <c r="E358" i="1"/>
  <c r="E366" i="1"/>
  <c r="E374" i="1"/>
  <c r="E382" i="1"/>
  <c r="E390" i="1"/>
  <c r="E398" i="1"/>
  <c r="E406" i="1"/>
  <c r="E414" i="1"/>
  <c r="E422" i="1"/>
  <c r="E430" i="1"/>
  <c r="E438" i="1"/>
  <c r="E446" i="1"/>
  <c r="E454" i="1"/>
  <c r="E462" i="1"/>
  <c r="E470" i="1"/>
  <c r="E478" i="1"/>
  <c r="E486" i="1"/>
  <c r="E494" i="1"/>
  <c r="E502" i="1"/>
  <c r="E510" i="1"/>
  <c r="E518" i="1"/>
  <c r="E526" i="1"/>
  <c r="E534" i="1"/>
  <c r="E542" i="1"/>
  <c r="E550" i="1"/>
  <c r="E558" i="1"/>
  <c r="E566" i="1"/>
  <c r="E574" i="1"/>
  <c r="E582" i="1"/>
  <c r="E590" i="1"/>
  <c r="E598" i="1"/>
  <c r="E606" i="1"/>
  <c r="E614" i="1"/>
  <c r="E622" i="1"/>
  <c r="E23" i="1"/>
  <c r="E31" i="1"/>
  <c r="E39" i="1"/>
  <c r="E47" i="1"/>
  <c r="E55" i="1"/>
  <c r="E63" i="1"/>
  <c r="E71" i="1"/>
  <c r="E79" i="1"/>
  <c r="E87" i="1"/>
  <c r="E95" i="1"/>
  <c r="E103" i="1"/>
  <c r="E111" i="1"/>
  <c r="E119" i="1"/>
  <c r="E127" i="1"/>
  <c r="E135" i="1"/>
  <c r="E143" i="1"/>
  <c r="E151" i="1"/>
  <c r="E159" i="1"/>
  <c r="E167" i="1"/>
  <c r="E175" i="1"/>
  <c r="E183" i="1"/>
  <c r="E191" i="1"/>
  <c r="E199" i="1"/>
  <c r="E207" i="1"/>
  <c r="E215" i="1"/>
  <c r="E223" i="1"/>
  <c r="E231" i="1"/>
  <c r="E239" i="1"/>
  <c r="E247" i="1"/>
  <c r="E255" i="1"/>
  <c r="E36" i="1"/>
  <c r="E68" i="1"/>
  <c r="E100" i="1"/>
  <c r="E132" i="1"/>
  <c r="E164" i="1"/>
  <c r="E196" i="1"/>
  <c r="E228" i="1"/>
  <c r="E260" i="1"/>
  <c r="E280" i="1"/>
  <c r="E303" i="1"/>
  <c r="E324" i="1"/>
  <c r="E344" i="1"/>
  <c r="E367" i="1"/>
  <c r="E388" i="1"/>
  <c r="E408" i="1"/>
  <c r="E431" i="1"/>
  <c r="E452" i="1"/>
  <c r="E472" i="1"/>
  <c r="E495" i="1"/>
  <c r="E516" i="1"/>
  <c r="E536" i="1"/>
  <c r="E559" i="1"/>
  <c r="E580" i="1"/>
  <c r="E600" i="1"/>
  <c r="E623" i="1"/>
  <c r="E639" i="1"/>
  <c r="E653" i="1"/>
  <c r="E664" i="1"/>
  <c r="E678" i="1"/>
  <c r="E686" i="1"/>
  <c r="E694" i="1"/>
  <c r="E702" i="1"/>
  <c r="E710" i="1"/>
  <c r="E718" i="1"/>
  <c r="E726" i="1"/>
  <c r="E733" i="1"/>
  <c r="E741" i="1"/>
  <c r="E749" i="1"/>
  <c r="E757" i="1"/>
  <c r="E765" i="1"/>
  <c r="E773" i="1"/>
  <c r="E781" i="1"/>
  <c r="E789" i="1"/>
  <c r="E797" i="1"/>
  <c r="E805" i="1"/>
  <c r="E813" i="1"/>
  <c r="E821" i="1"/>
  <c r="E829" i="1"/>
  <c r="E837" i="1"/>
  <c r="E845" i="1"/>
  <c r="E853" i="1"/>
  <c r="E861" i="1"/>
  <c r="E869" i="1"/>
  <c r="E877" i="1"/>
  <c r="E885" i="1"/>
  <c r="E893" i="1"/>
  <c r="E901" i="1"/>
  <c r="E909" i="1"/>
  <c r="E917" i="1"/>
  <c r="E925" i="1"/>
  <c r="E933" i="1"/>
  <c r="E941" i="1"/>
  <c r="E949" i="1"/>
  <c r="E957" i="1"/>
  <c r="E965" i="1"/>
  <c r="E973" i="1"/>
  <c r="E981" i="1"/>
  <c r="E989" i="1"/>
  <c r="E997" i="1"/>
  <c r="E1005" i="1"/>
  <c r="E1013" i="1"/>
  <c r="E1021" i="1"/>
  <c r="E1029" i="1"/>
  <c r="E1037" i="1"/>
  <c r="E1045" i="1"/>
  <c r="E1053" i="1"/>
  <c r="E1061" i="1"/>
  <c r="E1069" i="1"/>
  <c r="E1077" i="1"/>
  <c r="E1085" i="1"/>
  <c r="E1093" i="1"/>
  <c r="E1101" i="1"/>
  <c r="E1109" i="1"/>
  <c r="E1117" i="1"/>
  <c r="E1125" i="1"/>
  <c r="E40" i="1"/>
  <c r="E72" i="1"/>
  <c r="E104" i="1"/>
  <c r="E136" i="1"/>
  <c r="E168" i="1"/>
  <c r="E200" i="1"/>
  <c r="E232" i="1"/>
  <c r="E263" i="1"/>
  <c r="E284" i="1"/>
  <c r="E304" i="1"/>
  <c r="E327" i="1"/>
  <c r="E348" i="1"/>
  <c r="E368" i="1"/>
  <c r="E391" i="1"/>
  <c r="E412" i="1"/>
  <c r="E432" i="1"/>
  <c r="E455" i="1"/>
  <c r="E476" i="1"/>
  <c r="E496" i="1"/>
  <c r="E519" i="1"/>
  <c r="E540" i="1"/>
  <c r="E560" i="1"/>
  <c r="E583" i="1"/>
  <c r="E604" i="1"/>
  <c r="E624" i="1"/>
  <c r="E640" i="1"/>
  <c r="E654" i="1"/>
  <c r="E668" i="1"/>
  <c r="E679" i="1"/>
  <c r="E687" i="1"/>
  <c r="E695" i="1"/>
  <c r="E703" i="1"/>
  <c r="E711" i="1"/>
  <c r="E719" i="1"/>
  <c r="E734" i="1"/>
  <c r="E742" i="1"/>
  <c r="E750" i="1"/>
  <c r="E758" i="1"/>
  <c r="E766" i="1"/>
  <c r="E774" i="1"/>
  <c r="E782" i="1"/>
  <c r="E790" i="1"/>
  <c r="E798" i="1"/>
  <c r="E806" i="1"/>
  <c r="E814" i="1"/>
  <c r="E822" i="1"/>
  <c r="E830" i="1"/>
  <c r="E838" i="1"/>
  <c r="E846" i="1"/>
  <c r="E854" i="1"/>
  <c r="E862" i="1"/>
  <c r="E870" i="1"/>
  <c r="E878" i="1"/>
  <c r="E886" i="1"/>
  <c r="E894" i="1"/>
  <c r="E902" i="1"/>
  <c r="E910" i="1"/>
  <c r="E918" i="1"/>
  <c r="E926" i="1"/>
  <c r="E934" i="1"/>
  <c r="E942" i="1"/>
  <c r="E950" i="1"/>
  <c r="E958" i="1"/>
  <c r="E966" i="1"/>
  <c r="E974" i="1"/>
  <c r="E982" i="1"/>
  <c r="E990" i="1"/>
  <c r="E998" i="1"/>
  <c r="E1006" i="1"/>
  <c r="E1014" i="1"/>
  <c r="E1022" i="1"/>
  <c r="E1030" i="1"/>
  <c r="E1038" i="1"/>
  <c r="E1046" i="1"/>
  <c r="E1054" i="1"/>
  <c r="E1062" i="1"/>
  <c r="E1070" i="1"/>
  <c r="E1078" i="1"/>
  <c r="E1086" i="1"/>
  <c r="E1094" i="1"/>
  <c r="E1102" i="1"/>
  <c r="E1110" i="1"/>
  <c r="E1118" i="1"/>
  <c r="E1126" i="1"/>
  <c r="E1134" i="1"/>
  <c r="E1142" i="1"/>
  <c r="E1150" i="1"/>
  <c r="E44" i="1"/>
  <c r="E76" i="1"/>
  <c r="E108" i="1"/>
  <c r="E140" i="1"/>
  <c r="E172" i="1"/>
  <c r="E204" i="1"/>
  <c r="E236" i="1"/>
  <c r="E264" i="1"/>
  <c r="E287" i="1"/>
  <c r="E308" i="1"/>
  <c r="E328" i="1"/>
  <c r="E351" i="1"/>
  <c r="E372" i="1"/>
  <c r="E392" i="1"/>
  <c r="E415" i="1"/>
  <c r="E436" i="1"/>
  <c r="E456" i="1"/>
  <c r="E479" i="1"/>
  <c r="E500" i="1"/>
  <c r="E520" i="1"/>
  <c r="E543" i="1"/>
  <c r="E564" i="1"/>
  <c r="E584" i="1"/>
  <c r="E607" i="1"/>
  <c r="E628" i="1"/>
  <c r="E644" i="1"/>
  <c r="E655" i="1"/>
  <c r="E669" i="1"/>
  <c r="E680" i="1"/>
  <c r="E688" i="1"/>
  <c r="E696" i="1"/>
  <c r="E704" i="1"/>
  <c r="E712" i="1"/>
  <c r="E720" i="1"/>
  <c r="E727" i="1"/>
  <c r="E735" i="1"/>
  <c r="E743" i="1"/>
  <c r="E751" i="1"/>
  <c r="E759" i="1"/>
  <c r="E767" i="1"/>
  <c r="E775" i="1"/>
  <c r="E783" i="1"/>
  <c r="E791" i="1"/>
  <c r="E799" i="1"/>
  <c r="E807" i="1"/>
  <c r="E815" i="1"/>
  <c r="E823" i="1"/>
  <c r="E831" i="1"/>
  <c r="E839" i="1"/>
  <c r="E847" i="1"/>
  <c r="E855" i="1"/>
  <c r="E863" i="1"/>
  <c r="E871" i="1"/>
  <c r="E879" i="1"/>
  <c r="E887" i="1"/>
  <c r="E895" i="1"/>
  <c r="E903" i="1"/>
  <c r="E911" i="1"/>
  <c r="E919" i="1"/>
  <c r="E927" i="1"/>
  <c r="E935" i="1"/>
  <c r="E943" i="1"/>
  <c r="E951" i="1"/>
  <c r="E959" i="1"/>
  <c r="E967" i="1"/>
  <c r="E975" i="1"/>
  <c r="E983" i="1"/>
  <c r="E991" i="1"/>
  <c r="E999" i="1"/>
  <c r="E1007" i="1"/>
  <c r="E1015" i="1"/>
  <c r="E1023" i="1"/>
  <c r="E1031" i="1"/>
  <c r="E1039" i="1"/>
  <c r="E1047" i="1"/>
  <c r="E1055" i="1"/>
  <c r="E1063" i="1"/>
  <c r="E1071" i="1"/>
  <c r="E1079" i="1"/>
  <c r="E1087" i="1"/>
  <c r="E1095" i="1"/>
  <c r="E1103" i="1"/>
  <c r="E1111" i="1"/>
  <c r="E1119" i="1"/>
  <c r="E1127" i="1"/>
  <c r="E1135" i="1"/>
  <c r="E1143" i="1"/>
  <c r="E1151" i="1"/>
  <c r="E1159" i="1"/>
  <c r="E1167" i="1"/>
  <c r="E48" i="1"/>
  <c r="E80" i="1"/>
  <c r="E112" i="1"/>
  <c r="E144" i="1"/>
  <c r="E176" i="1"/>
  <c r="E208" i="1"/>
  <c r="E240" i="1"/>
  <c r="E268" i="1"/>
  <c r="E288" i="1"/>
  <c r="E311" i="1"/>
  <c r="E332" i="1"/>
  <c r="E352" i="1"/>
  <c r="E375" i="1"/>
  <c r="E396" i="1"/>
  <c r="E416" i="1"/>
  <c r="E439" i="1"/>
  <c r="E460" i="1"/>
  <c r="E480" i="1"/>
  <c r="E503" i="1"/>
  <c r="E524" i="1"/>
  <c r="E544" i="1"/>
  <c r="E567" i="1"/>
  <c r="E588" i="1"/>
  <c r="E608" i="1"/>
  <c r="E630" i="1"/>
  <c r="E645" i="1"/>
  <c r="E656" i="1"/>
  <c r="E670" i="1"/>
  <c r="E681" i="1"/>
  <c r="E689" i="1"/>
  <c r="E697" i="1"/>
  <c r="E705" i="1"/>
  <c r="E713" i="1"/>
  <c r="E721" i="1"/>
  <c r="E728" i="1"/>
  <c r="E736" i="1"/>
  <c r="E744" i="1"/>
  <c r="E752" i="1"/>
  <c r="E760" i="1"/>
  <c r="E768" i="1"/>
  <c r="E776" i="1"/>
  <c r="E784" i="1"/>
  <c r="E792" i="1"/>
  <c r="E800" i="1"/>
  <c r="E808" i="1"/>
  <c r="E816" i="1"/>
  <c r="E824" i="1"/>
  <c r="E832" i="1"/>
  <c r="E840" i="1"/>
  <c r="E848" i="1"/>
  <c r="E856" i="1"/>
  <c r="E864" i="1"/>
  <c r="E872" i="1"/>
  <c r="E880" i="1"/>
  <c r="E888" i="1"/>
  <c r="E896" i="1"/>
  <c r="E904" i="1"/>
  <c r="E912" i="1"/>
  <c r="E920" i="1"/>
  <c r="E928" i="1"/>
  <c r="E936" i="1"/>
  <c r="E944" i="1"/>
  <c r="E952" i="1"/>
  <c r="E960" i="1"/>
  <c r="E968" i="1"/>
  <c r="E976" i="1"/>
  <c r="E984" i="1"/>
  <c r="E992" i="1"/>
  <c r="E1000" i="1"/>
  <c r="E1008" i="1"/>
  <c r="E1016" i="1"/>
  <c r="E1024" i="1"/>
  <c r="E1032" i="1"/>
  <c r="E1040" i="1"/>
  <c r="E1048" i="1"/>
  <c r="E1056" i="1"/>
  <c r="E1064" i="1"/>
  <c r="E1072" i="1"/>
  <c r="E1080" i="1"/>
  <c r="E1088" i="1"/>
  <c r="E1096" i="1"/>
  <c r="E1104" i="1"/>
  <c r="E1112" i="1"/>
  <c r="E1120" i="1"/>
  <c r="E1128" i="1"/>
  <c r="E1136" i="1"/>
  <c r="E52" i="1"/>
  <c r="E84" i="1"/>
  <c r="E116" i="1"/>
  <c r="E148" i="1"/>
  <c r="E180" i="1"/>
  <c r="E212" i="1"/>
  <c r="E244" i="1"/>
  <c r="E271" i="1"/>
  <c r="E292" i="1"/>
  <c r="E312" i="1"/>
  <c r="E335" i="1"/>
  <c r="E356" i="1"/>
  <c r="E376" i="1"/>
  <c r="E399" i="1"/>
  <c r="E420" i="1"/>
  <c r="E440" i="1"/>
  <c r="E463" i="1"/>
  <c r="E484" i="1"/>
  <c r="E504" i="1"/>
  <c r="E527" i="1"/>
  <c r="E548" i="1"/>
  <c r="E568" i="1"/>
  <c r="E591" i="1"/>
  <c r="E612" i="1"/>
  <c r="E631" i="1"/>
  <c r="E646" i="1"/>
  <c r="E660" i="1"/>
  <c r="E671" i="1"/>
  <c r="E682" i="1"/>
  <c r="E690" i="1"/>
  <c r="E698" i="1"/>
  <c r="E706" i="1"/>
  <c r="E714" i="1"/>
  <c r="E722" i="1"/>
  <c r="E729" i="1"/>
  <c r="E737" i="1"/>
  <c r="E745" i="1"/>
  <c r="E753" i="1"/>
  <c r="E761" i="1"/>
  <c r="E769" i="1"/>
  <c r="E777" i="1"/>
  <c r="E785" i="1"/>
  <c r="E793" i="1"/>
  <c r="E801" i="1"/>
  <c r="E809" i="1"/>
  <c r="E817" i="1"/>
  <c r="E825" i="1"/>
  <c r="E833" i="1"/>
  <c r="E841" i="1"/>
  <c r="E849" i="1"/>
  <c r="E857" i="1"/>
  <c r="E865" i="1"/>
  <c r="E873" i="1"/>
  <c r="E881" i="1"/>
  <c r="E889" i="1"/>
  <c r="E897" i="1"/>
  <c r="E905" i="1"/>
  <c r="E913" i="1"/>
  <c r="E921" i="1"/>
  <c r="E929" i="1"/>
  <c r="E937" i="1"/>
  <c r="E945" i="1"/>
  <c r="E953" i="1"/>
  <c r="E961" i="1"/>
  <c r="E969" i="1"/>
  <c r="E977" i="1"/>
  <c r="E985" i="1"/>
  <c r="E24" i="1"/>
  <c r="E56" i="1"/>
  <c r="E88" i="1"/>
  <c r="E120" i="1"/>
  <c r="E152" i="1"/>
  <c r="E184" i="1"/>
  <c r="E216" i="1"/>
  <c r="E248" i="1"/>
  <c r="E272" i="1"/>
  <c r="E295" i="1"/>
  <c r="E316" i="1"/>
  <c r="E336" i="1"/>
  <c r="E359" i="1"/>
  <c r="E380" i="1"/>
  <c r="E400" i="1"/>
  <c r="E423" i="1"/>
  <c r="E444" i="1"/>
  <c r="E464" i="1"/>
  <c r="E487" i="1"/>
  <c r="E508" i="1"/>
  <c r="E528" i="1"/>
  <c r="E551" i="1"/>
  <c r="E572" i="1"/>
  <c r="E592" i="1"/>
  <c r="E615" i="1"/>
  <c r="E632" i="1"/>
  <c r="E647" i="1"/>
  <c r="E661" i="1"/>
  <c r="E672" i="1"/>
  <c r="E683" i="1"/>
  <c r="E691" i="1"/>
  <c r="E699" i="1"/>
  <c r="E707" i="1"/>
  <c r="E715" i="1"/>
  <c r="E723" i="1"/>
  <c r="E730" i="1"/>
  <c r="E738" i="1"/>
  <c r="E746" i="1"/>
  <c r="E754" i="1"/>
  <c r="E762" i="1"/>
  <c r="E770" i="1"/>
  <c r="E778" i="1"/>
  <c r="E786" i="1"/>
  <c r="E794" i="1"/>
  <c r="E802" i="1"/>
  <c r="E810" i="1"/>
  <c r="E818" i="1"/>
  <c r="E826" i="1"/>
  <c r="E834" i="1"/>
  <c r="E842" i="1"/>
  <c r="E850" i="1"/>
  <c r="E858" i="1"/>
  <c r="E866" i="1"/>
  <c r="E874" i="1"/>
  <c r="E882" i="1"/>
  <c r="E890" i="1"/>
  <c r="E898" i="1"/>
  <c r="E906" i="1"/>
  <c r="E914" i="1"/>
  <c r="E922" i="1"/>
  <c r="E930" i="1"/>
  <c r="E938" i="1"/>
  <c r="E946" i="1"/>
  <c r="E954" i="1"/>
  <c r="E962" i="1"/>
  <c r="E970" i="1"/>
  <c r="E978" i="1"/>
  <c r="E986" i="1"/>
  <c r="E994" i="1"/>
  <c r="E1002" i="1"/>
  <c r="E1010" i="1"/>
  <c r="E1018" i="1"/>
  <c r="E1026" i="1"/>
  <c r="E1034" i="1"/>
  <c r="E1042" i="1"/>
  <c r="E1050" i="1"/>
  <c r="E28" i="1"/>
  <c r="E60" i="1"/>
  <c r="E92" i="1"/>
  <c r="E124" i="1"/>
  <c r="E156" i="1"/>
  <c r="E188" i="1"/>
  <c r="E220" i="1"/>
  <c r="E252" i="1"/>
  <c r="E276" i="1"/>
  <c r="E296" i="1"/>
  <c r="E319" i="1"/>
  <c r="E340" i="1"/>
  <c r="E360" i="1"/>
  <c r="E383" i="1"/>
  <c r="E404" i="1"/>
  <c r="E424" i="1"/>
  <c r="E447" i="1"/>
  <c r="E468" i="1"/>
  <c r="E488" i="1"/>
  <c r="E511" i="1"/>
  <c r="E532" i="1"/>
  <c r="E552" i="1"/>
  <c r="E575" i="1"/>
  <c r="E596" i="1"/>
  <c r="E616" i="1"/>
  <c r="E636" i="1"/>
  <c r="E648" i="1"/>
  <c r="E662" i="1"/>
  <c r="E676" i="1"/>
  <c r="E684" i="1"/>
  <c r="E692" i="1"/>
  <c r="E700" i="1"/>
  <c r="E708" i="1"/>
  <c r="E716" i="1"/>
  <c r="E724" i="1"/>
  <c r="E731" i="1"/>
  <c r="E739" i="1"/>
  <c r="E747" i="1"/>
  <c r="E755" i="1"/>
  <c r="E763" i="1"/>
  <c r="E771" i="1"/>
  <c r="E779" i="1"/>
  <c r="E787" i="1"/>
  <c r="E795" i="1"/>
  <c r="E803" i="1"/>
  <c r="E811" i="1"/>
  <c r="E819" i="1"/>
  <c r="E827" i="1"/>
  <c r="E835" i="1"/>
  <c r="E843" i="1"/>
  <c r="E851" i="1"/>
  <c r="E859" i="1"/>
  <c r="E867" i="1"/>
  <c r="E875" i="1"/>
  <c r="E883" i="1"/>
  <c r="E891" i="1"/>
  <c r="E899" i="1"/>
  <c r="E907" i="1"/>
  <c r="E915" i="1"/>
  <c r="E923" i="1"/>
  <c r="E931" i="1"/>
  <c r="E939" i="1"/>
  <c r="E947" i="1"/>
  <c r="E955" i="1"/>
  <c r="E963" i="1"/>
  <c r="E971" i="1"/>
  <c r="E979" i="1"/>
  <c r="E987" i="1"/>
  <c r="E32" i="1"/>
  <c r="E64" i="1"/>
  <c r="E96" i="1"/>
  <c r="E128" i="1"/>
  <c r="E160" i="1"/>
  <c r="E192" i="1"/>
  <c r="E224" i="1"/>
  <c r="E256" i="1"/>
  <c r="E279" i="1"/>
  <c r="E300" i="1"/>
  <c r="E320" i="1"/>
  <c r="E343" i="1"/>
  <c r="E364" i="1"/>
  <c r="E384" i="1"/>
  <c r="E407" i="1"/>
  <c r="E428" i="1"/>
  <c r="E448" i="1"/>
  <c r="E471" i="1"/>
  <c r="E492" i="1"/>
  <c r="E512" i="1"/>
  <c r="E535" i="1"/>
  <c r="E556" i="1"/>
  <c r="E576" i="1"/>
  <c r="E599" i="1"/>
  <c r="E620" i="1"/>
  <c r="E638" i="1"/>
  <c r="E652" i="1"/>
  <c r="E663" i="1"/>
  <c r="E677" i="1"/>
  <c r="E685" i="1"/>
  <c r="E693" i="1"/>
  <c r="E701" i="1"/>
  <c r="E709" i="1"/>
  <c r="E717" i="1"/>
  <c r="E725" i="1"/>
  <c r="E732" i="1"/>
  <c r="E740" i="1"/>
  <c r="E748" i="1"/>
  <c r="E756" i="1"/>
  <c r="E764" i="1"/>
  <c r="E772" i="1"/>
  <c r="E780" i="1"/>
  <c r="E788" i="1"/>
  <c r="E796" i="1"/>
  <c r="E804" i="1"/>
  <c r="E812" i="1"/>
  <c r="E820" i="1"/>
  <c r="E828" i="1"/>
  <c r="E836" i="1"/>
  <c r="E844" i="1"/>
  <c r="E852" i="1"/>
  <c r="E860" i="1"/>
  <c r="E868" i="1"/>
  <c r="E876" i="1"/>
  <c r="E884" i="1"/>
  <c r="E892" i="1"/>
  <c r="E900" i="1"/>
  <c r="E908" i="1"/>
  <c r="E916" i="1"/>
  <c r="E924" i="1"/>
  <c r="E932" i="1"/>
  <c r="E940" i="1"/>
  <c r="E948" i="1"/>
  <c r="E956" i="1"/>
  <c r="E964" i="1"/>
  <c r="E972" i="1"/>
  <c r="E980" i="1"/>
  <c r="E996" i="1"/>
  <c r="E1001" i="1"/>
  <c r="E1020" i="1"/>
  <c r="E1043" i="1"/>
  <c r="E1060" i="1"/>
  <c r="E1076" i="1"/>
  <c r="E1092" i="1"/>
  <c r="E1108" i="1"/>
  <c r="E1124" i="1"/>
  <c r="E1139" i="1"/>
  <c r="E1149" i="1"/>
  <c r="E1160" i="1"/>
  <c r="E1169" i="1"/>
  <c r="E1177" i="1"/>
  <c r="E1185" i="1"/>
  <c r="E1193" i="1"/>
  <c r="E1201" i="1"/>
  <c r="E1209" i="1"/>
  <c r="E1217" i="1"/>
  <c r="E1225" i="1"/>
  <c r="E1233" i="1"/>
  <c r="E1241" i="1"/>
  <c r="E1249" i="1"/>
  <c r="E1257" i="1"/>
  <c r="E1265" i="1"/>
  <c r="E1273" i="1"/>
  <c r="E1281" i="1"/>
  <c r="E1289" i="1"/>
  <c r="E1297" i="1"/>
  <c r="E1305" i="1"/>
  <c r="E1313" i="1"/>
  <c r="E1321" i="1"/>
  <c r="E1329" i="1"/>
  <c r="E1337" i="1"/>
  <c r="E1345" i="1"/>
  <c r="E1353" i="1"/>
  <c r="E1361" i="1"/>
  <c r="E1369" i="1"/>
  <c r="E1377" i="1"/>
  <c r="E1385" i="1"/>
  <c r="E1391" i="1"/>
  <c r="E7" i="1"/>
  <c r="E15" i="1"/>
  <c r="E1003" i="1"/>
  <c r="E1025" i="1"/>
  <c r="E1044" i="1"/>
  <c r="E1065" i="1"/>
  <c r="E1081" i="1"/>
  <c r="E1097" i="1"/>
  <c r="E1113" i="1"/>
  <c r="E1129" i="1"/>
  <c r="E1140" i="1"/>
  <c r="E1152" i="1"/>
  <c r="E1161" i="1"/>
  <c r="E1170" i="1"/>
  <c r="E1178" i="1"/>
  <c r="E1186" i="1"/>
  <c r="E1194" i="1"/>
  <c r="E1202" i="1"/>
  <c r="E1210" i="1"/>
  <c r="E1218" i="1"/>
  <c r="E1226" i="1"/>
  <c r="E1234" i="1"/>
  <c r="E1242" i="1"/>
  <c r="E1250" i="1"/>
  <c r="E1258" i="1"/>
  <c r="E1266" i="1"/>
  <c r="E1274" i="1"/>
  <c r="E1282" i="1"/>
  <c r="E1290" i="1"/>
  <c r="E1298" i="1"/>
  <c r="E1306" i="1"/>
  <c r="E1314" i="1"/>
  <c r="E1322" i="1"/>
  <c r="E1330" i="1"/>
  <c r="E1338" i="1"/>
  <c r="E1346" i="1"/>
  <c r="E1354" i="1"/>
  <c r="E1362" i="1"/>
  <c r="E1370" i="1"/>
  <c r="E1378" i="1"/>
  <c r="E1386" i="1"/>
  <c r="E1392" i="1"/>
  <c r="E8" i="1"/>
  <c r="E16" i="1"/>
  <c r="E1004" i="1"/>
  <c r="E1009" i="1"/>
  <c r="E1028" i="1"/>
  <c r="E1051" i="1"/>
  <c r="E1067" i="1"/>
  <c r="E1083" i="1"/>
  <c r="E1099" i="1"/>
  <c r="E1115" i="1"/>
  <c r="E1131" i="1"/>
  <c r="E1144" i="1"/>
  <c r="E1154" i="1"/>
  <c r="E1163" i="1"/>
  <c r="E1172" i="1"/>
  <c r="E1180" i="1"/>
  <c r="E1188" i="1"/>
  <c r="E1196" i="1"/>
  <c r="E1204" i="1"/>
  <c r="E1212" i="1"/>
  <c r="E1220" i="1"/>
  <c r="E1228" i="1"/>
  <c r="E1236" i="1"/>
  <c r="E1244" i="1"/>
  <c r="E1252" i="1"/>
  <c r="E1260" i="1"/>
  <c r="E1268" i="1"/>
  <c r="E1276" i="1"/>
  <c r="E1284" i="1"/>
  <c r="E1292" i="1"/>
  <c r="E1300" i="1"/>
  <c r="E1308" i="1"/>
  <c r="E1316" i="1"/>
  <c r="E1324" i="1"/>
  <c r="E1332" i="1"/>
  <c r="E1340" i="1"/>
  <c r="E1348" i="1"/>
  <c r="E1356" i="1"/>
  <c r="E1364" i="1"/>
  <c r="E1372" i="1"/>
  <c r="E1380" i="1"/>
  <c r="E1394" i="1"/>
  <c r="E10" i="1"/>
  <c r="E18" i="1"/>
  <c r="E988" i="1"/>
  <c r="E1011" i="1"/>
  <c r="E1033" i="1"/>
  <c r="E1052" i="1"/>
  <c r="E1068" i="1"/>
  <c r="E1084" i="1"/>
  <c r="E1100" i="1"/>
  <c r="E1116" i="1"/>
  <c r="E1132" i="1"/>
  <c r="E1145" i="1"/>
  <c r="E1155" i="1"/>
  <c r="E1164" i="1"/>
  <c r="E1173" i="1"/>
  <c r="E1181" i="1"/>
  <c r="E1189" i="1"/>
  <c r="E1197" i="1"/>
  <c r="E1205" i="1"/>
  <c r="E1213" i="1"/>
  <c r="E1221" i="1"/>
  <c r="E1229" i="1"/>
  <c r="E1237" i="1"/>
  <c r="E1245" i="1"/>
  <c r="E1253" i="1"/>
  <c r="E1261" i="1"/>
  <c r="E1269" i="1"/>
  <c r="E1277" i="1"/>
  <c r="E1285" i="1"/>
  <c r="E1293" i="1"/>
  <c r="E1301" i="1"/>
  <c r="E1309" i="1"/>
  <c r="E1317" i="1"/>
  <c r="E1325" i="1"/>
  <c r="E1333" i="1"/>
  <c r="E1341" i="1"/>
  <c r="E1349" i="1"/>
  <c r="E1357" i="1"/>
  <c r="E1365" i="1"/>
  <c r="E1373" i="1"/>
  <c r="E1381" i="1"/>
  <c r="E3" i="1"/>
  <c r="E11" i="1"/>
  <c r="E19" i="1"/>
  <c r="E993" i="1"/>
  <c r="E1012" i="1"/>
  <c r="E1035" i="1"/>
  <c r="E1057" i="1"/>
  <c r="E1073" i="1"/>
  <c r="E1089" i="1"/>
  <c r="E1105" i="1"/>
  <c r="E1121" i="1"/>
  <c r="E1133" i="1"/>
  <c r="E1146" i="1"/>
  <c r="E1156" i="1"/>
  <c r="E1165" i="1"/>
  <c r="E1174" i="1"/>
  <c r="E1182" i="1"/>
  <c r="E1190" i="1"/>
  <c r="E1198" i="1"/>
  <c r="E1206" i="1"/>
  <c r="E1214" i="1"/>
  <c r="E1222" i="1"/>
  <c r="E1230" i="1"/>
  <c r="E1238" i="1"/>
  <c r="E1246" i="1"/>
  <c r="E1254" i="1"/>
  <c r="E1262" i="1"/>
  <c r="E1270" i="1"/>
  <c r="E1278" i="1"/>
  <c r="E1286" i="1"/>
  <c r="E1294" i="1"/>
  <c r="E1302" i="1"/>
  <c r="E1310" i="1"/>
  <c r="E1318" i="1"/>
  <c r="E1326" i="1"/>
  <c r="E1334" i="1"/>
  <c r="E1342" i="1"/>
  <c r="E1350" i="1"/>
  <c r="E1358" i="1"/>
  <c r="E1366" i="1"/>
  <c r="E1374" i="1"/>
  <c r="E1382" i="1"/>
  <c r="E1388" i="1"/>
  <c r="E4" i="1"/>
  <c r="E12" i="1"/>
  <c r="E20" i="1"/>
  <c r="E995" i="1"/>
  <c r="E1017" i="1"/>
  <c r="E1036" i="1"/>
  <c r="E1058" i="1"/>
  <c r="E1074" i="1"/>
  <c r="E1090" i="1"/>
  <c r="E1106" i="1"/>
  <c r="E1122" i="1"/>
  <c r="E1137" i="1"/>
  <c r="E1147" i="1"/>
  <c r="E1157" i="1"/>
  <c r="E1166" i="1"/>
  <c r="E1175" i="1"/>
  <c r="E1183" i="1"/>
  <c r="E1191" i="1"/>
  <c r="E1199" i="1"/>
  <c r="E1207" i="1"/>
  <c r="E1215" i="1"/>
  <c r="E1223" i="1"/>
  <c r="E1231" i="1"/>
  <c r="E1239" i="1"/>
  <c r="E1247" i="1"/>
  <c r="E1255" i="1"/>
  <c r="E1263" i="1"/>
  <c r="E1271" i="1"/>
  <c r="E1279" i="1"/>
  <c r="E1287" i="1"/>
  <c r="E1295" i="1"/>
  <c r="E1303" i="1"/>
  <c r="E1311" i="1"/>
  <c r="E1319" i="1"/>
  <c r="E1327" i="1"/>
  <c r="E1335" i="1"/>
  <c r="E1343" i="1"/>
  <c r="E1351" i="1"/>
  <c r="E1359" i="1"/>
  <c r="E1367" i="1"/>
  <c r="E1375" i="1"/>
  <c r="E1383" i="1"/>
  <c r="E1389" i="1"/>
  <c r="E5" i="1"/>
  <c r="E13" i="1"/>
  <c r="E2" i="1"/>
  <c r="E1049" i="1"/>
  <c r="E1059" i="1"/>
  <c r="E1123" i="1"/>
  <c r="E1168" i="1"/>
  <c r="E1200" i="1"/>
  <c r="E1232" i="1"/>
  <c r="E1264" i="1"/>
  <c r="E1296" i="1"/>
  <c r="E1328" i="1"/>
  <c r="E1360" i="1"/>
  <c r="E1390" i="1"/>
  <c r="E1066" i="1"/>
  <c r="E1130" i="1"/>
  <c r="E1171" i="1"/>
  <c r="E1203" i="1"/>
  <c r="E1235" i="1"/>
  <c r="E1267" i="1"/>
  <c r="E1299" i="1"/>
  <c r="E1331" i="1"/>
  <c r="E1363" i="1"/>
  <c r="E1393" i="1"/>
  <c r="E1075" i="1"/>
  <c r="E1082" i="1"/>
  <c r="E1141" i="1"/>
  <c r="E1179" i="1"/>
  <c r="E1211" i="1"/>
  <c r="E1243" i="1"/>
  <c r="E1275" i="1"/>
  <c r="E1307" i="1"/>
  <c r="E1339" i="1"/>
  <c r="E1371" i="1"/>
  <c r="E9" i="1"/>
  <c r="E1019" i="1"/>
  <c r="E1091" i="1"/>
  <c r="E1148" i="1"/>
  <c r="E1184" i="1"/>
  <c r="E1216" i="1"/>
  <c r="E1248" i="1"/>
  <c r="E1280" i="1"/>
  <c r="E1312" i="1"/>
  <c r="E1344" i="1"/>
  <c r="E1376" i="1"/>
  <c r="E14" i="1"/>
  <c r="E1027" i="1"/>
  <c r="E1098" i="1"/>
  <c r="E1153" i="1"/>
  <c r="E1187" i="1"/>
  <c r="E1219" i="1"/>
  <c r="E1251" i="1"/>
  <c r="E1283" i="1"/>
  <c r="E1315" i="1"/>
  <c r="E1347" i="1"/>
  <c r="E1379" i="1"/>
  <c r="E17" i="1"/>
  <c r="E1041" i="1"/>
  <c r="E1107" i="1"/>
  <c r="E1158" i="1"/>
  <c r="E1192" i="1"/>
  <c r="E1224" i="1"/>
  <c r="E1256" i="1"/>
  <c r="E1288" i="1"/>
  <c r="E1320" i="1"/>
  <c r="E1352" i="1"/>
  <c r="E1384" i="1"/>
  <c r="E1176" i="1"/>
  <c r="E1304" i="1"/>
  <c r="E1195" i="1"/>
  <c r="E1323" i="1"/>
  <c r="E1208" i="1"/>
  <c r="E1336" i="1"/>
  <c r="E1227" i="1"/>
  <c r="E1355" i="1"/>
  <c r="E1240" i="1"/>
  <c r="E1368" i="1"/>
  <c r="E1114" i="1"/>
  <c r="E1259" i="1"/>
  <c r="E1387" i="1"/>
  <c r="E1138" i="1"/>
  <c r="E1272" i="1"/>
  <c r="E6" i="1"/>
  <c r="E1162" i="1"/>
  <c r="E1291" i="1"/>
  <c r="D25" i="1"/>
  <c r="D33" i="1"/>
  <c r="D41" i="1"/>
  <c r="D49" i="1"/>
  <c r="D57" i="1"/>
  <c r="D65" i="1"/>
  <c r="D73" i="1"/>
  <c r="D81" i="1"/>
  <c r="D89" i="1"/>
  <c r="D97" i="1"/>
  <c r="D105" i="1"/>
  <c r="D113" i="1"/>
  <c r="D121" i="1"/>
  <c r="D129" i="1"/>
  <c r="D137" i="1"/>
  <c r="D145" i="1"/>
  <c r="D153" i="1"/>
  <c r="D161" i="1"/>
  <c r="D169" i="1"/>
  <c r="D177" i="1"/>
  <c r="D185" i="1"/>
  <c r="D193" i="1"/>
  <c r="D201" i="1"/>
  <c r="D209" i="1"/>
  <c r="D217" i="1"/>
  <c r="D225" i="1"/>
  <c r="D233" i="1"/>
  <c r="D241" i="1"/>
  <c r="D249" i="1"/>
  <c r="D257" i="1"/>
  <c r="D265" i="1"/>
  <c r="D273" i="1"/>
  <c r="D281" i="1"/>
  <c r="D289" i="1"/>
  <c r="D297" i="1"/>
  <c r="D305" i="1"/>
  <c r="D313" i="1"/>
  <c r="D321" i="1"/>
  <c r="D329" i="1"/>
  <c r="D337" i="1"/>
  <c r="D345" i="1"/>
  <c r="D353" i="1"/>
  <c r="D361" i="1"/>
  <c r="D369" i="1"/>
  <c r="D377" i="1"/>
  <c r="D385" i="1"/>
  <c r="D393" i="1"/>
  <c r="D401" i="1"/>
  <c r="D409" i="1"/>
  <c r="D417" i="1"/>
  <c r="D425" i="1"/>
  <c r="D433" i="1"/>
  <c r="D441" i="1"/>
  <c r="D449" i="1"/>
  <c r="D457" i="1"/>
  <c r="D465" i="1"/>
  <c r="D473" i="1"/>
  <c r="D481" i="1"/>
  <c r="D489" i="1"/>
  <c r="D497" i="1"/>
  <c r="D505" i="1"/>
  <c r="D513" i="1"/>
  <c r="D521" i="1"/>
  <c r="D529" i="1"/>
  <c r="D537" i="1"/>
  <c r="D545" i="1"/>
  <c r="D553" i="1"/>
  <c r="D561" i="1"/>
  <c r="D569" i="1"/>
  <c r="D577" i="1"/>
  <c r="D585" i="1"/>
  <c r="D593" i="1"/>
  <c r="D26" i="1"/>
  <c r="D34" i="1"/>
  <c r="D42" i="1"/>
  <c r="D50" i="1"/>
  <c r="D58" i="1"/>
  <c r="D66" i="1"/>
  <c r="D74" i="1"/>
  <c r="D82" i="1"/>
  <c r="D90" i="1"/>
  <c r="D98" i="1"/>
  <c r="D106" i="1"/>
  <c r="D114" i="1"/>
  <c r="D122" i="1"/>
  <c r="D130" i="1"/>
  <c r="D138" i="1"/>
  <c r="D146" i="1"/>
  <c r="D154" i="1"/>
  <c r="D162" i="1"/>
  <c r="D170" i="1"/>
  <c r="D178" i="1"/>
  <c r="D186" i="1"/>
  <c r="D194" i="1"/>
  <c r="D202" i="1"/>
  <c r="D210" i="1"/>
  <c r="D218" i="1"/>
  <c r="D226" i="1"/>
  <c r="D234" i="1"/>
  <c r="D242" i="1"/>
  <c r="D250" i="1"/>
  <c r="D258" i="1"/>
  <c r="D266" i="1"/>
  <c r="D274" i="1"/>
  <c r="D282" i="1"/>
  <c r="D290" i="1"/>
  <c r="D298" i="1"/>
  <c r="D306" i="1"/>
  <c r="D314" i="1"/>
  <c r="D322" i="1"/>
  <c r="D330" i="1"/>
  <c r="D338" i="1"/>
  <c r="D346" i="1"/>
  <c r="D354" i="1"/>
  <c r="D362" i="1"/>
  <c r="D370" i="1"/>
  <c r="D378" i="1"/>
  <c r="D386" i="1"/>
  <c r="D394" i="1"/>
  <c r="D402" i="1"/>
  <c r="D410" i="1"/>
  <c r="D418" i="1"/>
  <c r="D426" i="1"/>
  <c r="D434" i="1"/>
  <c r="D442" i="1"/>
  <c r="D450" i="1"/>
  <c r="D458" i="1"/>
  <c r="D466" i="1"/>
  <c r="D474" i="1"/>
  <c r="D482" i="1"/>
  <c r="D490" i="1"/>
  <c r="D498" i="1"/>
  <c r="D506" i="1"/>
  <c r="D514" i="1"/>
  <c r="D522" i="1"/>
  <c r="D530" i="1"/>
  <c r="D538" i="1"/>
  <c r="D546" i="1"/>
  <c r="D554" i="1"/>
  <c r="D562" i="1"/>
  <c r="D570" i="1"/>
  <c r="D578" i="1"/>
  <c r="D28" i="1"/>
  <c r="D36" i="1"/>
  <c r="D44" i="1"/>
  <c r="D52" i="1"/>
  <c r="D60" i="1"/>
  <c r="D68" i="1"/>
  <c r="D76" i="1"/>
  <c r="D84" i="1"/>
  <c r="D92" i="1"/>
  <c r="D100" i="1"/>
  <c r="D108" i="1"/>
  <c r="D116" i="1"/>
  <c r="D124" i="1"/>
  <c r="D132" i="1"/>
  <c r="D140" i="1"/>
  <c r="D148" i="1"/>
  <c r="D156" i="1"/>
  <c r="D164" i="1"/>
  <c r="D172" i="1"/>
  <c r="D180" i="1"/>
  <c r="D188" i="1"/>
  <c r="D196" i="1"/>
  <c r="D204" i="1"/>
  <c r="D212" i="1"/>
  <c r="D220" i="1"/>
  <c r="D228" i="1"/>
  <c r="D236" i="1"/>
  <c r="D244" i="1"/>
  <c r="D252" i="1"/>
  <c r="D260" i="1"/>
  <c r="D268" i="1"/>
  <c r="D276" i="1"/>
  <c r="D284" i="1"/>
  <c r="D292" i="1"/>
  <c r="D300" i="1"/>
  <c r="D308" i="1"/>
  <c r="D316" i="1"/>
  <c r="D324" i="1"/>
  <c r="D332" i="1"/>
  <c r="D340" i="1"/>
  <c r="D348" i="1"/>
  <c r="D356" i="1"/>
  <c r="D364" i="1"/>
  <c r="D29" i="1"/>
  <c r="D37" i="1"/>
  <c r="D45" i="1"/>
  <c r="D53" i="1"/>
  <c r="D61" i="1"/>
  <c r="D69" i="1"/>
  <c r="D77" i="1"/>
  <c r="D85" i="1"/>
  <c r="D93" i="1"/>
  <c r="D101" i="1"/>
  <c r="D109" i="1"/>
  <c r="D117" i="1"/>
  <c r="D125" i="1"/>
  <c r="D133" i="1"/>
  <c r="D141" i="1"/>
  <c r="D149" i="1"/>
  <c r="D157" i="1"/>
  <c r="D165" i="1"/>
  <c r="D173" i="1"/>
  <c r="D181" i="1"/>
  <c r="D189" i="1"/>
  <c r="D197" i="1"/>
  <c r="D205" i="1"/>
  <c r="D213" i="1"/>
  <c r="D221" i="1"/>
  <c r="D229" i="1"/>
  <c r="D237" i="1"/>
  <c r="D245" i="1"/>
  <c r="D253" i="1"/>
  <c r="D261" i="1"/>
  <c r="D269" i="1"/>
  <c r="D277" i="1"/>
  <c r="D285" i="1"/>
  <c r="D293" i="1"/>
  <c r="D301" i="1"/>
  <c r="D309" i="1"/>
  <c r="D317" i="1"/>
  <c r="D325" i="1"/>
  <c r="D333" i="1"/>
  <c r="D341" i="1"/>
  <c r="D30" i="1"/>
  <c r="D38" i="1"/>
  <c r="D46" i="1"/>
  <c r="D54" i="1"/>
  <c r="D62" i="1"/>
  <c r="D70" i="1"/>
  <c r="D78" i="1"/>
  <c r="D86" i="1"/>
  <c r="D94" i="1"/>
  <c r="D102" i="1"/>
  <c r="D110" i="1"/>
  <c r="D118" i="1"/>
  <c r="D126" i="1"/>
  <c r="D134" i="1"/>
  <c r="D142" i="1"/>
  <c r="D150" i="1"/>
  <c r="D158" i="1"/>
  <c r="D166" i="1"/>
  <c r="D174" i="1"/>
  <c r="D182" i="1"/>
  <c r="D190" i="1"/>
  <c r="D198" i="1"/>
  <c r="D206" i="1"/>
  <c r="D214" i="1"/>
  <c r="D222" i="1"/>
  <c r="D230" i="1"/>
  <c r="D238" i="1"/>
  <c r="D246" i="1"/>
  <c r="D254" i="1"/>
  <c r="D262" i="1"/>
  <c r="D270" i="1"/>
  <c r="D278" i="1"/>
  <c r="D286" i="1"/>
  <c r="D294" i="1"/>
  <c r="D302" i="1"/>
  <c r="D310" i="1"/>
  <c r="D31" i="1"/>
  <c r="D39" i="1"/>
  <c r="D47" i="1"/>
  <c r="D55" i="1"/>
  <c r="D63" i="1"/>
  <c r="D71" i="1"/>
  <c r="D79" i="1"/>
  <c r="D87" i="1"/>
  <c r="D95" i="1"/>
  <c r="D103" i="1"/>
  <c r="D111" i="1"/>
  <c r="D119" i="1"/>
  <c r="D127" i="1"/>
  <c r="D135" i="1"/>
  <c r="D143" i="1"/>
  <c r="D151" i="1"/>
  <c r="D159" i="1"/>
  <c r="D167" i="1"/>
  <c r="D175" i="1"/>
  <c r="D183" i="1"/>
  <c r="D191" i="1"/>
  <c r="D199" i="1"/>
  <c r="D207" i="1"/>
  <c r="D215" i="1"/>
  <c r="D223" i="1"/>
  <c r="D231" i="1"/>
  <c r="D239" i="1"/>
  <c r="D247" i="1"/>
  <c r="D255" i="1"/>
  <c r="D263" i="1"/>
  <c r="D271" i="1"/>
  <c r="D279" i="1"/>
  <c r="D287" i="1"/>
  <c r="D295" i="1"/>
  <c r="D303" i="1"/>
  <c r="D311" i="1"/>
  <c r="D319" i="1"/>
  <c r="D32" i="1"/>
  <c r="D64" i="1"/>
  <c r="D96" i="1"/>
  <c r="D128" i="1"/>
  <c r="D160" i="1"/>
  <c r="D192" i="1"/>
  <c r="D224" i="1"/>
  <c r="D256" i="1"/>
  <c r="D288" i="1"/>
  <c r="D318" i="1"/>
  <c r="D335" i="1"/>
  <c r="D350" i="1"/>
  <c r="D363" i="1"/>
  <c r="D374" i="1"/>
  <c r="D384" i="1"/>
  <c r="D396" i="1"/>
  <c r="D406" i="1"/>
  <c r="D416" i="1"/>
  <c r="D428" i="1"/>
  <c r="D438" i="1"/>
  <c r="D448" i="1"/>
  <c r="D460" i="1"/>
  <c r="D470" i="1"/>
  <c r="D480" i="1"/>
  <c r="D492" i="1"/>
  <c r="D502" i="1"/>
  <c r="D512" i="1"/>
  <c r="D524" i="1"/>
  <c r="D534" i="1"/>
  <c r="D544" i="1"/>
  <c r="D556" i="1"/>
  <c r="D566" i="1"/>
  <c r="D576" i="1"/>
  <c r="D587" i="1"/>
  <c r="D596" i="1"/>
  <c r="D604" i="1"/>
  <c r="D612" i="1"/>
  <c r="D620" i="1"/>
  <c r="D628" i="1"/>
  <c r="D636" i="1"/>
  <c r="D644" i="1"/>
  <c r="D652" i="1"/>
  <c r="D660" i="1"/>
  <c r="D668" i="1"/>
  <c r="D676" i="1"/>
  <c r="D684" i="1"/>
  <c r="D692" i="1"/>
  <c r="D700" i="1"/>
  <c r="D708" i="1"/>
  <c r="D716" i="1"/>
  <c r="D724" i="1"/>
  <c r="D731" i="1"/>
  <c r="D739" i="1"/>
  <c r="D747" i="1"/>
  <c r="D755" i="1"/>
  <c r="D763" i="1"/>
  <c r="D771" i="1"/>
  <c r="D779" i="1"/>
  <c r="D787" i="1"/>
  <c r="D795" i="1"/>
  <c r="D803" i="1"/>
  <c r="D811" i="1"/>
  <c r="D819" i="1"/>
  <c r="D827" i="1"/>
  <c r="D835" i="1"/>
  <c r="D843" i="1"/>
  <c r="D851" i="1"/>
  <c r="D859" i="1"/>
  <c r="D867" i="1"/>
  <c r="D875" i="1"/>
  <c r="D883" i="1"/>
  <c r="D891" i="1"/>
  <c r="D899" i="1"/>
  <c r="D907" i="1"/>
  <c r="D915" i="1"/>
  <c r="D923" i="1"/>
  <c r="D931" i="1"/>
  <c r="D939" i="1"/>
  <c r="D947" i="1"/>
  <c r="D955" i="1"/>
  <c r="D963" i="1"/>
  <c r="D971" i="1"/>
  <c r="D979" i="1"/>
  <c r="D987" i="1"/>
  <c r="D995" i="1"/>
  <c r="D1003" i="1"/>
  <c r="D1011" i="1"/>
  <c r="D1019" i="1"/>
  <c r="D1027" i="1"/>
  <c r="D1035" i="1"/>
  <c r="D1043" i="1"/>
  <c r="D1051" i="1"/>
  <c r="D1059" i="1"/>
  <c r="D1067" i="1"/>
  <c r="D1075" i="1"/>
  <c r="D1083" i="1"/>
  <c r="D1091" i="1"/>
  <c r="D1099" i="1"/>
  <c r="D1107" i="1"/>
  <c r="D1115" i="1"/>
  <c r="D1123" i="1"/>
  <c r="D1131" i="1"/>
  <c r="D1139" i="1"/>
  <c r="D1147" i="1"/>
  <c r="D35" i="1"/>
  <c r="D67" i="1"/>
  <c r="D99" i="1"/>
  <c r="D131" i="1"/>
  <c r="D163" i="1"/>
  <c r="D195" i="1"/>
  <c r="D227" i="1"/>
  <c r="D259" i="1"/>
  <c r="D291" i="1"/>
  <c r="D320" i="1"/>
  <c r="D336" i="1"/>
  <c r="D351" i="1"/>
  <c r="D365" i="1"/>
  <c r="D375" i="1"/>
  <c r="D387" i="1"/>
  <c r="D397" i="1"/>
  <c r="D407" i="1"/>
  <c r="D419" i="1"/>
  <c r="D429" i="1"/>
  <c r="D439" i="1"/>
  <c r="D451" i="1"/>
  <c r="D461" i="1"/>
  <c r="D471" i="1"/>
  <c r="D483" i="1"/>
  <c r="D493" i="1"/>
  <c r="D503" i="1"/>
  <c r="D515" i="1"/>
  <c r="D525" i="1"/>
  <c r="D535" i="1"/>
  <c r="D547" i="1"/>
  <c r="D557" i="1"/>
  <c r="D567" i="1"/>
  <c r="D579" i="1"/>
  <c r="D588" i="1"/>
  <c r="D597" i="1"/>
  <c r="D605" i="1"/>
  <c r="D613" i="1"/>
  <c r="D621" i="1"/>
  <c r="D629" i="1"/>
  <c r="D637" i="1"/>
  <c r="D645" i="1"/>
  <c r="D653" i="1"/>
  <c r="D661" i="1"/>
  <c r="D669" i="1"/>
  <c r="D677" i="1"/>
  <c r="D685" i="1"/>
  <c r="D693" i="1"/>
  <c r="D701" i="1"/>
  <c r="D709" i="1"/>
  <c r="D717" i="1"/>
  <c r="D725" i="1"/>
  <c r="D732" i="1"/>
  <c r="D740" i="1"/>
  <c r="D748" i="1"/>
  <c r="D756" i="1"/>
  <c r="D764" i="1"/>
  <c r="D772" i="1"/>
  <c r="D780" i="1"/>
  <c r="D788" i="1"/>
  <c r="D796" i="1"/>
  <c r="D804" i="1"/>
  <c r="D812" i="1"/>
  <c r="D820" i="1"/>
  <c r="D828" i="1"/>
  <c r="D836" i="1"/>
  <c r="D844" i="1"/>
  <c r="D852" i="1"/>
  <c r="D860" i="1"/>
  <c r="D868" i="1"/>
  <c r="D876" i="1"/>
  <c r="D884" i="1"/>
  <c r="D892" i="1"/>
  <c r="D900" i="1"/>
  <c r="D908" i="1"/>
  <c r="D916" i="1"/>
  <c r="D924" i="1"/>
  <c r="D932" i="1"/>
  <c r="D940" i="1"/>
  <c r="D948" i="1"/>
  <c r="D956" i="1"/>
  <c r="D964" i="1"/>
  <c r="D972" i="1"/>
  <c r="D43" i="1"/>
  <c r="D75" i="1"/>
  <c r="D107" i="1"/>
  <c r="D139" i="1"/>
  <c r="D171" i="1"/>
  <c r="D203" i="1"/>
  <c r="D235" i="1"/>
  <c r="D267" i="1"/>
  <c r="D299" i="1"/>
  <c r="D326" i="1"/>
  <c r="D342" i="1"/>
  <c r="D355" i="1"/>
  <c r="D367" i="1"/>
  <c r="D379" i="1"/>
  <c r="D389" i="1"/>
  <c r="D399" i="1"/>
  <c r="D411" i="1"/>
  <c r="D421" i="1"/>
  <c r="D431" i="1"/>
  <c r="D443" i="1"/>
  <c r="D453" i="1"/>
  <c r="D463" i="1"/>
  <c r="D475" i="1"/>
  <c r="D485" i="1"/>
  <c r="D495" i="1"/>
  <c r="D507" i="1"/>
  <c r="D517" i="1"/>
  <c r="D527" i="1"/>
  <c r="D539" i="1"/>
  <c r="D549" i="1"/>
  <c r="D559" i="1"/>
  <c r="D571" i="1"/>
  <c r="D581" i="1"/>
  <c r="D590" i="1"/>
  <c r="D599" i="1"/>
  <c r="D607" i="1"/>
  <c r="D615" i="1"/>
  <c r="D623" i="1"/>
  <c r="D631" i="1"/>
  <c r="D639" i="1"/>
  <c r="D647" i="1"/>
  <c r="D655" i="1"/>
  <c r="D663" i="1"/>
  <c r="D671" i="1"/>
  <c r="D679" i="1"/>
  <c r="D687" i="1"/>
  <c r="D695" i="1"/>
  <c r="D703" i="1"/>
  <c r="D711" i="1"/>
  <c r="D719" i="1"/>
  <c r="D734" i="1"/>
  <c r="D742" i="1"/>
  <c r="D750" i="1"/>
  <c r="D758" i="1"/>
  <c r="D766" i="1"/>
  <c r="D774" i="1"/>
  <c r="D782" i="1"/>
  <c r="D790" i="1"/>
  <c r="D798" i="1"/>
  <c r="D806" i="1"/>
  <c r="D814" i="1"/>
  <c r="D822" i="1"/>
  <c r="D830" i="1"/>
  <c r="D838" i="1"/>
  <c r="D846" i="1"/>
  <c r="D854" i="1"/>
  <c r="D862" i="1"/>
  <c r="D870" i="1"/>
  <c r="D878" i="1"/>
  <c r="D886" i="1"/>
  <c r="D894" i="1"/>
  <c r="D902" i="1"/>
  <c r="D910" i="1"/>
  <c r="D918" i="1"/>
  <c r="D926" i="1"/>
  <c r="D934" i="1"/>
  <c r="D48" i="1"/>
  <c r="D80" i="1"/>
  <c r="D112" i="1"/>
  <c r="D144" i="1"/>
  <c r="D176" i="1"/>
  <c r="D208" i="1"/>
  <c r="D240" i="1"/>
  <c r="D272" i="1"/>
  <c r="D304" i="1"/>
  <c r="D327" i="1"/>
  <c r="D343" i="1"/>
  <c r="D357" i="1"/>
  <c r="D368" i="1"/>
  <c r="D380" i="1"/>
  <c r="D390" i="1"/>
  <c r="D400" i="1"/>
  <c r="D412" i="1"/>
  <c r="D422" i="1"/>
  <c r="D432" i="1"/>
  <c r="D444" i="1"/>
  <c r="D454" i="1"/>
  <c r="D464" i="1"/>
  <c r="D476" i="1"/>
  <c r="D486" i="1"/>
  <c r="D496" i="1"/>
  <c r="D508" i="1"/>
  <c r="D518" i="1"/>
  <c r="D528" i="1"/>
  <c r="D540" i="1"/>
  <c r="D550" i="1"/>
  <c r="D560" i="1"/>
  <c r="D572" i="1"/>
  <c r="D582" i="1"/>
  <c r="D591" i="1"/>
  <c r="D600" i="1"/>
  <c r="D608" i="1"/>
  <c r="D616" i="1"/>
  <c r="D624" i="1"/>
  <c r="D632" i="1"/>
  <c r="D640" i="1"/>
  <c r="D648" i="1"/>
  <c r="D656" i="1"/>
  <c r="D664" i="1"/>
  <c r="D672" i="1"/>
  <c r="D680" i="1"/>
  <c r="D688" i="1"/>
  <c r="D696" i="1"/>
  <c r="D704" i="1"/>
  <c r="D712" i="1"/>
  <c r="D720" i="1"/>
  <c r="D727" i="1"/>
  <c r="D735" i="1"/>
  <c r="D743" i="1"/>
  <c r="D751" i="1"/>
  <c r="D759" i="1"/>
  <c r="D767" i="1"/>
  <c r="D775" i="1"/>
  <c r="D783" i="1"/>
  <c r="D791" i="1"/>
  <c r="D799" i="1"/>
  <c r="D807" i="1"/>
  <c r="D815" i="1"/>
  <c r="D823" i="1"/>
  <c r="D831" i="1"/>
  <c r="D839" i="1"/>
  <c r="D847" i="1"/>
  <c r="D855" i="1"/>
  <c r="D863" i="1"/>
  <c r="D871" i="1"/>
  <c r="D879" i="1"/>
  <c r="D887" i="1"/>
  <c r="D895" i="1"/>
  <c r="D903" i="1"/>
  <c r="D911" i="1"/>
  <c r="D51" i="1"/>
  <c r="D83" i="1"/>
  <c r="D115" i="1"/>
  <c r="D147" i="1"/>
  <c r="D179" i="1"/>
  <c r="D211" i="1"/>
  <c r="D243" i="1"/>
  <c r="D275" i="1"/>
  <c r="D307" i="1"/>
  <c r="D328" i="1"/>
  <c r="D344" i="1"/>
  <c r="D358" i="1"/>
  <c r="D371" i="1"/>
  <c r="D381" i="1"/>
  <c r="D391" i="1"/>
  <c r="D403" i="1"/>
  <c r="D413" i="1"/>
  <c r="D423" i="1"/>
  <c r="D435" i="1"/>
  <c r="D445" i="1"/>
  <c r="D455" i="1"/>
  <c r="D467" i="1"/>
  <c r="D477" i="1"/>
  <c r="D487" i="1"/>
  <c r="D499" i="1"/>
  <c r="D509" i="1"/>
  <c r="D519" i="1"/>
  <c r="D531" i="1"/>
  <c r="D541" i="1"/>
  <c r="D551" i="1"/>
  <c r="D563" i="1"/>
  <c r="D573" i="1"/>
  <c r="D583" i="1"/>
  <c r="D592" i="1"/>
  <c r="D601" i="1"/>
  <c r="D609" i="1"/>
  <c r="D617" i="1"/>
  <c r="D625" i="1"/>
  <c r="D633" i="1"/>
  <c r="D641" i="1"/>
  <c r="D649" i="1"/>
  <c r="D657" i="1"/>
  <c r="D665" i="1"/>
  <c r="D673" i="1"/>
  <c r="D681" i="1"/>
  <c r="D689" i="1"/>
  <c r="D697" i="1"/>
  <c r="D705" i="1"/>
  <c r="D713" i="1"/>
  <c r="D721" i="1"/>
  <c r="D728" i="1"/>
  <c r="D736" i="1"/>
  <c r="D744" i="1"/>
  <c r="D752" i="1"/>
  <c r="D760" i="1"/>
  <c r="D768" i="1"/>
  <c r="D776" i="1"/>
  <c r="D24" i="1"/>
  <c r="D56" i="1"/>
  <c r="D88" i="1"/>
  <c r="D120" i="1"/>
  <c r="D152" i="1"/>
  <c r="D184" i="1"/>
  <c r="D216" i="1"/>
  <c r="D248" i="1"/>
  <c r="D280" i="1"/>
  <c r="D312" i="1"/>
  <c r="D331" i="1"/>
  <c r="D347" i="1"/>
  <c r="D359" i="1"/>
  <c r="D372" i="1"/>
  <c r="D382" i="1"/>
  <c r="D392" i="1"/>
  <c r="D404" i="1"/>
  <c r="D414" i="1"/>
  <c r="D424" i="1"/>
  <c r="D436" i="1"/>
  <c r="D446" i="1"/>
  <c r="D456" i="1"/>
  <c r="D468" i="1"/>
  <c r="D478" i="1"/>
  <c r="D488" i="1"/>
  <c r="D500" i="1"/>
  <c r="D510" i="1"/>
  <c r="D520" i="1"/>
  <c r="D532" i="1"/>
  <c r="D542" i="1"/>
  <c r="D552" i="1"/>
  <c r="D564" i="1"/>
  <c r="D574" i="1"/>
  <c r="D584" i="1"/>
  <c r="D594" i="1"/>
  <c r="D602" i="1"/>
  <c r="D610" i="1"/>
  <c r="D618" i="1"/>
  <c r="D626" i="1"/>
  <c r="D634" i="1"/>
  <c r="D642" i="1"/>
  <c r="D650" i="1"/>
  <c r="D658" i="1"/>
  <c r="D666" i="1"/>
  <c r="D674" i="1"/>
  <c r="D682" i="1"/>
  <c r="D690" i="1"/>
  <c r="D698" i="1"/>
  <c r="D706" i="1"/>
  <c r="D714" i="1"/>
  <c r="D722" i="1"/>
  <c r="D729" i="1"/>
  <c r="D737" i="1"/>
  <c r="D745" i="1"/>
  <c r="D753" i="1"/>
  <c r="D761" i="1"/>
  <c r="D769" i="1"/>
  <c r="D777" i="1"/>
  <c r="D785" i="1"/>
  <c r="D40" i="1"/>
  <c r="D168" i="1"/>
  <c r="D296" i="1"/>
  <c r="D366" i="1"/>
  <c r="D408" i="1"/>
  <c r="D452" i="1"/>
  <c r="D494" i="1"/>
  <c r="D536" i="1"/>
  <c r="D580" i="1"/>
  <c r="D614" i="1"/>
  <c r="D646" i="1"/>
  <c r="D678" i="1"/>
  <c r="D710" i="1"/>
  <c r="D741" i="1"/>
  <c r="D773" i="1"/>
  <c r="D794" i="1"/>
  <c r="D810" i="1"/>
  <c r="D826" i="1"/>
  <c r="D842" i="1"/>
  <c r="D858" i="1"/>
  <c r="D874" i="1"/>
  <c r="D890" i="1"/>
  <c r="D906" i="1"/>
  <c r="D921" i="1"/>
  <c r="D935" i="1"/>
  <c r="D945" i="1"/>
  <c r="D957" i="1"/>
  <c r="D967" i="1"/>
  <c r="D977" i="1"/>
  <c r="D986" i="1"/>
  <c r="D996" i="1"/>
  <c r="D1005" i="1"/>
  <c r="D1014" i="1"/>
  <c r="D1023" i="1"/>
  <c r="D1032" i="1"/>
  <c r="D1041" i="1"/>
  <c r="D1050" i="1"/>
  <c r="D1060" i="1"/>
  <c r="D1069" i="1"/>
  <c r="D1078" i="1"/>
  <c r="D1087" i="1"/>
  <c r="D1096" i="1"/>
  <c r="D1105" i="1"/>
  <c r="D1114" i="1"/>
  <c r="D1124" i="1"/>
  <c r="D1133" i="1"/>
  <c r="D1142" i="1"/>
  <c r="D1151" i="1"/>
  <c r="D1159" i="1"/>
  <c r="D1167" i="1"/>
  <c r="D1175" i="1"/>
  <c r="D1183" i="1"/>
  <c r="D1191" i="1"/>
  <c r="D1199" i="1"/>
  <c r="D1207" i="1"/>
  <c r="D1215" i="1"/>
  <c r="D1223" i="1"/>
  <c r="D1231" i="1"/>
  <c r="D1239" i="1"/>
  <c r="D1247" i="1"/>
  <c r="D1255" i="1"/>
  <c r="D1263" i="1"/>
  <c r="D1271" i="1"/>
  <c r="D1279" i="1"/>
  <c r="D1287" i="1"/>
  <c r="D1295" i="1"/>
  <c r="D1303" i="1"/>
  <c r="D1311" i="1"/>
  <c r="D1319" i="1"/>
  <c r="D1327" i="1"/>
  <c r="D1335" i="1"/>
  <c r="D1343" i="1"/>
  <c r="D1351" i="1"/>
  <c r="D1359" i="1"/>
  <c r="D1367" i="1"/>
  <c r="D1375" i="1"/>
  <c r="D1383" i="1"/>
  <c r="D1389" i="1"/>
  <c r="D5" i="1"/>
  <c r="D13" i="1"/>
  <c r="D21" i="1"/>
  <c r="D59" i="1"/>
  <c r="D187" i="1"/>
  <c r="D315" i="1"/>
  <c r="D373" i="1"/>
  <c r="D415" i="1"/>
  <c r="D459" i="1"/>
  <c r="D501" i="1"/>
  <c r="D543" i="1"/>
  <c r="D586" i="1"/>
  <c r="D619" i="1"/>
  <c r="D651" i="1"/>
  <c r="D683" i="1"/>
  <c r="D715" i="1"/>
  <c r="D746" i="1"/>
  <c r="D778" i="1"/>
  <c r="D797" i="1"/>
  <c r="D813" i="1"/>
  <c r="D829" i="1"/>
  <c r="D845" i="1"/>
  <c r="D861" i="1"/>
  <c r="D877" i="1"/>
  <c r="D893" i="1"/>
  <c r="D909" i="1"/>
  <c r="D922" i="1"/>
  <c r="D936" i="1"/>
  <c r="D946" i="1"/>
  <c r="D958" i="1"/>
  <c r="D968" i="1"/>
  <c r="D978" i="1"/>
  <c r="D988" i="1"/>
  <c r="D997" i="1"/>
  <c r="D1006" i="1"/>
  <c r="D1015" i="1"/>
  <c r="D1024" i="1"/>
  <c r="D1033" i="1"/>
  <c r="D1042" i="1"/>
  <c r="D1052" i="1"/>
  <c r="D1061" i="1"/>
  <c r="D1070" i="1"/>
  <c r="D1079" i="1"/>
  <c r="D1088" i="1"/>
  <c r="D1097" i="1"/>
  <c r="D1106" i="1"/>
  <c r="D1116" i="1"/>
  <c r="D1125" i="1"/>
  <c r="D1134" i="1"/>
  <c r="D1143" i="1"/>
  <c r="D1152" i="1"/>
  <c r="D1160" i="1"/>
  <c r="D1168" i="1"/>
  <c r="D1176" i="1"/>
  <c r="D1184" i="1"/>
  <c r="D1192" i="1"/>
  <c r="D1200" i="1"/>
  <c r="D1208" i="1"/>
  <c r="D1216" i="1"/>
  <c r="D1224" i="1"/>
  <c r="D1232" i="1"/>
  <c r="D1240" i="1"/>
  <c r="D1248" i="1"/>
  <c r="D1256" i="1"/>
  <c r="D1264" i="1"/>
  <c r="D1272" i="1"/>
  <c r="D1280" i="1"/>
  <c r="D1288" i="1"/>
  <c r="D1296" i="1"/>
  <c r="D1304" i="1"/>
  <c r="D1312" i="1"/>
  <c r="D1320" i="1"/>
  <c r="D1328" i="1"/>
  <c r="D1336" i="1"/>
  <c r="D1344" i="1"/>
  <c r="D1352" i="1"/>
  <c r="D1360" i="1"/>
  <c r="D1368" i="1"/>
  <c r="D1376" i="1"/>
  <c r="D1384" i="1"/>
  <c r="D1390" i="1"/>
  <c r="D6" i="1"/>
  <c r="D14" i="1"/>
  <c r="D22" i="1"/>
  <c r="D72" i="1"/>
  <c r="D200" i="1"/>
  <c r="D323" i="1"/>
  <c r="D376" i="1"/>
  <c r="D420" i="1"/>
  <c r="D462" i="1"/>
  <c r="D504" i="1"/>
  <c r="D548" i="1"/>
  <c r="D589" i="1"/>
  <c r="D622" i="1"/>
  <c r="D654" i="1"/>
  <c r="D686" i="1"/>
  <c r="D718" i="1"/>
  <c r="D749" i="1"/>
  <c r="D781" i="1"/>
  <c r="D800" i="1"/>
  <c r="D816" i="1"/>
  <c r="D832" i="1"/>
  <c r="D848" i="1"/>
  <c r="D864" i="1"/>
  <c r="D880" i="1"/>
  <c r="D896" i="1"/>
  <c r="D912" i="1"/>
  <c r="D925" i="1"/>
  <c r="D937" i="1"/>
  <c r="D949" i="1"/>
  <c r="D959" i="1"/>
  <c r="D969" i="1"/>
  <c r="D980" i="1"/>
  <c r="D989" i="1"/>
  <c r="D998" i="1"/>
  <c r="D1007" i="1"/>
  <c r="D1016" i="1"/>
  <c r="D1025" i="1"/>
  <c r="D1034" i="1"/>
  <c r="D1044" i="1"/>
  <c r="D1053" i="1"/>
  <c r="D1062" i="1"/>
  <c r="D1071" i="1"/>
  <c r="D1080" i="1"/>
  <c r="D1089" i="1"/>
  <c r="D1098" i="1"/>
  <c r="D1108" i="1"/>
  <c r="D1117" i="1"/>
  <c r="D1126" i="1"/>
  <c r="D1135" i="1"/>
  <c r="D1144" i="1"/>
  <c r="D1153" i="1"/>
  <c r="D1161" i="1"/>
  <c r="D1169" i="1"/>
  <c r="D1177" i="1"/>
  <c r="D1185" i="1"/>
  <c r="D1193" i="1"/>
  <c r="D1201" i="1"/>
  <c r="D1209" i="1"/>
  <c r="D1217" i="1"/>
  <c r="D1225" i="1"/>
  <c r="D1233" i="1"/>
  <c r="D1241" i="1"/>
  <c r="D1249" i="1"/>
  <c r="D1257" i="1"/>
  <c r="D1265" i="1"/>
  <c r="D1273" i="1"/>
  <c r="D1281" i="1"/>
  <c r="D1289" i="1"/>
  <c r="D1297" i="1"/>
  <c r="D1305" i="1"/>
  <c r="D1313" i="1"/>
  <c r="D1321" i="1"/>
  <c r="D1329" i="1"/>
  <c r="D1337" i="1"/>
  <c r="D1345" i="1"/>
  <c r="D1353" i="1"/>
  <c r="D1361" i="1"/>
  <c r="D1369" i="1"/>
  <c r="D1377" i="1"/>
  <c r="D1385" i="1"/>
  <c r="D1391" i="1"/>
  <c r="D7" i="1"/>
  <c r="D15" i="1"/>
  <c r="D23" i="1"/>
  <c r="D91" i="1"/>
  <c r="D219" i="1"/>
  <c r="D334" i="1"/>
  <c r="D383" i="1"/>
  <c r="D427" i="1"/>
  <c r="D469" i="1"/>
  <c r="D511" i="1"/>
  <c r="D555" i="1"/>
  <c r="D595" i="1"/>
  <c r="D627" i="1"/>
  <c r="D659" i="1"/>
  <c r="D691" i="1"/>
  <c r="D723" i="1"/>
  <c r="D754" i="1"/>
  <c r="D784" i="1"/>
  <c r="D801" i="1"/>
  <c r="D817" i="1"/>
  <c r="D833" i="1"/>
  <c r="D849" i="1"/>
  <c r="D865" i="1"/>
  <c r="D881" i="1"/>
  <c r="D897" i="1"/>
  <c r="D913" i="1"/>
  <c r="D927" i="1"/>
  <c r="D938" i="1"/>
  <c r="D950" i="1"/>
  <c r="D960" i="1"/>
  <c r="D970" i="1"/>
  <c r="D981" i="1"/>
  <c r="D990" i="1"/>
  <c r="D999" i="1"/>
  <c r="D1008" i="1"/>
  <c r="D1017" i="1"/>
  <c r="D1026" i="1"/>
  <c r="D1036" i="1"/>
  <c r="D1045" i="1"/>
  <c r="D1054" i="1"/>
  <c r="D1063" i="1"/>
  <c r="D1072" i="1"/>
  <c r="D1081" i="1"/>
  <c r="D1090" i="1"/>
  <c r="D1100" i="1"/>
  <c r="D1109" i="1"/>
  <c r="D1118" i="1"/>
  <c r="D1127" i="1"/>
  <c r="D1136" i="1"/>
  <c r="D1145" i="1"/>
  <c r="D1154" i="1"/>
  <c r="D1162" i="1"/>
  <c r="D1170" i="1"/>
  <c r="D1178" i="1"/>
  <c r="D1186" i="1"/>
  <c r="D1194" i="1"/>
  <c r="D1202" i="1"/>
  <c r="D1210" i="1"/>
  <c r="D1218" i="1"/>
  <c r="D1226" i="1"/>
  <c r="D1234" i="1"/>
  <c r="D1242" i="1"/>
  <c r="D1250" i="1"/>
  <c r="D1258" i="1"/>
  <c r="D1266" i="1"/>
  <c r="D1274" i="1"/>
  <c r="D1282" i="1"/>
  <c r="D1290" i="1"/>
  <c r="D1298" i="1"/>
  <c r="D1306" i="1"/>
  <c r="D1314" i="1"/>
  <c r="D1322" i="1"/>
  <c r="D1330" i="1"/>
  <c r="D1338" i="1"/>
  <c r="D1346" i="1"/>
  <c r="D1354" i="1"/>
  <c r="D1362" i="1"/>
  <c r="D1370" i="1"/>
  <c r="D1378" i="1"/>
  <c r="D1386" i="1"/>
  <c r="D1392" i="1"/>
  <c r="D8" i="1"/>
  <c r="D16" i="1"/>
  <c r="D2" i="1"/>
  <c r="D104" i="1"/>
  <c r="D232" i="1"/>
  <c r="D339" i="1"/>
  <c r="D388" i="1"/>
  <c r="D430" i="1"/>
  <c r="D472" i="1"/>
  <c r="D516" i="1"/>
  <c r="D558" i="1"/>
  <c r="D598" i="1"/>
  <c r="D630" i="1"/>
  <c r="D662" i="1"/>
  <c r="D694" i="1"/>
  <c r="D726" i="1"/>
  <c r="D757" i="1"/>
  <c r="D786" i="1"/>
  <c r="D802" i="1"/>
  <c r="D818" i="1"/>
  <c r="D834" i="1"/>
  <c r="D850" i="1"/>
  <c r="D866" i="1"/>
  <c r="D882" i="1"/>
  <c r="D898" i="1"/>
  <c r="D914" i="1"/>
  <c r="D928" i="1"/>
  <c r="D941" i="1"/>
  <c r="D951" i="1"/>
  <c r="D961" i="1"/>
  <c r="D973" i="1"/>
  <c r="D982" i="1"/>
  <c r="D991" i="1"/>
  <c r="D1000" i="1"/>
  <c r="D1009" i="1"/>
  <c r="D1018" i="1"/>
  <c r="D1028" i="1"/>
  <c r="D1037" i="1"/>
  <c r="D1046" i="1"/>
  <c r="D1055" i="1"/>
  <c r="D1064" i="1"/>
  <c r="D1073" i="1"/>
  <c r="D1082" i="1"/>
  <c r="D1092" i="1"/>
  <c r="D1101" i="1"/>
  <c r="D1110" i="1"/>
  <c r="D1119" i="1"/>
  <c r="D1128" i="1"/>
  <c r="D1137" i="1"/>
  <c r="D1146" i="1"/>
  <c r="D1155" i="1"/>
  <c r="D1163" i="1"/>
  <c r="D1171" i="1"/>
  <c r="D1179" i="1"/>
  <c r="D1187" i="1"/>
  <c r="D1195" i="1"/>
  <c r="D1203" i="1"/>
  <c r="D1211" i="1"/>
  <c r="D1219" i="1"/>
  <c r="D1227" i="1"/>
  <c r="D1235" i="1"/>
  <c r="D1243" i="1"/>
  <c r="D1251" i="1"/>
  <c r="D1259" i="1"/>
  <c r="D1267" i="1"/>
  <c r="D1275" i="1"/>
  <c r="D1283" i="1"/>
  <c r="D1291" i="1"/>
  <c r="D1299" i="1"/>
  <c r="D1307" i="1"/>
  <c r="D1315" i="1"/>
  <c r="D1323" i="1"/>
  <c r="D1331" i="1"/>
  <c r="D1339" i="1"/>
  <c r="D1347" i="1"/>
  <c r="D1355" i="1"/>
  <c r="D1363" i="1"/>
  <c r="D1371" i="1"/>
  <c r="D1379" i="1"/>
  <c r="D1387" i="1"/>
  <c r="D1393" i="1"/>
  <c r="D9" i="1"/>
  <c r="D17" i="1"/>
  <c r="D123" i="1"/>
  <c r="D251" i="1"/>
  <c r="D349" i="1"/>
  <c r="D395" i="1"/>
  <c r="D437" i="1"/>
  <c r="D479" i="1"/>
  <c r="D523" i="1"/>
  <c r="D565" i="1"/>
  <c r="D603" i="1"/>
  <c r="D635" i="1"/>
  <c r="D667" i="1"/>
  <c r="D699" i="1"/>
  <c r="D730" i="1"/>
  <c r="D762" i="1"/>
  <c r="D789" i="1"/>
  <c r="D805" i="1"/>
  <c r="D821" i="1"/>
  <c r="D837" i="1"/>
  <c r="D853" i="1"/>
  <c r="D869" i="1"/>
  <c r="D885" i="1"/>
  <c r="D901" i="1"/>
  <c r="D917" i="1"/>
  <c r="D929" i="1"/>
  <c r="D942" i="1"/>
  <c r="D952" i="1"/>
  <c r="D962" i="1"/>
  <c r="D974" i="1"/>
  <c r="D983" i="1"/>
  <c r="D992" i="1"/>
  <c r="D1001" i="1"/>
  <c r="D1010" i="1"/>
  <c r="D1020" i="1"/>
  <c r="D1029" i="1"/>
  <c r="D1038" i="1"/>
  <c r="D1047" i="1"/>
  <c r="D1056" i="1"/>
  <c r="D1065" i="1"/>
  <c r="D1074" i="1"/>
  <c r="D1084" i="1"/>
  <c r="D1093" i="1"/>
  <c r="D1102" i="1"/>
  <c r="D1111" i="1"/>
  <c r="D1120" i="1"/>
  <c r="D1129" i="1"/>
  <c r="D1138" i="1"/>
  <c r="D1148" i="1"/>
  <c r="D1156" i="1"/>
  <c r="D1164" i="1"/>
  <c r="D1172" i="1"/>
  <c r="D1180" i="1"/>
  <c r="D1188" i="1"/>
  <c r="D1196" i="1"/>
  <c r="D1204" i="1"/>
  <c r="D1212" i="1"/>
  <c r="D1220" i="1"/>
  <c r="D1228" i="1"/>
  <c r="D1236" i="1"/>
  <c r="D1244" i="1"/>
  <c r="D1252" i="1"/>
  <c r="D1260" i="1"/>
  <c r="D1268" i="1"/>
  <c r="D1276" i="1"/>
  <c r="D1284" i="1"/>
  <c r="D1292" i="1"/>
  <c r="D1300" i="1"/>
  <c r="D1308" i="1"/>
  <c r="D1316" i="1"/>
  <c r="D1324" i="1"/>
  <c r="D1332" i="1"/>
  <c r="D1340" i="1"/>
  <c r="D1348" i="1"/>
  <c r="D1356" i="1"/>
  <c r="D1364" i="1"/>
  <c r="D1372" i="1"/>
  <c r="D1380" i="1"/>
  <c r="D1394" i="1"/>
  <c r="D10" i="1"/>
  <c r="D18" i="1"/>
  <c r="D136" i="1"/>
  <c r="D264" i="1"/>
  <c r="D352" i="1"/>
  <c r="D398" i="1"/>
  <c r="D440" i="1"/>
  <c r="D484" i="1"/>
  <c r="D526" i="1"/>
  <c r="D568" i="1"/>
  <c r="D606" i="1"/>
  <c r="D638" i="1"/>
  <c r="D670" i="1"/>
  <c r="D702" i="1"/>
  <c r="D733" i="1"/>
  <c r="D765" i="1"/>
  <c r="D792" i="1"/>
  <c r="D808" i="1"/>
  <c r="D824" i="1"/>
  <c r="D840" i="1"/>
  <c r="D856" i="1"/>
  <c r="D872" i="1"/>
  <c r="D888" i="1"/>
  <c r="D904" i="1"/>
  <c r="D919" i="1"/>
  <c r="D930" i="1"/>
  <c r="D943" i="1"/>
  <c r="D953" i="1"/>
  <c r="D965" i="1"/>
  <c r="D975" i="1"/>
  <c r="D984" i="1"/>
  <c r="D993" i="1"/>
  <c r="D1002" i="1"/>
  <c r="D1012" i="1"/>
  <c r="D1021" i="1"/>
  <c r="D1030" i="1"/>
  <c r="D1039" i="1"/>
  <c r="D1048" i="1"/>
  <c r="D1057" i="1"/>
  <c r="D1066" i="1"/>
  <c r="D1076" i="1"/>
  <c r="D1085" i="1"/>
  <c r="D1094" i="1"/>
  <c r="D1103" i="1"/>
  <c r="D1112" i="1"/>
  <c r="D1121" i="1"/>
  <c r="D1130" i="1"/>
  <c r="D1140" i="1"/>
  <c r="D1149" i="1"/>
  <c r="D1157" i="1"/>
  <c r="D1165" i="1"/>
  <c r="D1173" i="1"/>
  <c r="D1181" i="1"/>
  <c r="D1189" i="1"/>
  <c r="D1197" i="1"/>
  <c r="D1205" i="1"/>
  <c r="D1213" i="1"/>
  <c r="D1221" i="1"/>
  <c r="D1229" i="1"/>
  <c r="D1237" i="1"/>
  <c r="D1245" i="1"/>
  <c r="D1253" i="1"/>
  <c r="D1261" i="1"/>
  <c r="D1269" i="1"/>
  <c r="D1277" i="1"/>
  <c r="D1285" i="1"/>
  <c r="D1293" i="1"/>
  <c r="D1301" i="1"/>
  <c r="D1309" i="1"/>
  <c r="D1317" i="1"/>
  <c r="D1325" i="1"/>
  <c r="D1333" i="1"/>
  <c r="D1341" i="1"/>
  <c r="D1349" i="1"/>
  <c r="D1357" i="1"/>
  <c r="D1365" i="1"/>
  <c r="D1373" i="1"/>
  <c r="D1381" i="1"/>
  <c r="D3" i="1"/>
  <c r="D11" i="1"/>
  <c r="D19" i="1"/>
  <c r="D27" i="1"/>
  <c r="D155" i="1"/>
  <c r="D283" i="1"/>
  <c r="D360" i="1"/>
  <c r="D405" i="1"/>
  <c r="D447" i="1"/>
  <c r="D491" i="1"/>
  <c r="D533" i="1"/>
  <c r="D575" i="1"/>
  <c r="D611" i="1"/>
  <c r="D643" i="1"/>
  <c r="D675" i="1"/>
  <c r="D707" i="1"/>
  <c r="D738" i="1"/>
  <c r="D770" i="1"/>
  <c r="D793" i="1"/>
  <c r="D809" i="1"/>
  <c r="D825" i="1"/>
  <c r="D841" i="1"/>
  <c r="D857" i="1"/>
  <c r="D873" i="1"/>
  <c r="D889" i="1"/>
  <c r="D905" i="1"/>
  <c r="D920" i="1"/>
  <c r="D933" i="1"/>
  <c r="D944" i="1"/>
  <c r="D954" i="1"/>
  <c r="D966" i="1"/>
  <c r="D976" i="1"/>
  <c r="D985" i="1"/>
  <c r="D994" i="1"/>
  <c r="D1004" i="1"/>
  <c r="D1013" i="1"/>
  <c r="D1022" i="1"/>
  <c r="D1031" i="1"/>
  <c r="D1040" i="1"/>
  <c r="D1049" i="1"/>
  <c r="D1058" i="1"/>
  <c r="D1068" i="1"/>
  <c r="D1077" i="1"/>
  <c r="D1086" i="1"/>
  <c r="D1095" i="1"/>
  <c r="D1104" i="1"/>
  <c r="D1113" i="1"/>
  <c r="D1122" i="1"/>
  <c r="D1132" i="1"/>
  <c r="D1141" i="1"/>
  <c r="D1150" i="1"/>
  <c r="D1158" i="1"/>
  <c r="D1166" i="1"/>
  <c r="D1174" i="1"/>
  <c r="D1182" i="1"/>
  <c r="D1190" i="1"/>
  <c r="D1198" i="1"/>
  <c r="D1206" i="1"/>
  <c r="D1214" i="1"/>
  <c r="D1222" i="1"/>
  <c r="D1230" i="1"/>
  <c r="D1238" i="1"/>
  <c r="D1246" i="1"/>
  <c r="D1254" i="1"/>
  <c r="D1262" i="1"/>
  <c r="D1270" i="1"/>
  <c r="D1278" i="1"/>
  <c r="D1286" i="1"/>
  <c r="D1294" i="1"/>
  <c r="D1302" i="1"/>
  <c r="D1310" i="1"/>
  <c r="D1318" i="1"/>
  <c r="D1326" i="1"/>
  <c r="D1334" i="1"/>
  <c r="D1342" i="1"/>
  <c r="D1350" i="1"/>
  <c r="D1358" i="1"/>
  <c r="D1366" i="1"/>
  <c r="D1374" i="1"/>
  <c r="D1382" i="1"/>
  <c r="D1388" i="1"/>
  <c r="D4" i="1"/>
  <c r="D12" i="1"/>
  <c r="D20" i="1"/>
  <c r="B315" i="3" a="1"/>
  <c r="B61" i="3" a="1"/>
  <c r="B1248" i="3" a="1"/>
  <c r="B891" i="3" a="1"/>
  <c r="B1077" i="3" a="1"/>
  <c r="B1290" i="3" a="1"/>
  <c r="B757" i="3" a="1"/>
  <c r="B1379" i="3" a="1"/>
  <c r="C409" i="3" a="1"/>
  <c r="C533" i="3" a="1"/>
  <c r="C948" i="3" a="1"/>
  <c r="C389" i="3" a="1"/>
  <c r="C1226" i="3" a="1"/>
  <c r="C867" i="3" a="1"/>
  <c r="C538" i="3" a="1"/>
  <c r="B552" i="3" a="1"/>
  <c r="C529" i="3" a="1"/>
  <c r="C271" i="3" a="1"/>
  <c r="B1299" i="3" a="1"/>
  <c r="C1012" i="3" a="1"/>
  <c r="B1349" i="3" a="1"/>
  <c r="B662" i="3" a="1"/>
  <c r="C1359" i="3" a="1"/>
  <c r="C112" i="3" a="1"/>
  <c r="C857" i="3" a="1"/>
  <c r="C677" i="3" a="1"/>
  <c r="B994" i="3" a="1"/>
  <c r="C1110" i="3" a="1"/>
  <c r="C330" i="3" a="1"/>
  <c r="B1281" i="3" a="1"/>
  <c r="C872" i="3" a="1"/>
  <c r="B1382" i="3" a="1"/>
  <c r="B88" i="3" a="1"/>
  <c r="B271" i="3" a="1"/>
  <c r="C379" i="3" a="1"/>
  <c r="B1022" i="3" a="1"/>
  <c r="C1187" i="3" a="1"/>
  <c r="B745" i="3" a="1"/>
  <c r="B660" i="3" a="1"/>
  <c r="B1329" i="3" a="1"/>
  <c r="B999" i="3" a="1"/>
  <c r="B139" i="3" a="1"/>
  <c r="B55" i="3" a="1"/>
  <c r="B441" i="3" a="1"/>
  <c r="B597" i="3" a="1"/>
  <c r="B777" i="3" a="1"/>
  <c r="C962" i="3" a="1"/>
  <c r="B118" i="3" a="1"/>
  <c r="C625" i="3" a="1"/>
  <c r="B319" i="3" a="1"/>
  <c r="B96" i="3" a="1"/>
  <c r="C179" i="3" a="1"/>
  <c r="C794" i="3" a="1"/>
  <c r="B973" i="3" a="1"/>
  <c r="B327" i="3" a="1"/>
  <c r="B396" i="3" a="1"/>
  <c r="B861" i="3" a="1"/>
  <c r="B974" i="3" a="1"/>
  <c r="B1267" i="3" a="1"/>
  <c r="B1062" i="3" a="1"/>
  <c r="B932" i="3" a="1"/>
  <c r="B1346" i="3" a="1"/>
  <c r="B239" i="3" a="1"/>
  <c r="B645" i="3" a="1"/>
  <c r="C1164" i="3" a="1"/>
  <c r="B1079" i="3" a="1"/>
  <c r="C701" i="3" a="1"/>
  <c r="C145" i="3" a="1"/>
  <c r="C1139" i="3" a="1"/>
  <c r="C608" i="3" a="1"/>
  <c r="C191" i="3" a="1"/>
  <c r="C693" i="3" a="1"/>
  <c r="B562" i="3" a="1"/>
  <c r="B723" i="3" a="1"/>
  <c r="B435" i="3" a="1"/>
  <c r="B460" i="3" a="1"/>
  <c r="B413" i="3" a="1"/>
  <c r="C526" i="3" a="1"/>
  <c r="B485" i="3" a="1"/>
  <c r="B566" i="3" a="1"/>
  <c r="B981" i="3" a="1"/>
  <c r="B358" i="3" a="1"/>
  <c r="C473" i="3" a="1"/>
  <c r="C225" i="3" a="1"/>
  <c r="C237" i="3" a="1"/>
  <c r="B316" i="3" a="1"/>
  <c r="B629" i="3" a="1"/>
  <c r="B255" i="3" a="1"/>
  <c r="C1336" i="3" a="1"/>
  <c r="C298" i="3" a="1"/>
  <c r="C455" i="3" a="1"/>
  <c r="C238" i="3" a="1"/>
  <c r="C698" i="3" a="1"/>
  <c r="C580" i="3" a="1"/>
  <c r="B184" i="3" a="1"/>
  <c r="B50" i="3" a="1"/>
  <c r="B991" i="3" a="1"/>
  <c r="B1347" i="3" a="1"/>
  <c r="B575" i="3" a="1"/>
  <c r="B149" i="3" a="1"/>
  <c r="C375" i="3" a="1"/>
  <c r="B52" i="3" a="1"/>
  <c r="C83" i="3" a="1"/>
  <c r="C1188" i="3" a="1"/>
  <c r="C278" i="3" a="1"/>
  <c r="C164" i="3" a="1"/>
  <c r="C1178" i="3" a="1"/>
  <c r="C1089" i="3" a="1"/>
  <c r="C80" i="3" a="1"/>
  <c r="C573" i="3" a="1"/>
  <c r="C1267" i="3" a="1"/>
  <c r="B866" i="3" a="1"/>
  <c r="B517" i="3" a="1"/>
  <c r="B689" i="3" a="1"/>
  <c r="C501" i="3" a="1"/>
  <c r="C1231" i="3" a="1"/>
  <c r="C56" i="3" a="1"/>
  <c r="C753" i="3" a="1"/>
  <c r="B247" i="3" a="1"/>
  <c r="C622" i="3" a="1"/>
  <c r="C1091" i="3" a="1"/>
  <c r="B944" i="3" a="1"/>
  <c r="C467" i="3" a="1"/>
  <c r="B551" i="3" a="1"/>
  <c r="B102" i="3" a="1"/>
  <c r="C304" i="3" a="1"/>
  <c r="C408" i="3" a="1"/>
  <c r="B186" i="3" a="1"/>
  <c r="B446" i="3" a="1"/>
  <c r="C1079" i="3" a="1"/>
  <c r="B1216" i="3" a="1"/>
  <c r="C564" i="3" a="1"/>
  <c r="C585" i="3" a="1"/>
  <c r="B933" i="3" a="1"/>
  <c r="B613" i="3" a="1"/>
  <c r="C1109" i="3" a="1"/>
  <c r="B471" i="3" a="1"/>
  <c r="C405" i="3" a="1"/>
  <c r="C841" i="3" a="1"/>
  <c r="C956" i="3" a="1"/>
  <c r="B1100" i="3" a="1"/>
  <c r="B543" i="3" a="1"/>
  <c r="B1078" i="3" a="1"/>
  <c r="C530" i="3" a="1"/>
  <c r="B612" i="3" a="1"/>
  <c r="B652" i="3" a="1"/>
  <c r="C38" i="3" a="1"/>
  <c r="C1371" i="3" a="1"/>
  <c r="C670" i="3" a="1"/>
  <c r="B1309" i="3" a="1"/>
  <c r="B1003" i="3" a="1"/>
  <c r="B863" i="3" a="1"/>
  <c r="C1036" i="3" a="1"/>
  <c r="C1264" i="3" a="1"/>
  <c r="C1002" i="3" a="1"/>
  <c r="B797" i="3" a="1"/>
  <c r="C802" i="3" a="1"/>
  <c r="B389" i="3" a="1"/>
  <c r="B860" i="3" a="1"/>
  <c r="B221" i="3" a="1"/>
  <c r="C816" i="3" a="1"/>
  <c r="C72" i="3" a="1"/>
  <c r="B954" i="3" a="1"/>
  <c r="C1339" i="3" a="1"/>
  <c r="C652" i="3" a="1"/>
  <c r="C432" i="3" a="1"/>
  <c r="B265" i="3" a="1"/>
  <c r="B872" i="3" a="1"/>
  <c r="B1110" i="3" a="1"/>
  <c r="B339" i="3" a="1"/>
  <c r="B73" i="3" a="1"/>
  <c r="B901" i="3" a="1"/>
  <c r="B1020" i="3" a="1"/>
  <c r="B1336" i="3" a="1"/>
  <c r="B760" i="3" a="1"/>
  <c r="B651" i="3" a="1"/>
  <c r="C626" i="3" a="1"/>
  <c r="C270" i="3" a="1"/>
  <c r="C587" i="3" a="1"/>
  <c r="B1270" i="3" a="1"/>
  <c r="B314" i="3" a="1"/>
  <c r="B333" i="3" a="1"/>
  <c r="B705" i="3" a="1"/>
  <c r="B1167" i="3" a="1"/>
  <c r="C773" i="3" a="1"/>
  <c r="B824" i="3" a="1"/>
  <c r="C206" i="3" a="1"/>
  <c r="B183" i="3" a="1"/>
  <c r="B1033" i="3" a="1"/>
  <c r="B14" i="3" a="1"/>
  <c r="C764" i="3" a="1"/>
  <c r="B292" i="3" a="1"/>
  <c r="B542" i="3" a="1"/>
  <c r="B1160" i="3" a="1"/>
  <c r="B395" i="3" a="1"/>
  <c r="C737" i="3" a="1"/>
  <c r="C313" i="3" a="1"/>
  <c r="C366" i="3" a="1"/>
  <c r="B670" i="3" a="1"/>
  <c r="C194" i="3" a="1"/>
  <c r="B215" i="3" a="1"/>
  <c r="B811" i="3" a="1"/>
  <c r="C230" i="3" a="1"/>
  <c r="C1280" i="3" a="1"/>
  <c r="B51" i="3" a="1"/>
  <c r="C919" i="3" a="1"/>
  <c r="C381" i="3" a="1"/>
  <c r="C62" i="3" a="1"/>
  <c r="B646" i="3" a="1"/>
  <c r="C544" i="3" a="1"/>
  <c r="C926" i="3" a="1"/>
  <c r="C1120" i="3" a="1"/>
  <c r="C821" i="3" a="1"/>
  <c r="C35" i="3" a="1"/>
  <c r="C444" i="3" a="1"/>
  <c r="B1212" i="3" a="1"/>
  <c r="B906" i="3" a="1"/>
  <c r="C1092" i="3" a="1"/>
  <c r="B137" i="3" a="1"/>
  <c r="C963" i="3" a="1"/>
  <c r="C1185" i="3" a="1"/>
  <c r="C792" i="3" a="1"/>
  <c r="B478" i="3" a="1"/>
  <c r="C1321" i="3" a="1"/>
  <c r="B1241" i="3" a="1"/>
  <c r="B142" i="3" a="1"/>
  <c r="C1342" i="3" a="1"/>
  <c r="B116" i="3" a="1"/>
  <c r="C1305" i="3" a="1"/>
  <c r="B1146" i="3" a="1"/>
  <c r="C127" i="3" a="1"/>
  <c r="C53" i="3" a="1"/>
  <c r="C132" i="3" a="1"/>
  <c r="B267" i="3" a="1"/>
  <c r="B40" i="3" a="1"/>
  <c r="C454" i="3" a="1"/>
  <c r="B529" i="3" a="1"/>
  <c r="C23" i="3" a="1"/>
  <c r="C338" i="3" a="1"/>
  <c r="B1355" i="3" a="1"/>
  <c r="C1083" i="3" a="1"/>
  <c r="C352" i="3" a="1"/>
  <c r="B1226" i="3" a="1"/>
  <c r="B640" i="3" a="1"/>
  <c r="B616" i="3" a="1"/>
  <c r="C1233" i="3" a="1"/>
  <c r="B700" i="3" a="1"/>
  <c r="C341" i="3" a="1"/>
  <c r="B795" i="3" a="1"/>
  <c r="C734" i="3" a="1"/>
  <c r="B920" i="3" a="1"/>
  <c r="B565" i="3" a="1"/>
  <c r="B718" i="3" a="1"/>
  <c r="C189" i="3" a="1"/>
  <c r="C807" i="3" a="1"/>
  <c r="B464" i="3" a="1"/>
  <c r="C1381" i="3" a="1"/>
  <c r="B699" i="3" a="1"/>
  <c r="B1378" i="3" a="1"/>
  <c r="B1236" i="3" a="1"/>
  <c r="B1265" i="3" a="1"/>
  <c r="B768" i="3" a="1"/>
  <c r="B1021" i="3" a="1"/>
  <c r="B1369" i="3" a="1"/>
  <c r="C50" i="3" a="1"/>
  <c r="B392" i="3" a="1"/>
  <c r="C1203" i="3" a="1"/>
  <c r="C151" i="3" a="1"/>
  <c r="B1064" i="3" a="1"/>
  <c r="B1201" i="3" a="1"/>
  <c r="B411" i="3" a="1"/>
  <c r="B210" i="3" a="1"/>
  <c r="C576" i="3" a="1"/>
  <c r="B167" i="3" a="1"/>
  <c r="B171" i="3" a="1"/>
  <c r="C185" i="3" a="1"/>
  <c r="C614" i="3" a="1"/>
  <c r="C617" i="3" a="1"/>
  <c r="B127" i="3" a="1"/>
  <c r="B1306" i="3" a="1"/>
  <c r="B161" i="3" a="1"/>
  <c r="B1098" i="3" a="1"/>
  <c r="C1372" i="3" a="1"/>
  <c r="C757" i="3" a="1"/>
  <c r="C561" i="3" a="1"/>
  <c r="B929" i="3" a="1"/>
  <c r="B708" i="3" a="1"/>
  <c r="C66" i="3" a="1"/>
  <c r="B1277" i="3" a="1"/>
  <c r="C417" i="3" a="1"/>
  <c r="C245" i="3" a="1"/>
  <c r="C643" i="3" a="1"/>
  <c r="C163" i="3" a="1"/>
  <c r="C1299" i="3" a="1"/>
  <c r="C1262" i="3" a="1"/>
  <c r="B668" i="3" a="1"/>
  <c r="B924" i="3" a="1"/>
  <c r="B1161" i="3" a="1"/>
  <c r="C17" i="3" a="1"/>
  <c r="C1014" i="3" a="1"/>
  <c r="B5" i="3" a="1"/>
  <c r="C678" i="3" a="1"/>
  <c r="B948" i="3" a="1"/>
  <c r="C391" i="3" a="1"/>
  <c r="B1262" i="3" a="1"/>
  <c r="B1014" i="3" a="1"/>
  <c r="B879" i="3" a="1"/>
  <c r="B1326" i="3" a="1"/>
  <c r="B498" i="3" a="1"/>
  <c r="B532" i="3" a="1"/>
  <c r="B120" i="3" a="1"/>
  <c r="B654" i="3" a="1"/>
  <c r="C111" i="3" a="1"/>
  <c r="B835" i="3" a="1"/>
  <c r="C683" i="3" a="1"/>
  <c r="B1091" i="3" a="1"/>
  <c r="C1295" i="3" a="1"/>
  <c r="C1332" i="3" a="1"/>
  <c r="B1211" i="3" a="1"/>
  <c r="B43" i="3" a="1"/>
  <c r="B1197" i="3" a="1"/>
  <c r="C1076" i="3" a="1"/>
  <c r="C287" i="3" a="1"/>
  <c r="C912" i="3" a="1"/>
  <c r="B926" i="3" a="1"/>
  <c r="C429" i="3" a="1"/>
  <c r="C150" i="3" a="1"/>
  <c r="C829" i="3" a="1"/>
  <c r="C367" i="3" a="1"/>
  <c r="B230" i="3" a="1"/>
  <c r="B99" i="3" a="1"/>
  <c r="B604" i="3" a="1"/>
  <c r="C1390" i="3" a="1"/>
  <c r="B785" i="3" a="1"/>
  <c r="C1209" i="3" a="1"/>
  <c r="C826" i="3" a="1"/>
  <c r="C771" i="3" a="1"/>
  <c r="B916" i="3" a="1"/>
  <c r="B514" i="3" a="1"/>
  <c r="B972" i="3" a="1"/>
  <c r="C954" i="3" a="1"/>
  <c r="B335" i="3" a="1"/>
  <c r="C202" i="3" a="1"/>
  <c r="C1200" i="3" a="1"/>
  <c r="B897" i="3" a="1"/>
  <c r="B232" i="3" a="1"/>
  <c r="B693" i="3" a="1"/>
  <c r="C266" i="3" a="1"/>
  <c r="B19" i="3" a="1"/>
  <c r="C1268" i="3" a="1"/>
  <c r="C910" i="3" a="1"/>
  <c r="B808" i="3" a="1"/>
  <c r="B1294" i="3" a="1"/>
  <c r="C930" i="3" a="1"/>
  <c r="B1029" i="3" a="1"/>
  <c r="B353" i="3" a="1"/>
  <c r="B756" i="3" a="1"/>
  <c r="B420" i="3" a="1"/>
  <c r="C426" i="3" a="1"/>
  <c r="B147" i="3" a="1"/>
  <c r="B703" i="3" a="1"/>
  <c r="B251" i="3" a="1"/>
  <c r="B747" i="3" a="1"/>
  <c r="B325" i="3" a="1"/>
  <c r="B853" i="3" a="1"/>
  <c r="B1250" i="3" a="1"/>
  <c r="B943" i="3" a="1"/>
  <c r="B368" i="3" a="1"/>
  <c r="C1080" i="3" a="1"/>
  <c r="B845" i="3" a="1"/>
  <c r="C162" i="3" a="1"/>
  <c r="C560" i="3" a="1"/>
  <c r="B619" i="3" a="1"/>
  <c r="C813" i="3" a="1"/>
  <c r="C140" i="3" a="1"/>
  <c r="B585" i="3" a="1"/>
  <c r="C1145" i="3" a="1"/>
  <c r="B1305" i="3" a="1"/>
  <c r="B1084" i="3" a="1"/>
  <c r="B839" i="3" a="1"/>
  <c r="B1361" i="3" a="1"/>
  <c r="C1382" i="3" a="1"/>
  <c r="B13" i="3" a="1"/>
  <c r="B502" i="3" a="1"/>
  <c r="B770" i="3" a="1"/>
  <c r="C1297" i="3" a="1"/>
  <c r="C303" i="3" a="1"/>
  <c r="C1131" i="3" a="1"/>
  <c r="B347" i="3" a="1"/>
  <c r="B1007" i="3" a="1"/>
  <c r="B1324" i="3" a="1"/>
  <c r="B1054" i="3" a="1"/>
  <c r="B150" i="3" a="1"/>
  <c r="C1067" i="3" a="1"/>
  <c r="C1298" i="3" a="1"/>
  <c r="B1087" i="3" a="1"/>
  <c r="C451" i="3" a="1"/>
  <c r="C448" i="3" a="1"/>
  <c r="B1171" i="3" a="1"/>
  <c r="B208" i="3" a="1"/>
  <c r="B385" i="3" a="1"/>
  <c r="B21" i="3" a="1"/>
  <c r="B834" i="3" a="1"/>
  <c r="C1146" i="3" a="1"/>
  <c r="C224" i="3" a="1"/>
  <c r="C679" i="3" a="1"/>
  <c r="C862" i="3" a="1"/>
  <c r="B200" i="3" a="1"/>
  <c r="C1379" i="3" a="1"/>
  <c r="B152" i="3" a="1"/>
  <c r="C904" i="3" a="1"/>
  <c r="B1357" i="3" a="1"/>
  <c r="C283" i="3" a="1"/>
  <c r="B996" i="3" a="1"/>
  <c r="B1390" i="3" a="1"/>
  <c r="C557" i="3" a="1"/>
  <c r="B456" i="3" a="1"/>
  <c r="C343" i="3" a="1"/>
  <c r="B1370" i="3" a="1"/>
  <c r="B826" i="3" a="1"/>
  <c r="C217" i="3" a="1"/>
  <c r="B1210" i="3" a="1"/>
  <c r="B643" i="3" a="1"/>
  <c r="B41" i="3" a="1"/>
  <c r="C1056" i="3" a="1"/>
  <c r="C858" i="3" a="1"/>
  <c r="B620" i="3" a="1"/>
  <c r="B473" i="3" a="1"/>
  <c r="B1187" i="3" a="1"/>
  <c r="C635" i="3" a="1"/>
  <c r="B166" i="3" a="1"/>
  <c r="C1081" i="3" a="1"/>
  <c r="B667" i="3" a="1"/>
  <c r="B519" i="3" a="1"/>
  <c r="B469" i="3" a="1"/>
  <c r="B717" i="3" a="1"/>
  <c r="B313" i="3" a="1"/>
  <c r="C260" i="3" a="1"/>
  <c r="B220" i="3" a="1"/>
  <c r="B885" i="3" a="1"/>
  <c r="B865" i="3" a="1"/>
  <c r="B669" i="3" a="1"/>
  <c r="B442" i="3" a="1"/>
  <c r="C1098" i="3" a="1"/>
  <c r="C1069" i="3" a="1"/>
  <c r="C1086" i="3" a="1"/>
  <c r="B320" i="3" a="1"/>
  <c r="B1341" i="3" a="1"/>
  <c r="B269" i="3" a="1"/>
  <c r="C1259" i="3" a="1"/>
  <c r="C1173" i="3" a="1"/>
  <c r="C153" i="3" a="1"/>
  <c r="B903" i="3" a="1"/>
  <c r="B372" i="3" a="1"/>
  <c r="B182" i="3" a="1"/>
  <c r="C1285" i="3" a="1"/>
  <c r="B1145" i="3" a="1"/>
  <c r="C42" i="3" a="1"/>
  <c r="B138" i="3" a="1"/>
  <c r="C493" i="3" a="1"/>
  <c r="C986" i="3" a="1"/>
  <c r="B690" i="3" a="1"/>
  <c r="C803" i="3" a="1"/>
  <c r="B962" i="3" a="1"/>
  <c r="C281" i="3" a="1"/>
  <c r="B610" i="3" a="1"/>
  <c r="C1104" i="3" a="1"/>
  <c r="C1301" i="3" a="1"/>
  <c r="B253" i="3" a="1"/>
  <c r="C1180" i="3" a="1"/>
  <c r="B390" i="3" a="1"/>
  <c r="B249" i="3" a="1"/>
  <c r="B459" i="3" a="1"/>
  <c r="B1006" i="3" a="1"/>
  <c r="B1169" i="3" a="1"/>
  <c r="B378" i="3" a="1"/>
  <c r="B38" i="3" a="1"/>
  <c r="B783" i="3" a="1"/>
  <c r="B81" i="3" a="1"/>
  <c r="C216" i="3" a="1"/>
  <c r="B185" i="3" a="1"/>
  <c r="B84" i="3" a="1"/>
  <c r="B44" i="3" a="1"/>
  <c r="B270" i="3" a="1"/>
  <c r="B817" i="3" a="1"/>
  <c r="C1315" i="3" a="1"/>
  <c r="B1155" i="3" a="1"/>
  <c r="B538" i="3" a="1"/>
  <c r="C1005" i="3" a="1"/>
  <c r="B75" i="3" a="1"/>
  <c r="B1083" i="3" a="1"/>
  <c r="B1322" i="3" a="1"/>
  <c r="B429" i="3" a="1"/>
  <c r="C1134" i="3" a="1"/>
  <c r="C21" i="3" a="1"/>
  <c r="C702" i="3" a="1"/>
  <c r="B1224" i="3" a="1"/>
  <c r="C1241" i="3" a="1"/>
  <c r="B417" i="3" a="1"/>
  <c r="B243" i="3" a="1"/>
  <c r="C1048" i="3" a="1"/>
  <c r="B1043" i="3" a="1"/>
  <c r="C1324" i="3" a="1"/>
  <c r="C20" i="3" a="1"/>
  <c r="C700" i="3" a="1"/>
  <c r="B490" i="3" a="1"/>
  <c r="B816" i="3" a="1"/>
  <c r="C61" i="3" a="1"/>
  <c r="C387" i="3" a="1"/>
  <c r="B1254" i="3" a="1"/>
  <c r="C49" i="3" a="1"/>
  <c r="C1250" i="3" a="1"/>
  <c r="C376" i="3" a="1"/>
  <c r="B1081" i="3" a="1"/>
  <c r="C871" i="3" a="1"/>
  <c r="B345" i="3" a="1"/>
  <c r="B119" i="3" a="1"/>
  <c r="B710" i="3" a="1"/>
  <c r="C540" i="3" a="1"/>
  <c r="B42" i="3" a="1"/>
  <c r="B297" i="3" a="1"/>
  <c r="B1383" i="3" a="1"/>
  <c r="C856" i="3" a="1"/>
  <c r="C1273" i="3" a="1"/>
  <c r="B980" i="3" a="1"/>
  <c r="C1314" i="3" a="1"/>
  <c r="C940" i="3" a="1"/>
  <c r="C905" i="3" a="1"/>
  <c r="C681" i="3" a="1"/>
  <c r="B1330" i="3" a="1"/>
  <c r="C430" i="3" a="1"/>
  <c r="B154" i="3" a="1"/>
  <c r="C1196" i="3" a="1"/>
  <c r="C717" i="3" a="1"/>
  <c r="B1071" i="3" a="1"/>
  <c r="B842" i="3" a="1"/>
  <c r="B852" i="3" a="1"/>
  <c r="C208" i="3" a="1"/>
  <c r="B730" i="3" a="1"/>
  <c r="C212" i="3" a="1"/>
  <c r="B676" i="3" a="1"/>
  <c r="B1377" i="3" a="1"/>
  <c r="C372" i="3" a="1"/>
  <c r="C512" i="3" a="1"/>
  <c r="C299" i="3" a="1"/>
  <c r="B336" i="3" a="1"/>
  <c r="C895" i="3" a="1"/>
  <c r="C763" i="3" a="1"/>
  <c r="B946" i="3" a="1"/>
  <c r="C785" i="3" a="1"/>
  <c r="B564" i="3" a="1"/>
  <c r="C1374" i="3" a="1"/>
  <c r="B491" i="3" a="1"/>
  <c r="C687" i="3" a="1"/>
  <c r="B912" i="3" a="1"/>
  <c r="B1287" i="3" a="1"/>
  <c r="C1162" i="3" a="1"/>
  <c r="C1087" i="3" a="1"/>
  <c r="B734" i="3" a="1"/>
  <c r="B36" i="3" a="1"/>
  <c r="C658" i="3" a="1"/>
  <c r="B11" i="3" a="1"/>
  <c r="C396" i="3" a="1"/>
  <c r="B1163" i="3" a="1"/>
  <c r="B555" i="3" a="1"/>
  <c r="B1374" i="3" a="1"/>
  <c r="B802" i="3" a="1"/>
  <c r="C374" i="3" a="1"/>
  <c r="B1147" i="3" a="1"/>
  <c r="B1164" i="3" a="1"/>
  <c r="C979" i="3" a="1"/>
  <c r="C565" i="3" a="1"/>
  <c r="C1085" i="3" a="1"/>
  <c r="B74" i="3" a="1"/>
  <c r="B82" i="3" a="1"/>
  <c r="B615" i="3" a="1"/>
  <c r="B455" i="3" a="1"/>
  <c r="B311" i="3" a="1"/>
  <c r="B507" i="3" a="1"/>
  <c r="B1376" i="3" a="1"/>
  <c r="C824" i="3" a="1"/>
  <c r="C297" i="3" a="1"/>
  <c r="B310" i="3" a="1"/>
  <c r="C101" i="3" a="1"/>
  <c r="C1022" i="3" a="1"/>
  <c r="C363" i="3" a="1"/>
  <c r="B1150" i="3" a="1"/>
  <c r="B1032" i="3" a="1"/>
  <c r="B910" i="3" a="1"/>
  <c r="B341" i="3" a="1"/>
  <c r="B151" i="3" a="1"/>
  <c r="B733" i="3" a="1"/>
  <c r="B941" i="3" a="1"/>
  <c r="B1373" i="3" a="1"/>
  <c r="C221" i="3" a="1"/>
  <c r="B899" i="3" a="1"/>
  <c r="B611" i="3" a="1"/>
  <c r="B448" i="3" a="1"/>
  <c r="B7" i="3" a="1"/>
  <c r="C738" i="3" a="1"/>
  <c r="C759" i="3" a="1"/>
  <c r="C479" i="3" a="1"/>
  <c r="B1177" i="3" a="1"/>
  <c r="C1311" i="3" a="1"/>
  <c r="B85" i="3" a="1"/>
  <c r="C1047" i="3" a="1"/>
  <c r="B772" i="3" a="1"/>
  <c r="C1016" i="3" a="1"/>
  <c r="B45" i="3" a="1"/>
  <c r="B148" i="3" a="1"/>
  <c r="B878" i="3" a="1"/>
  <c r="C515" i="3" a="1"/>
  <c r="C864" i="3" a="1"/>
  <c r="C875" i="3" a="1"/>
  <c r="C876" i="3" a="1"/>
  <c r="B92" i="3" a="1"/>
  <c r="C820" i="3" a="1"/>
  <c r="C610" i="3" a="1"/>
  <c r="C716" i="3" a="1"/>
  <c r="B882" i="3" a="1"/>
  <c r="B540" i="3" a="1"/>
  <c r="C36" i="3" a="1"/>
  <c r="B1184" i="3" a="1"/>
  <c r="B1285" i="3" a="1"/>
  <c r="B820" i="3" a="1"/>
  <c r="B111" i="3" a="1"/>
  <c r="C310" i="3" a="1"/>
  <c r="B869" i="3" a="1"/>
  <c r="C171" i="3" a="1"/>
  <c r="C424" i="3" a="1"/>
  <c r="B661" i="3" a="1"/>
  <c r="C1368" i="3" a="1"/>
  <c r="B631" i="3" a="1"/>
  <c r="C332" i="3" a="1"/>
  <c r="B330" i="3" a="1"/>
  <c r="B403" i="3" a="1"/>
  <c r="B188" i="3" a="1"/>
  <c r="C19" i="3" a="1"/>
  <c r="B696" i="3" a="1"/>
  <c r="B1386" i="3" a="1"/>
  <c r="B356" i="3" a="1"/>
  <c r="B537" i="3" a="1"/>
  <c r="B387" i="3" a="1"/>
  <c r="B1258" i="3" a="1"/>
  <c r="C106" i="3" a="1"/>
  <c r="B452" i="3" a="1"/>
  <c r="B1090" i="3" a="1"/>
  <c r="B1302" i="3" a="1"/>
  <c r="C319" i="3" a="1"/>
  <c r="B1393" i="3" a="1"/>
  <c r="B1106" i="3" a="1"/>
  <c r="B1350" i="3" a="1"/>
  <c r="C308" i="3" a="1"/>
  <c r="B810" i="3" a="1"/>
  <c r="B589" i="3" a="1"/>
  <c r="C87" i="3" a="1"/>
  <c r="B105" i="3" a="1"/>
  <c r="B1253" i="3" a="1"/>
  <c r="B454" i="3" a="1"/>
  <c r="B307" i="3" a="1"/>
  <c r="B1149" i="3" a="1"/>
  <c r="C1007" i="3" a="1"/>
  <c r="B277" i="3" a="1"/>
  <c r="C398" i="3" a="1"/>
  <c r="C497" i="3" a="1"/>
  <c r="C337" i="3" a="1"/>
  <c r="C869" i="3" a="1"/>
  <c r="B428" i="3" a="1"/>
  <c r="C404" i="3" a="1"/>
  <c r="B1176" i="3" a="1"/>
  <c r="B782" i="3" a="1"/>
  <c r="B593" i="3" a="1"/>
  <c r="C517" i="3" a="1"/>
  <c r="B1246" i="3" a="1"/>
  <c r="B343" i="3" a="1"/>
  <c r="C1078" i="3" a="1"/>
  <c r="C1123" i="3" a="1"/>
  <c r="B637" i="3" a="1"/>
  <c r="B798" i="3" a="1"/>
  <c r="C469" i="3" a="1"/>
  <c r="C16" i="3" a="1"/>
  <c r="C492" i="3" a="1"/>
  <c r="B380" i="3" a="1"/>
  <c r="B106" i="3" a="1"/>
  <c r="B1141" i="3" a="1"/>
  <c r="C167" i="3" a="1"/>
  <c r="C1344" i="3" a="1"/>
  <c r="C346" i="3" a="1"/>
  <c r="C423" i="3" a="1"/>
  <c r="B1327" i="3" a="1"/>
  <c r="B544" i="3" a="1"/>
  <c r="B1235" i="3" a="1"/>
  <c r="C427" i="3" a="1"/>
  <c r="C1171" i="3" a="1"/>
  <c r="B344" i="3" a="1"/>
  <c r="C463" i="3" a="1"/>
  <c r="C1020" i="3" a="1"/>
  <c r="C692" i="3" a="1"/>
  <c r="C1149" i="3" a="1"/>
  <c r="C464" i="3" a="1"/>
  <c r="C977" i="3" a="1"/>
  <c r="C1251" i="3" a="1"/>
  <c r="B1023" i="3" a="1"/>
  <c r="B508" i="3" a="1"/>
  <c r="C1197" i="3" a="1"/>
  <c r="C1276" i="3" a="1"/>
  <c r="C946" i="3" a="1"/>
  <c r="B638" i="3" a="1"/>
  <c r="C845" i="3" a="1"/>
  <c r="C562" i="3" a="1"/>
  <c r="C831" i="3" a="1"/>
  <c r="C547" i="3" a="1"/>
  <c r="B17" i="3" a="1"/>
  <c r="C92" i="3" a="1"/>
  <c r="C94" i="3" a="1"/>
  <c r="C1155" i="3" a="1"/>
  <c r="B1391" i="3" a="1"/>
  <c r="B168" i="3" a="1"/>
  <c r="C1189" i="3" a="1"/>
  <c r="B77" i="3" a="1"/>
  <c r="B1037" i="3" a="1"/>
  <c r="B236" i="3" a="1"/>
  <c r="B294" i="3" a="1"/>
  <c r="B332" i="3" a="1"/>
  <c r="C852" i="3" a="1"/>
  <c r="C435" i="3" a="1"/>
  <c r="B238" i="3" a="1"/>
  <c r="B1112" i="3" a="1"/>
  <c r="C105" i="3" a="1"/>
  <c r="B959" i="3" a="1"/>
  <c r="B742" i="3" a="1"/>
  <c r="B511" i="3" a="1"/>
  <c r="C251" i="3" a="1"/>
  <c r="C732" i="3" a="1"/>
  <c r="C415" i="3" a="1"/>
  <c r="C522" i="3" a="1"/>
  <c r="B1328" i="3" a="1"/>
  <c r="B1339" i="3" a="1"/>
  <c r="C1135" i="3" a="1"/>
  <c r="B1280" i="3" a="1"/>
  <c r="C130" i="3" a="1"/>
  <c r="B1225" i="3" a="1"/>
  <c r="C750" i="3" a="1"/>
  <c r="C615" i="3" a="1"/>
  <c r="C306" i="3" a="1"/>
  <c r="C991" i="3" a="1"/>
  <c r="B108" i="3" a="1"/>
  <c r="C406" i="3" a="1"/>
  <c r="B281" i="3" a="1"/>
  <c r="B296" i="3" a="1"/>
  <c r="C7" i="3" a="1"/>
  <c r="C452" i="3" a="1"/>
  <c r="B204" i="3" a="1"/>
  <c r="B641" i="3" a="1"/>
  <c r="B1061" i="3" a="1"/>
  <c r="B535" i="3" a="1"/>
  <c r="B776" i="3" a="1"/>
  <c r="B605" i="3" a="1"/>
  <c r="C839" i="3" a="1"/>
  <c r="C272" i="3" a="1"/>
  <c r="C783" i="3" a="1"/>
  <c r="B1228" i="3" a="1"/>
  <c r="C830" i="3" a="1"/>
  <c r="C507" i="3" a="1"/>
  <c r="C706" i="3" a="1"/>
  <c r="C123" i="3" a="1"/>
  <c r="B1239" i="3" a="1"/>
  <c r="B450" i="3" a="1"/>
  <c r="B1360" i="3" a="1"/>
  <c r="C1274" i="3" a="1"/>
  <c r="C311" i="3" a="1"/>
  <c r="B496" i="3" a="1"/>
  <c r="B578" i="3" a="1"/>
  <c r="C790" i="3" a="1"/>
  <c r="B300" i="3" a="1"/>
  <c r="B599" i="3" a="1"/>
  <c r="C915" i="3" a="1"/>
  <c r="C925" i="3" a="1"/>
  <c r="B1317" i="3" a="1"/>
  <c r="C990" i="3" a="1"/>
  <c r="C1037" i="3" a="1"/>
  <c r="B832" i="3" a="1"/>
  <c r="C531" i="3" a="1"/>
  <c r="B1151" i="3" a="1"/>
  <c r="B1144" i="3" a="1"/>
  <c r="B1194" i="3" a="1"/>
  <c r="B1008" i="3" a="1"/>
  <c r="B726" i="3" a="1"/>
  <c r="C1061" i="3" a="1"/>
  <c r="C1343" i="3" a="1"/>
  <c r="B302" i="3" a="1"/>
  <c r="C1320" i="3" a="1"/>
  <c r="B1198" i="3" a="1"/>
  <c r="B131" i="3" a="1"/>
  <c r="C254" i="3" a="1"/>
  <c r="B110" i="3" a="1"/>
  <c r="B124" i="3" a="1"/>
  <c r="B301" i="3" a="1"/>
  <c r="C294" i="3" a="1"/>
  <c r="C966" i="3" a="1"/>
  <c r="C924" i="3" a="1"/>
  <c r="C1266" i="3" a="1"/>
  <c r="B1223" i="3" a="1"/>
  <c r="B1067" i="3" a="1"/>
  <c r="C900" i="3" a="1"/>
  <c r="C1124" i="3" a="1"/>
  <c r="B12" i="3" a="1"/>
  <c r="B56" i="3" a="1"/>
  <c r="C124" i="3" a="1"/>
  <c r="C322" i="3" a="1"/>
  <c r="C947" i="3" a="1"/>
  <c r="B199" i="3" a="1"/>
  <c r="C1144" i="3" a="1"/>
  <c r="C623" i="3" a="1"/>
  <c r="B583" i="3" a="1"/>
  <c r="B178" i="3" a="1"/>
  <c r="B169" i="3" a="1"/>
  <c r="C1175" i="3" a="1"/>
  <c r="B1282" i="3" a="1"/>
  <c r="C1225" i="3" a="1"/>
  <c r="B9" i="3" a="1"/>
  <c r="B1353" i="3" a="1"/>
  <c r="C356" i="3" a="1"/>
  <c r="B1389" i="3" a="1"/>
  <c r="B1289" i="3" a="1"/>
  <c r="C1347" i="3" a="1"/>
  <c r="B172" i="3" a="1"/>
  <c r="B964" i="3" a="1"/>
  <c r="C223" i="3" a="1"/>
  <c r="B1292" i="3" a="1"/>
  <c r="B1244" i="3" a="1"/>
  <c r="B492" i="3" a="1"/>
  <c r="B383" i="3" a="1"/>
  <c r="B437" i="3" a="1"/>
  <c r="C777" i="3" a="1"/>
  <c r="C172" i="3" a="1"/>
  <c r="B990" i="3" a="1"/>
  <c r="C548" i="3" a="1"/>
  <c r="C707" i="3" a="1"/>
  <c r="B527" i="3" a="1"/>
  <c r="C462" i="3" a="1"/>
  <c r="C1221" i="3" a="1"/>
  <c r="B1174" i="3" a="1"/>
  <c r="B1215" i="3" a="1"/>
  <c r="C45" i="3" a="1"/>
  <c r="B523" i="3" a="1"/>
  <c r="C1193" i="3" a="1"/>
  <c r="B159" i="3" a="1"/>
  <c r="C181" i="3" a="1"/>
  <c r="B986" i="3" a="1"/>
  <c r="B622" i="3" a="1"/>
  <c r="C993" i="3" a="1"/>
  <c r="C1205" i="3" a="1"/>
  <c r="C535" i="3" a="1"/>
  <c r="B408" i="3" a="1"/>
  <c r="C570" i="3" a="1"/>
  <c r="B1075" i="3" a="1"/>
  <c r="B1182" i="3" a="1"/>
  <c r="B626" i="3" a="1"/>
  <c r="B53" i="3" a="1"/>
  <c r="C989" i="3" a="1"/>
  <c r="C400" i="3" a="1"/>
  <c r="B1220" i="3" a="1"/>
  <c r="C59" i="3" a="1"/>
  <c r="B1072" i="3" a="1"/>
  <c r="B600" i="3" a="1"/>
  <c r="B855" i="3" a="1"/>
  <c r="B1310" i="3" a="1"/>
  <c r="B976" i="3" a="1"/>
  <c r="B870" i="3" a="1"/>
  <c r="B624" i="3" a="1"/>
  <c r="B299" i="3" a="1"/>
  <c r="B31" i="3" a="1"/>
  <c r="B231" i="3" a="1"/>
  <c r="B936" i="3" a="1"/>
  <c r="C525" i="3" a="1"/>
  <c r="B888" i="3" a="1"/>
  <c r="C433" i="3" a="1"/>
  <c r="C778" i="3" a="1"/>
  <c r="C77" i="3" a="1"/>
  <c r="B1154" i="3" a="1"/>
  <c r="B290" i="3" a="1"/>
  <c r="B950" i="3" a="1"/>
  <c r="B1092" i="3" a="1"/>
  <c r="B254" i="3" a="1"/>
  <c r="B136" i="3" a="1"/>
  <c r="C1361" i="3" a="1"/>
  <c r="C323" i="3" a="1"/>
  <c r="C414" i="3" a="1"/>
  <c r="B664" i="3" a="1"/>
  <c r="B207" i="3" a="1"/>
  <c r="B898" i="3" a="1"/>
  <c r="C26" i="3" a="1"/>
  <c r="B1238" i="3" a="1"/>
  <c r="B1312" i="3" a="1"/>
  <c r="C1362" i="3" a="1"/>
  <c r="C760" i="3" a="1"/>
  <c r="C1021" i="3" a="1"/>
  <c r="B1356" i="3" a="1"/>
  <c r="C1100" i="3" a="1"/>
  <c r="C25" i="3" a="1"/>
  <c r="B1351" i="3" a="1"/>
  <c r="C965" i="3" a="1"/>
  <c r="C1385" i="3" a="1"/>
  <c r="C784" i="3" a="1"/>
  <c r="C848" i="3" a="1"/>
  <c r="B22" i="3" a="1"/>
  <c r="C318" i="3" a="1"/>
  <c r="C665" i="3" a="1"/>
  <c r="C742" i="3" a="1"/>
  <c r="B94" i="3" a="1"/>
  <c r="C655" i="3" a="1"/>
  <c r="C1125" i="3" a="1"/>
  <c r="C988" i="3" a="1"/>
  <c r="C288" i="3" a="1"/>
  <c r="B655" i="3" a="1"/>
  <c r="B635" i="3" a="1"/>
  <c r="C511" i="3" a="1"/>
  <c r="C705" i="3" a="1"/>
  <c r="C1328" i="3" a="1"/>
  <c r="B1024" i="3" a="1"/>
  <c r="B2" i="3" a="1"/>
  <c r="C326" i="3" a="1"/>
  <c r="B504" i="3" a="1"/>
  <c r="C933" i="3" a="1"/>
  <c r="B711" i="3" a="1"/>
  <c r="C296" i="3" a="1"/>
  <c r="C460" i="3" a="1"/>
  <c r="C1376" i="3" a="1"/>
  <c r="C1366" i="3" a="1"/>
  <c r="C850" i="3" a="1"/>
  <c r="C368" i="3" a="1"/>
  <c r="B904" i="3" a="1"/>
  <c r="C835" i="3" a="1"/>
  <c r="B967" i="3" a="1"/>
  <c r="C446" i="3" a="1"/>
  <c r="C93" i="3" a="1"/>
  <c r="B1109" i="3" a="1"/>
  <c r="C586" i="3" a="1"/>
  <c r="B486" i="3" a="1"/>
  <c r="C205" i="3" a="1"/>
  <c r="B977" i="3" a="1"/>
  <c r="C1304" i="3" a="1"/>
  <c r="C984" i="3" a="1"/>
  <c r="B983" i="3" a="1"/>
  <c r="B484" i="3" a="1"/>
  <c r="B704" i="3" a="1"/>
  <c r="B592" i="3" a="1"/>
  <c r="C309" i="3" a="1"/>
  <c r="B829" i="3" a="1"/>
  <c r="B438" i="3" a="1"/>
  <c r="C1230" i="3" a="1"/>
  <c r="C157" i="3" a="1"/>
  <c r="C918" i="3" a="1"/>
  <c r="B773" i="3" a="1"/>
  <c r="C555" i="3" a="1"/>
  <c r="C1000" i="3" a="1"/>
  <c r="C252" i="3" a="1"/>
  <c r="C174" i="3" a="1"/>
  <c r="C495" i="3" a="1"/>
  <c r="B1314" i="3" a="1"/>
  <c r="C138" i="3" a="1"/>
  <c r="C1329" i="3" a="1"/>
  <c r="B163" i="3" a="1"/>
  <c r="C1166" i="3" a="1"/>
  <c r="B49" i="3" a="1"/>
  <c r="C553" i="3" a="1"/>
  <c r="C1246" i="3" a="1"/>
  <c r="B1193" i="3" a="1"/>
  <c r="B931" i="3" a="1"/>
  <c r="C1103" i="3" a="1"/>
  <c r="C119" i="3" a="1"/>
  <c r="B674" i="3" a="1"/>
  <c r="B1102" i="3" a="1"/>
  <c r="C385" i="3" a="1"/>
  <c r="B1050" i="3" a="1"/>
  <c r="C470" i="3" a="1"/>
  <c r="C995" i="3" a="1"/>
  <c r="C632" i="3" a="1"/>
  <c r="B850" i="3" a="1"/>
  <c r="B391" i="3" a="1"/>
  <c r="B219" i="3" a="1"/>
  <c r="B570" i="3" a="1"/>
  <c r="B145" i="3" a="1"/>
  <c r="C47" i="3" a="1"/>
  <c r="B264" i="3" a="1"/>
  <c r="B1060" i="3" a="1"/>
  <c r="B60" i="3" a="1"/>
  <c r="C331" i="3" a="1"/>
  <c r="B1331" i="3" a="1"/>
  <c r="C1286" i="3" a="1"/>
  <c r="B1364" i="3" a="1"/>
  <c r="B34" i="3" a="1"/>
  <c r="B268" i="3" a="1"/>
  <c r="B884" i="3" a="1"/>
  <c r="B379" i="3" a="1"/>
  <c r="C1214" i="3" a="1"/>
  <c r="B384" i="3" a="1"/>
  <c r="C1349" i="3" a="1"/>
  <c r="B744" i="3" a="1"/>
  <c r="B130" i="3" a="1"/>
  <c r="B1026" i="3" a="1"/>
  <c r="C1309" i="3" a="1"/>
  <c r="C449" i="3" a="1"/>
  <c r="C378" i="3" a="1"/>
  <c r="B934" i="3" a="1"/>
  <c r="C73" i="3" a="1"/>
  <c r="B849" i="3" a="1"/>
  <c r="C998" i="3" a="1"/>
  <c r="B531" i="3" a="1"/>
  <c r="B10" i="3" a="1"/>
  <c r="B767" i="3" a="1"/>
  <c r="C1133" i="3" a="1"/>
  <c r="C1283" i="3" a="1"/>
  <c r="C791" i="3" a="1"/>
  <c r="B805" i="3" a="1"/>
  <c r="C651" i="3" a="1"/>
  <c r="B1332" i="3" a="1"/>
  <c r="C972" i="3" a="1"/>
  <c r="B653" i="3" a="1"/>
  <c r="B1104" i="3" a="1"/>
  <c r="C935" i="3" a="1"/>
  <c r="B432" i="3" a="1"/>
  <c r="B806" i="3" a="1"/>
  <c r="C1041" i="3" a="1"/>
  <c r="C890" i="3" a="1"/>
  <c r="B1342" i="3" a="1"/>
  <c r="B275" i="3" a="1"/>
  <c r="B1196" i="3" a="1"/>
  <c r="B769" i="3" a="1"/>
  <c r="C30" i="3" a="1"/>
  <c r="C768" i="3" a="1"/>
  <c r="B1316" i="3" a="1"/>
  <c r="C10" i="3" a="1"/>
  <c r="C950" i="3" a="1"/>
  <c r="B321" i="3" a="1"/>
  <c r="B3" i="3" a="1"/>
  <c r="C1219" i="3" a="1"/>
  <c r="C958" i="3" a="1"/>
  <c r="C141" i="3" a="1"/>
  <c r="B457" i="3" a="1"/>
  <c r="B911" i="3" a="1"/>
  <c r="B614" i="3" a="1"/>
  <c r="C263" i="3" a="1"/>
  <c r="B790" i="3" a="1"/>
  <c r="C726" i="3" a="1"/>
  <c r="C1290" i="3" a="1"/>
  <c r="B1156" i="3" a="1"/>
  <c r="C419" i="3" a="1"/>
  <c r="C727" i="3" a="1"/>
  <c r="B1096" i="3" a="1"/>
  <c r="B424" i="3" a="1"/>
  <c r="C1142" i="3" a="1"/>
  <c r="C1097" i="3" a="1"/>
  <c r="B1002" i="3" a="1"/>
  <c r="B309" i="3" a="1"/>
  <c r="B4" i="3" a="1"/>
  <c r="C823" i="3" a="1"/>
  <c r="C686" i="3" a="1"/>
  <c r="B1288" i="3" a="1"/>
  <c r="B659" i="3" a="1"/>
  <c r="C210" i="3" a="1"/>
  <c r="C754" i="3" a="1"/>
  <c r="C255" i="3" a="1"/>
  <c r="C5" i="3" a="1"/>
  <c r="C320" i="3" a="1"/>
  <c r="C772" i="3" a="1"/>
  <c r="C89" i="3" a="1"/>
  <c r="B724" i="3" a="1"/>
  <c r="B89" i="3" a="1"/>
  <c r="C1042" i="3" a="1"/>
  <c r="C354" i="3" a="1"/>
  <c r="B274" i="3" a="1"/>
  <c r="B440" i="3" a="1"/>
  <c r="C812" i="3" a="1"/>
  <c r="C1394" i="3" a="1"/>
  <c r="B843" i="3" a="1"/>
  <c r="B6" i="3" a="1"/>
  <c r="C165" i="3" a="1"/>
  <c r="C1282" i="3" a="1"/>
  <c r="C1101" i="3" a="1"/>
  <c r="C461" i="3" a="1"/>
  <c r="C1045" i="3" a="1"/>
  <c r="C840" i="3" a="1"/>
  <c r="C1095" i="3" a="1"/>
  <c r="B349" i="3" a="1"/>
  <c r="B736" i="3" a="1"/>
  <c r="C808" i="3" a="1"/>
  <c r="C1261" i="3" a="1"/>
  <c r="C885" i="3" a="1"/>
  <c r="C733" i="3" a="1"/>
  <c r="C1212" i="3" a="1"/>
  <c r="C851" i="3" a="1"/>
  <c r="B33" i="3" a="1"/>
  <c r="B547" i="3" a="1"/>
  <c r="B1019" i="3" a="1"/>
  <c r="C86" i="3" a="1"/>
  <c r="C131" i="3" a="1"/>
  <c r="C571" i="3" a="1"/>
  <c r="C1181" i="3" a="1"/>
  <c r="B122" i="3" a="1"/>
  <c r="C1013" i="3" a="1"/>
  <c r="B216" i="3" a="1"/>
  <c r="B1148" i="3" a="1"/>
  <c r="B858" i="3" a="1"/>
  <c r="C593" i="3" a="1"/>
  <c r="B557" i="3" a="1"/>
  <c r="C1213" i="3" a="1"/>
  <c r="B1279" i="3" a="1"/>
  <c r="C667" i="3" a="1"/>
  <c r="C1028" i="3" a="1"/>
  <c r="B256" i="3" a="1"/>
  <c r="C1068" i="3" a="1"/>
  <c r="B1311" i="3" a="1"/>
  <c r="B328" i="3" a="1"/>
  <c r="B1162" i="3" a="1"/>
  <c r="B982" i="3" a="1"/>
  <c r="B476" i="3" a="1"/>
  <c r="C490" i="3" a="1"/>
  <c r="C843" i="3" a="1"/>
  <c r="B483" i="3" a="1"/>
  <c r="B997" i="3" a="1"/>
  <c r="C663" i="3" a="1"/>
  <c r="B398" i="3" a="1"/>
  <c r="B554" i="3" a="1"/>
  <c r="C543" i="3" a="1"/>
  <c r="C1355" i="3" a="1"/>
  <c r="C1346" i="3" a="1"/>
  <c r="B95" i="3" a="1"/>
  <c r="C350" i="3" a="1"/>
  <c r="C476" i="3" a="1"/>
  <c r="B663" i="3" a="1"/>
  <c r="B1252" i="3" a="1"/>
  <c r="B376" i="3" a="1"/>
  <c r="C253" i="3" a="1"/>
  <c r="C437" i="3" a="1"/>
  <c r="C1318" i="3" a="1"/>
  <c r="C169" i="3" a="1"/>
  <c r="B1200" i="3" a="1"/>
  <c r="B1381" i="3" a="1"/>
  <c r="C581" i="3" a="1"/>
  <c r="C97" i="3" a="1"/>
  <c r="B1231" i="3" a="1"/>
  <c r="B501" i="3" a="1"/>
  <c r="B729" i="3" a="1"/>
  <c r="B1321" i="3" a="1"/>
  <c r="C63" i="3" a="1"/>
  <c r="C502" i="3" a="1"/>
  <c r="C620" i="3" a="1"/>
  <c r="B1286" i="3" a="1"/>
  <c r="B784" i="3" a="1"/>
  <c r="C1310" i="3" a="1"/>
  <c r="B1366" i="3" a="1"/>
  <c r="C180" i="3" a="1"/>
  <c r="B338" i="3" a="1"/>
  <c r="B701" i="3" a="1"/>
  <c r="C402" i="3" a="1"/>
  <c r="B213" i="3" a="1"/>
  <c r="B370" i="3" a="1"/>
  <c r="B260" i="3" a="1"/>
  <c r="B1048" i="3" a="1"/>
  <c r="C689" i="3" a="1"/>
  <c r="C1207" i="3" a="1"/>
  <c r="B289" i="3" a="1"/>
  <c r="C213" i="3" a="1"/>
  <c r="C747" i="3" a="1"/>
  <c r="C1247" i="3" a="1"/>
  <c r="B487" i="3" a="1"/>
  <c r="B678" i="3" a="1"/>
  <c r="C1170" i="3" a="1"/>
  <c r="B97" i="3" a="1"/>
  <c r="B414" i="3" a="1"/>
  <c r="B1053" i="3" a="1"/>
  <c r="C314" i="3" a="1"/>
  <c r="C209" i="3" a="1"/>
  <c r="B298" i="3" a="1"/>
  <c r="B520" i="3" a="1"/>
  <c r="C583" i="3" a="1"/>
  <c r="B963" i="3" a="1"/>
  <c r="B1222" i="3" a="1"/>
  <c r="C914" i="3" a="1"/>
  <c r="C532" i="3" a="1"/>
  <c r="B665" i="3" a="1"/>
  <c r="B393" i="3" a="1"/>
  <c r="C85" i="3" a="1"/>
  <c r="C1202" i="3" a="1"/>
  <c r="B1308" i="3" a="1"/>
  <c r="B29" i="3" a="1"/>
  <c r="B1027" i="3" a="1"/>
  <c r="B1034" i="3" a="1"/>
  <c r="B913" i="3" a="1"/>
  <c r="B608" i="3" a="1"/>
  <c r="B1166" i="3" a="1"/>
  <c r="C170" i="3" a="1"/>
  <c r="C1217" i="3" a="1"/>
  <c r="B546" i="3" a="1"/>
  <c r="C983" i="3" a="1"/>
  <c r="B123" i="3" a="1"/>
  <c r="C1316" i="3" a="1"/>
  <c r="C1357" i="3" a="1"/>
  <c r="C393" i="3" a="1"/>
  <c r="C115" i="3" a="1"/>
  <c r="B1195" i="3" a="1"/>
  <c r="C401" i="3" a="1"/>
  <c r="C336" i="3" a="1"/>
  <c r="C480" i="3" a="1"/>
  <c r="C248" i="3" a="1"/>
  <c r="B1278" i="3" a="1"/>
  <c r="C927" i="3" a="1"/>
  <c r="C788" i="3" a="1"/>
  <c r="B526" i="3" a="1"/>
  <c r="B1388" i="3" a="1"/>
  <c r="C144" i="3" a="1"/>
  <c r="B683" i="3" a="1"/>
  <c r="B761" i="3" a="1"/>
  <c r="B513" i="3" a="1"/>
  <c r="B935" i="3" a="1"/>
  <c r="B346" i="3" a="1"/>
  <c r="C496" i="3" a="1"/>
  <c r="B1227" i="3" a="1"/>
  <c r="C1210" i="3" a="1"/>
  <c r="B1000" i="3" a="1"/>
  <c r="B594" i="3" a="1"/>
  <c r="B918" i="3" a="1"/>
  <c r="B587" i="3" a="1"/>
  <c r="B244" i="3" a="1"/>
  <c r="B1107" i="3" a="1"/>
  <c r="B1345" i="3" a="1"/>
  <c r="C1194" i="3" a="1"/>
  <c r="C3" i="3" a="1"/>
  <c r="C922" i="3" a="1"/>
  <c r="B709" i="3" a="1"/>
  <c r="C657" i="3" a="1"/>
  <c r="C1330" i="3" a="1"/>
  <c r="C814" i="3" a="1"/>
  <c r="C1240" i="3" a="1"/>
  <c r="B818" i="3" a="1"/>
  <c r="B781" i="3" a="1"/>
  <c r="B930" i="3" a="1"/>
  <c r="B771" i="3" a="1"/>
  <c r="C197" i="3" a="1"/>
  <c r="C607" i="3" a="1"/>
  <c r="B329" i="3" a="1"/>
  <c r="C54" i="3" a="1"/>
  <c r="C1228" i="3" a="1"/>
  <c r="B214" i="3" a="1"/>
  <c r="C1153" i="3" a="1"/>
  <c r="C192" i="3" a="1"/>
  <c r="B115" i="3" a="1"/>
  <c r="C828" i="3" a="1"/>
  <c r="C200" i="3" a="1"/>
  <c r="B1183" i="3" a="1"/>
  <c r="C1338" i="3" a="1"/>
  <c r="C129" i="3" a="1"/>
  <c r="C13" i="3" a="1"/>
  <c r="C883" i="3" a="1"/>
  <c r="C1393" i="3" a="1"/>
  <c r="B465" i="3" a="1"/>
  <c r="C715" i="3" a="1"/>
  <c r="C1292" i="3" a="1"/>
  <c r="C440" i="3" a="1"/>
  <c r="C1026" i="3" a="1"/>
  <c r="B803" i="3" a="1"/>
  <c r="C325" i="3" a="1"/>
  <c r="C955" i="3" a="1"/>
  <c r="C442" i="3" a="1"/>
  <c r="C1052" i="3" a="1"/>
  <c r="C602" i="3" a="1"/>
  <c r="C596" i="3" a="1"/>
  <c r="C588" i="3" a="1"/>
  <c r="B467" i="3" a="1"/>
  <c r="B1301" i="3" a="1"/>
  <c r="C1333" i="3" a="1"/>
  <c r="C1126" i="3" a="1"/>
  <c r="C1163" i="3" a="1"/>
  <c r="C765" i="3" a="1"/>
  <c r="B571" i="3" a="1"/>
  <c r="C921" i="3" a="1"/>
  <c r="C574" i="3" a="1"/>
  <c r="B1088" i="3" a="1"/>
  <c r="B1242" i="3" a="1"/>
  <c r="B1240" i="3" a="1"/>
  <c r="B447" i="3" a="1"/>
  <c r="C247" i="3" a="1"/>
  <c r="B606" i="3" a="1"/>
  <c r="B223" i="3" a="1"/>
  <c r="B875" i="3" a="1"/>
  <c r="C324" i="3" a="1"/>
  <c r="C909" i="3" a="1"/>
  <c r="C847" i="3" a="1"/>
  <c r="C1032" i="3" a="1"/>
  <c r="B714" i="3" a="1"/>
  <c r="B422" i="3" a="1"/>
  <c r="C834" i="3" a="1"/>
  <c r="B404" i="3" a="1"/>
  <c r="C961" i="3" a="1"/>
  <c r="B837" i="3" a="1"/>
  <c r="B1159" i="3" a="1"/>
  <c r="B1367" i="3" a="1"/>
  <c r="C836" i="3" a="1"/>
  <c r="C744" i="3" a="1"/>
  <c r="C505" i="3" a="1"/>
  <c r="C1270" i="3" a="1"/>
  <c r="B276" i="3" a="1"/>
  <c r="B1041" i="3" a="1"/>
  <c r="B160" i="3" a="1"/>
  <c r="B225" i="3" a="1"/>
  <c r="B103" i="3" a="1"/>
  <c r="B1004" i="3" a="1"/>
  <c r="B602" i="3" a="1"/>
  <c r="C474" i="3" a="1"/>
  <c r="B1243" i="3" a="1"/>
  <c r="C384" i="3" a="1"/>
  <c r="C471" i="3" a="1"/>
  <c r="B101" i="3" a="1"/>
  <c r="B715" i="3" a="1"/>
  <c r="B162" i="3" a="1"/>
  <c r="B15" i="3" a="1"/>
  <c r="B134" i="3" a="1"/>
  <c r="C24" i="3" a="1"/>
  <c r="C880" i="3" a="1"/>
  <c r="C243" i="3" a="1"/>
  <c r="C483" i="3" a="1"/>
  <c r="B283" i="3" a="1"/>
  <c r="C751" i="3" a="1"/>
  <c r="B758" i="3" a="1"/>
  <c r="C886" i="3" a="1"/>
  <c r="C781" i="3" a="1"/>
  <c r="B419" i="3" a="1"/>
  <c r="C48" i="3" a="1"/>
  <c r="C719" i="3" a="1"/>
  <c r="C1063" i="3" a="1"/>
  <c r="C994" i="3" a="1"/>
  <c r="B656" i="3" a="1"/>
  <c r="C796" i="3" a="1"/>
  <c r="C1363" i="3" a="1"/>
  <c r="C703" i="3" a="1"/>
  <c r="B71" i="3" a="1"/>
  <c r="C811" i="3" a="1"/>
  <c r="C844" i="3" a="1"/>
  <c r="B468" i="3" a="1"/>
  <c r="C938" i="3" a="1"/>
  <c r="C28" i="3" a="1"/>
  <c r="C104" i="3" a="1"/>
  <c r="B449" i="3" a="1"/>
  <c r="C639" i="3" a="1"/>
  <c r="C1380" i="3" a="1"/>
  <c r="C893" i="3" a="1"/>
  <c r="B1325" i="3" a="1"/>
  <c r="C1313" i="3" a="1"/>
  <c r="B64" i="3" a="1"/>
  <c r="C1377" i="3" a="1"/>
  <c r="B694" i="3" a="1"/>
  <c r="C291" i="3" a="1"/>
  <c r="B155" i="3" a="1"/>
  <c r="B1073" i="3" a="1"/>
  <c r="C604" i="3" a="1"/>
  <c r="B807" i="3" a="1"/>
  <c r="B272" i="3" a="1"/>
  <c r="B126" i="3" a="1"/>
  <c r="B1012" i="3" a="1"/>
  <c r="C445" i="3" a="1"/>
  <c r="B381" i="3" a="1"/>
  <c r="C418" i="3" a="1"/>
  <c r="C1248" i="3" a="1"/>
  <c r="C641" i="3" a="1"/>
  <c r="C293" i="3" a="1"/>
  <c r="B1334" i="3" a="1"/>
  <c r="C81" i="3" a="1"/>
  <c r="B205" i="3" a="1"/>
  <c r="C745" i="3" a="1"/>
  <c r="B400" i="3" a="1"/>
  <c r="B1009" i="3" a="1"/>
  <c r="C148" i="3" a="1"/>
  <c r="B1268" i="3" a="1"/>
  <c r="B273" i="3" a="1"/>
  <c r="B222" i="3" a="1"/>
  <c r="B828" i="3" a="1"/>
  <c r="B1203" i="3" a="1"/>
  <c r="B864" i="3" a="1"/>
  <c r="B894" i="3" a="1"/>
  <c r="B100" i="3" a="1"/>
  <c r="C136" i="3" a="1"/>
  <c r="C960" i="3" a="1"/>
  <c r="C774" i="3" a="1"/>
  <c r="C443" i="3" a="1"/>
  <c r="B506" i="3" a="1"/>
  <c r="C644" i="3" a="1"/>
  <c r="C262" i="3" a="1"/>
  <c r="B444" i="3" a="1"/>
  <c r="C645" i="3" a="1"/>
  <c r="B1237" i="3" a="1"/>
  <c r="C175" i="3" a="1"/>
  <c r="B1185" i="3" a="1"/>
  <c r="B439" i="3" a="1"/>
  <c r="C649" i="3" a="1"/>
  <c r="C1059" i="3" a="1"/>
  <c r="B966" i="3" a="1"/>
  <c r="C957" i="3" a="1"/>
  <c r="C1062" i="3" a="1"/>
  <c r="B819" i="3" a="1"/>
  <c r="B334" i="3" a="1"/>
  <c r="C552" i="3" a="1"/>
  <c r="C1265" i="3" a="1"/>
  <c r="B1178" i="3" a="1"/>
  <c r="C627" i="3" a="1"/>
  <c r="C327" i="3" a="1"/>
  <c r="C133" i="3" a="1"/>
  <c r="B503" i="3" a="1"/>
  <c r="C1323" i="3" a="1"/>
  <c r="C116" i="3" a="1"/>
  <c r="C1140" i="3" a="1"/>
  <c r="B896" i="3" a="1"/>
  <c r="C113" i="3" a="1"/>
  <c r="C229" i="3" a="1"/>
  <c r="B436" i="3" a="1"/>
  <c r="C782" i="3" a="1"/>
  <c r="B1114" i="3" a="1"/>
  <c r="C1172" i="3" a="1"/>
  <c r="B218" i="3" a="1"/>
  <c r="B1181" i="3" a="1"/>
  <c r="B1304" i="3" a="1"/>
  <c r="B510" i="3" a="1"/>
  <c r="B121" i="3" a="1"/>
  <c r="C269" i="3" a="1"/>
  <c r="B634" i="3" a="1"/>
  <c r="B1165" i="3" a="1"/>
  <c r="B961" i="3" a="1"/>
  <c r="C861" i="3" a="1"/>
  <c r="B434" i="3" a="1"/>
  <c r="C509" i="3" a="1"/>
  <c r="B93" i="3" a="1"/>
  <c r="C1296" i="3" a="1"/>
  <c r="B180" i="3" a="1"/>
  <c r="B591" i="3" a="1"/>
  <c r="C931" i="3" a="1"/>
  <c r="B741" i="3" a="1"/>
  <c r="B766" i="3" a="1"/>
  <c r="B979" i="3" a="1"/>
  <c r="C624" i="3" a="1"/>
  <c r="B648" i="3" a="1"/>
  <c r="C1352" i="3" a="1"/>
  <c r="C1093" i="3" a="1"/>
  <c r="C801" i="3" a="1"/>
  <c r="B369" i="3" a="1"/>
  <c r="C685" i="3" a="1"/>
  <c r="C1271" i="3" a="1"/>
  <c r="B545" i="3" a="1"/>
  <c r="C874" i="3" a="1"/>
  <c r="C913" i="3" a="1"/>
  <c r="B1175" i="3" a="1"/>
  <c r="C134" i="3" a="1"/>
  <c r="B1111" i="3" a="1"/>
  <c r="B679" i="3" a="1"/>
  <c r="B881" i="3" a="1"/>
  <c r="C1291" i="3" a="1"/>
  <c r="C39" i="3" a="1"/>
  <c r="C411" i="3" a="1"/>
  <c r="B880" i="3" a="1"/>
  <c r="C690" i="3" a="1"/>
  <c r="B556" i="3" a="1"/>
  <c r="C420" i="3" a="1"/>
  <c r="B553" i="3" a="1"/>
  <c r="C855" i="3" a="1"/>
  <c r="C982" i="3" a="1"/>
  <c r="B677" i="3" a="1"/>
  <c r="B907" i="3" a="1"/>
  <c r="B350" i="3" a="1"/>
  <c r="C316" i="3" a="1"/>
  <c r="B921" i="3" a="1"/>
  <c r="C249" i="3" a="1"/>
  <c r="B673" i="3" a="1"/>
  <c r="C1186" i="3" a="1"/>
  <c r="C541" i="3" a="1"/>
  <c r="B1085" i="3" a="1"/>
  <c r="C939" i="3" a="1"/>
  <c r="B788" i="3" a="1"/>
  <c r="B658" i="3" a="1"/>
  <c r="C842" i="3" a="1"/>
  <c r="B697" i="3" a="1"/>
  <c r="B355" i="3" a="1"/>
  <c r="B750" i="3" a="1"/>
  <c r="B104" i="3" a="1"/>
  <c r="B70" i="3" a="1"/>
  <c r="B235" i="3" a="1"/>
  <c r="B1272" i="3" a="1"/>
  <c r="B57" i="3" a="1"/>
  <c r="B433" i="3" a="1"/>
  <c r="C669" i="3" a="1"/>
  <c r="C441" i="3" a="1"/>
  <c r="B1392" i="3" a="1"/>
  <c r="B470" i="3" a="1"/>
  <c r="B176" i="3" a="1"/>
  <c r="C974" i="3" a="1"/>
  <c r="C207" i="3" a="1"/>
  <c r="C1121" i="3" a="1"/>
  <c r="C128" i="3" a="1"/>
  <c r="B406" i="3" a="1"/>
  <c r="B1291" i="3" a="1"/>
  <c r="B960" i="3" a="1"/>
  <c r="B580" i="3" a="1"/>
  <c r="B650" i="3" a="1"/>
  <c r="C1073" i="3" a="1"/>
  <c r="C1106" i="3" a="1"/>
  <c r="C709" i="3" a="1"/>
  <c r="C382" i="3" a="1"/>
  <c r="B1207" i="3" a="1"/>
  <c r="B1271" i="3" a="1"/>
  <c r="C457" i="3" a="1"/>
  <c r="C159" i="3" a="1"/>
  <c r="C897" i="3" a="1"/>
  <c r="C1006" i="3" a="1"/>
  <c r="C233" i="3" a="1"/>
  <c r="B732" i="3" a="1"/>
  <c r="B989" i="3" a="1"/>
  <c r="C642" i="3" a="1"/>
  <c r="C603" i="3" a="1"/>
  <c r="C154" i="3" a="1"/>
  <c r="C556" i="3" a="1"/>
  <c r="B893" i="3" a="1"/>
  <c r="C328" i="3" a="1"/>
  <c r="B569" i="3" a="1"/>
  <c r="C215" i="3" a="1"/>
  <c r="C975" i="3" a="1"/>
  <c r="B211" i="3" a="1"/>
  <c r="C695" i="3" a="1"/>
  <c r="B234" i="3" a="1"/>
  <c r="C240" i="3" a="1"/>
  <c r="B895" i="3" a="1"/>
  <c r="C605" i="3" a="1"/>
  <c r="B360" i="3" a="1"/>
  <c r="B573" i="3" a="1"/>
  <c r="B1113" i="3" a="1"/>
  <c r="C1392" i="3" a="1"/>
  <c r="B257" i="3" a="1"/>
  <c r="C929" i="3" a="1"/>
  <c r="C158" i="3" a="1"/>
  <c r="B550" i="3" a="1"/>
  <c r="C166" i="3" a="1"/>
  <c r="B342" i="3" a="1"/>
  <c r="C786" i="3" a="1"/>
  <c r="C579" i="3" a="1"/>
  <c r="C1190" i="3" a="1"/>
  <c r="C114" i="3" a="1"/>
  <c r="C653" i="3" a="1"/>
  <c r="C90" i="3" a="1"/>
  <c r="C589" i="3" a="1"/>
  <c r="B416" i="3" a="1"/>
  <c r="C33" i="3" a="1"/>
  <c r="B725" i="3" a="1"/>
  <c r="C126" i="3" a="1"/>
  <c r="C704" i="3" a="1"/>
  <c r="B804" i="3" a="1"/>
  <c r="C18" i="3" a="1"/>
  <c r="C109" i="3" a="1"/>
  <c r="C944" i="3" a="1"/>
  <c r="B779" i="3" a="1"/>
  <c r="B727" i="3" a="1"/>
  <c r="C735" i="3" a="1"/>
  <c r="C438" i="3" a="1"/>
  <c r="C69" i="3" a="1"/>
  <c r="C231" i="3" a="1"/>
  <c r="B1058" i="3" a="1"/>
  <c r="C477" i="3" a="1"/>
  <c r="B83" i="3" a="1"/>
  <c r="B796" i="3" a="1"/>
  <c r="B775" i="3" a="1"/>
  <c r="B1315" i="3" a="1"/>
  <c r="B923" i="3" a="1"/>
  <c r="C761" i="3" a="1"/>
  <c r="C1035" i="3" a="1"/>
  <c r="B590" i="3" a="1"/>
  <c r="C1167" i="3" a="1"/>
  <c r="B607" i="3" a="1"/>
  <c r="C1169" i="3" a="1"/>
  <c r="C889" i="3" a="1"/>
  <c r="B687" i="3" a="1"/>
  <c r="C518" i="3" a="1"/>
  <c r="B1040" i="3" a="1"/>
  <c r="B206" i="3" a="1"/>
  <c r="C513" i="3" a="1"/>
  <c r="C60" i="3" a="1"/>
  <c r="B919" i="3" a="1"/>
  <c r="B928" i="3" a="1"/>
  <c r="C631" i="3" a="1"/>
  <c r="B1274" i="3" a="1"/>
  <c r="C780" i="3" a="1"/>
  <c r="C11" i="3" a="1"/>
  <c r="C241" i="3" a="1"/>
  <c r="B794" i="3" a="1"/>
  <c r="B838" i="3" a="1"/>
  <c r="B397" i="3" a="1"/>
  <c r="B1333" i="3" a="1"/>
  <c r="C1195" i="3" a="1"/>
  <c r="B572" i="3" a="1"/>
  <c r="B525" i="3" a="1"/>
  <c r="B695" i="3" a="1"/>
  <c r="B840" i="3" a="1"/>
  <c r="C265" i="3" a="1"/>
  <c r="B516" i="3" a="1"/>
  <c r="B69" i="3" a="1"/>
  <c r="B749" i="3" a="1"/>
  <c r="B366" i="3" a="1"/>
  <c r="C896" i="3" a="1"/>
  <c r="C1137" i="3" a="1"/>
  <c r="C1143" i="3" a="1"/>
  <c r="C29" i="3" a="1"/>
  <c r="C1154" i="3" a="1"/>
  <c r="C873" i="3" a="1"/>
  <c r="C1384" i="3" a="1"/>
  <c r="B764" i="3" a="1"/>
  <c r="C793" i="3" a="1"/>
  <c r="C1389" i="3" a="1"/>
  <c r="C1029" i="3" a="1"/>
  <c r="B752" i="3" a="1"/>
  <c r="C413" i="3" a="1"/>
  <c r="B331" i="3" a="1"/>
  <c r="C65" i="3" a="1"/>
  <c r="B675" i="3" a="1"/>
  <c r="C598" i="3" a="1"/>
  <c r="C273" i="3" a="1"/>
  <c r="B1086" i="3" a="1"/>
  <c r="C52" i="3" a="1"/>
  <c r="C638" i="3" a="1"/>
  <c r="C558" i="3" a="1"/>
  <c r="C894" i="3" a="1"/>
  <c r="B988" i="3" a="1"/>
  <c r="B489" i="3" a="1"/>
  <c r="B831" i="3" a="1"/>
  <c r="B833" i="3" a="1"/>
  <c r="C806" i="3" a="1"/>
  <c r="C822" i="3" a="1"/>
  <c r="C1288" i="3" a="1"/>
  <c r="B1153" i="3" a="1"/>
  <c r="B627" i="3" a="1"/>
  <c r="B851" i="3" a="1"/>
  <c r="C431" i="3" a="1"/>
  <c r="C143" i="3" a="1"/>
  <c r="B405" i="3" a="1"/>
  <c r="B1230" i="3" a="1"/>
  <c r="B799" i="3" a="1"/>
  <c r="B706" i="3" a="1"/>
  <c r="B786" i="3" a="1"/>
  <c r="C1322" i="3" a="1"/>
  <c r="B282" i="3" a="1"/>
  <c r="B1354" i="3" a="1"/>
  <c r="B1039" i="3" a="1"/>
  <c r="C968" i="3" a="1"/>
  <c r="C274" i="3" a="1"/>
  <c r="B418" i="3" a="1"/>
  <c r="C407" i="3" a="1"/>
  <c r="C1015" i="3" a="1"/>
  <c r="B443" i="3" a="1"/>
  <c r="C1303" i="3" a="1"/>
  <c r="B1337" i="3" a="1"/>
  <c r="C173" i="3" a="1"/>
  <c r="C280" i="3" a="1"/>
  <c r="C436" i="3" a="1"/>
  <c r="C980" i="3" a="1"/>
  <c r="C1237" i="3" a="1"/>
  <c r="C519" i="3" a="1"/>
  <c r="C1031" i="3" a="1"/>
  <c r="B426" i="3" a="1"/>
  <c r="C1058" i="3" a="1"/>
  <c r="C666" i="3" a="1"/>
  <c r="C1229" i="3" a="1"/>
  <c r="B722" i="3" a="1"/>
  <c r="C386" i="3" a="1"/>
  <c r="B382" i="3" a="1"/>
  <c r="B1076" i="3" a="1"/>
  <c r="C797" i="3" a="1"/>
  <c r="C825" i="3" a="1"/>
  <c r="B953" i="3" a="1"/>
  <c r="B248" i="3" a="1"/>
  <c r="B170" i="3" a="1"/>
  <c r="B877" i="3" a="1"/>
  <c r="B671" i="3" a="1"/>
  <c r="C41" i="3" a="1"/>
  <c r="C636" i="3" a="1"/>
  <c r="B586" i="3" a="1"/>
  <c r="B304" i="3" a="1"/>
  <c r="B305" i="3" a="1"/>
  <c r="C1335" i="3" a="1"/>
  <c r="B846" i="3" a="1"/>
  <c r="C1252" i="3" a="1"/>
  <c r="B1157" i="3" a="1"/>
  <c r="B47" i="3" a="1"/>
  <c r="B905" i="3" a="1"/>
  <c r="C833" i="3" a="1"/>
  <c r="C1004" i="3" a="1"/>
  <c r="B951" i="3" a="1"/>
  <c r="B46" i="3" a="1"/>
  <c r="C51" i="3" a="1"/>
  <c r="C659" i="3" a="1"/>
  <c r="B971" i="3" a="1"/>
  <c r="C392" i="3" a="1"/>
  <c r="B278" i="3" a="1"/>
  <c r="C725" i="3" a="1"/>
  <c r="C697" i="3" a="1"/>
  <c r="B129" i="3" a="1"/>
  <c r="C964" i="3" a="1"/>
  <c r="C2" i="3" a="1"/>
  <c r="C917" i="3" a="1"/>
  <c r="B576" i="3" a="1"/>
  <c r="C810" i="3" a="1"/>
  <c r="B1385" i="3" a="1"/>
  <c r="B856" i="3" a="1"/>
  <c r="C190" i="3" a="1"/>
  <c r="C881" i="3" a="1"/>
  <c r="B778" i="3" a="1"/>
  <c r="C892" i="3" a="1"/>
  <c r="C637" i="3" a="1"/>
  <c r="C1174" i="3" a="1"/>
  <c r="B774" i="3" a="1"/>
  <c r="C1340" i="3" a="1"/>
  <c r="B847" i="3" a="1"/>
  <c r="C218" i="3" a="1"/>
  <c r="B407" i="3" a="1"/>
  <c r="B16" i="3" a="1"/>
  <c r="C650" i="3" a="1"/>
  <c r="C959" i="3" a="1"/>
  <c r="C1249" i="3" a="1"/>
  <c r="B588" i="3" a="1"/>
  <c r="B1140" i="3" a="1"/>
  <c r="B39" i="3" a="1"/>
  <c r="C887" i="3" a="1"/>
  <c r="C999" i="3" a="1"/>
  <c r="C1130" i="3" a="1"/>
  <c r="B365" i="3" a="1"/>
  <c r="C214" i="3" a="1"/>
  <c r="C595" i="3" a="1"/>
  <c r="C155" i="3" a="1"/>
  <c r="B386" i="3" a="1"/>
  <c r="C37" i="3" a="1"/>
  <c r="C582" i="3" a="1"/>
  <c r="C1289" i="3" a="1"/>
  <c r="B1229" i="3" a="1"/>
  <c r="B1044" i="3" a="1"/>
  <c r="C307" i="3" a="1"/>
  <c r="C1319" i="3" a="1"/>
  <c r="C122" i="3" a="1"/>
  <c r="C290" i="3" a="1"/>
  <c r="B630" i="3" a="1"/>
  <c r="B153" i="3" a="1"/>
  <c r="B1394" i="3" a="1"/>
  <c r="B601" i="3" a="1"/>
  <c r="C1302" i="3" a="1"/>
  <c r="B672" i="3" a="1"/>
  <c r="B713" i="3" a="1"/>
  <c r="C672" i="3" a="1"/>
  <c r="B632" i="3" a="1"/>
  <c r="C302" i="3" a="1"/>
  <c r="C741" i="3" a="1"/>
  <c r="B1015" i="3" a="1"/>
  <c r="B295" i="3" a="1"/>
  <c r="B28" i="3" a="1"/>
  <c r="B189" i="3" a="1"/>
  <c r="C934" i="3" a="1"/>
  <c r="C489" i="3" a="1"/>
  <c r="C1232" i="3" a="1"/>
  <c r="C68" i="3" a="1"/>
  <c r="C630" i="3" a="1"/>
  <c r="C506" i="3" a="1"/>
  <c r="B1263" i="3" a="1"/>
  <c r="C1055" i="3" a="1"/>
  <c r="C79" i="3" a="1"/>
  <c r="B374" i="3" a="1"/>
  <c r="B1219" i="3" a="1"/>
  <c r="C601" i="3" a="1"/>
  <c r="B187" i="3" a="1"/>
  <c r="C550" i="3" a="1"/>
  <c r="B308" i="3" a="1"/>
  <c r="C568" i="3" a="1"/>
  <c r="C1300" i="3" a="1"/>
  <c r="B791" i="3" a="1"/>
  <c r="C176" i="3" a="1"/>
  <c r="C1367" i="3" a="1"/>
  <c r="B112" i="3" a="1"/>
  <c r="C551" i="3" a="1"/>
  <c r="B23" i="3" a="1"/>
  <c r="B1168" i="3" a="1"/>
  <c r="C967" i="3" a="1"/>
  <c r="B1380" i="3" a="1"/>
  <c r="B823" i="3" a="1"/>
  <c r="B581" i="3" a="1"/>
  <c r="C654" i="3" a="1"/>
  <c r="C1294" i="3" a="1"/>
  <c r="B212" i="3" a="1"/>
  <c r="C569" i="3" a="1"/>
  <c r="C616" i="3" a="1"/>
  <c r="C941" i="3" a="1"/>
  <c r="C1027" i="3" a="1"/>
  <c r="C1383" i="3" a="1"/>
  <c r="C804" i="3" a="1"/>
  <c r="B814" i="3" a="1"/>
  <c r="B1094" i="3" a="1"/>
  <c r="C739" i="3" a="1"/>
  <c r="C1075" i="3" a="1"/>
  <c r="C888" i="3" a="1"/>
  <c r="C357" i="3" a="1"/>
  <c r="C1094" i="3" a="1"/>
  <c r="C98" i="3" a="1"/>
  <c r="C491" i="3" a="1"/>
  <c r="B415" i="3" a="1"/>
  <c r="C1260" i="3" a="1"/>
  <c r="C1223" i="3" a="1"/>
  <c r="B181" i="3" a="1"/>
  <c r="B813" i="3" a="1"/>
  <c r="B596" i="3" a="1"/>
  <c r="C619" i="3" a="1"/>
  <c r="C27" i="3" a="1"/>
  <c r="B285" i="3" a="1"/>
  <c r="B1172" i="3" a="1"/>
  <c r="B262" i="3" a="1"/>
  <c r="B821" i="3" a="1"/>
  <c r="C832" i="3" a="1"/>
  <c r="B431" i="3" a="1"/>
  <c r="B874" i="3" a="1"/>
  <c r="B657" i="3" a="1"/>
  <c r="B1217" i="3" a="1"/>
  <c r="B1359" i="3" a="1"/>
  <c r="B1233" i="3" a="1"/>
  <c r="B26" i="3" a="1"/>
  <c r="B1105" i="3" a="1"/>
  <c r="C246" i="3" a="1"/>
  <c r="C8" i="3" a="1"/>
  <c r="B412" i="3" a="1"/>
  <c r="B857" i="3" a="1"/>
  <c r="C188" i="3" a="1"/>
  <c r="B521" i="3" a="1"/>
  <c r="B1051" i="3" a="1"/>
  <c r="B595" i="3" a="1"/>
  <c r="C779" i="3" a="1"/>
  <c r="C510" i="3" a="1"/>
  <c r="B132" i="3" a="1"/>
  <c r="C656" i="3" a="1"/>
  <c r="C818" i="3" a="1"/>
  <c r="B524" i="3" a="1"/>
  <c r="C599" i="3" a="1"/>
  <c r="B203" i="3" a="1"/>
  <c r="B125" i="3" a="1"/>
  <c r="B1276" i="3" a="1"/>
  <c r="B886" i="3" a="1"/>
  <c r="B291" i="3" a="1"/>
  <c r="C84" i="3" a="1"/>
  <c r="C628" i="3" a="1"/>
  <c r="C301" i="3" a="1"/>
  <c r="C482" i="3" a="1"/>
  <c r="B1028" i="3" a="1"/>
  <c r="C1003" i="3" a="1"/>
  <c r="C696" i="3" a="1"/>
  <c r="C204" i="3" a="1"/>
  <c r="C149" i="3" a="1"/>
  <c r="B1323" i="3" a="1"/>
  <c r="C646" i="3" a="1"/>
  <c r="B871" i="3" a="1"/>
  <c r="C1236" i="3" a="1"/>
  <c r="B173" i="3" a="1"/>
  <c r="C1160" i="3" a="1"/>
  <c r="C1025" i="3" a="1"/>
  <c r="C721" i="3" a="1"/>
  <c r="B197" i="3" a="1"/>
  <c r="B174" i="3" a="1"/>
  <c r="B279" i="3" a="1"/>
  <c r="B35" i="3" a="1"/>
  <c r="B1186" i="3" a="1"/>
  <c r="B1025" i="3" a="1"/>
  <c r="B623" i="3" a="1"/>
  <c r="B528" i="3" a="1"/>
  <c r="B737" i="3" a="1"/>
  <c r="B625" i="3" a="1"/>
  <c r="C1118" i="3" a="1"/>
  <c r="B227" i="3" a="1"/>
  <c r="B812" i="3" a="1"/>
  <c r="B1093" i="3" a="1"/>
  <c r="C349" i="3" a="1"/>
  <c r="C809" i="3" a="1"/>
  <c r="B809" i="3" a="1"/>
  <c r="C242" i="3" a="1"/>
  <c r="C373" i="3" a="1"/>
  <c r="C425" i="3" a="1"/>
  <c r="C1365" i="3" a="1"/>
  <c r="C916" i="3" a="1"/>
  <c r="B780" i="3" a="1"/>
  <c r="C694" i="3" a="1"/>
  <c r="B1010" i="3" a="1"/>
  <c r="C82" i="3" a="1"/>
  <c r="B1338" i="3" a="1"/>
  <c r="B245" i="3" a="1"/>
  <c r="C504" i="3" a="1"/>
  <c r="C1216" i="3" a="1"/>
  <c r="C720" i="3" a="1"/>
  <c r="B1206" i="3" a="1"/>
  <c r="B472" i="3" a="1"/>
  <c r="B337" i="3" a="1"/>
  <c r="C711" i="3" a="1"/>
  <c r="C877" i="3" a="1"/>
  <c r="B539" i="3" a="1"/>
  <c r="B958" i="3" a="1"/>
  <c r="B280" i="3" a="1"/>
  <c r="C478" i="3" a="1"/>
  <c r="B87" i="3" a="1"/>
  <c r="C1220" i="3" a="1"/>
  <c r="B1362" i="3" a="1"/>
  <c r="C361" i="3" a="1"/>
  <c r="B1204" i="3" a="1"/>
  <c r="B1205" i="3" a="1"/>
  <c r="C75" i="3" a="1"/>
  <c r="C137" i="3" a="1"/>
  <c r="C799" i="3" a="1"/>
  <c r="C161" i="3" a="1"/>
  <c r="B482" i="3" a="1"/>
  <c r="B956" i="3" a="1"/>
  <c r="C521" i="3" a="1"/>
  <c r="C563" i="3" a="1"/>
  <c r="B628" i="3" a="1"/>
  <c r="C819" i="3" a="1"/>
  <c r="C1168" i="3" a="1"/>
  <c r="C1008" i="3" a="1"/>
  <c r="C882" i="3" a="1"/>
  <c r="B32" i="3" a="1"/>
  <c r="C259" i="3" a="1"/>
  <c r="C1184" i="3" a="1"/>
  <c r="B522" i="3" a="1"/>
  <c r="C1345" i="3" a="1"/>
  <c r="B1348" i="3" a="1"/>
  <c r="C1312" i="3" a="1"/>
  <c r="B848" i="3" a="1"/>
  <c r="C1040" i="3" a="1"/>
  <c r="C1238" i="3" a="1"/>
  <c r="C1334" i="3" a="1"/>
  <c r="C1293" i="3" a="1"/>
  <c r="B1030" i="3" a="1"/>
  <c r="B229" i="3" a="1"/>
  <c r="B762" i="3" a="1"/>
  <c r="B293" i="3" a="1"/>
  <c r="C723" i="3" a="1"/>
  <c r="C1253" i="3" a="1"/>
  <c r="C1307" i="3" a="1"/>
  <c r="C1176" i="3" a="1"/>
  <c r="C362" i="3" a="1"/>
  <c r="B889" i="3" a="1"/>
  <c r="B193" i="3" a="1"/>
  <c r="C1034" i="3" a="1"/>
  <c r="B748" i="3" a="1"/>
  <c r="B371" i="3" a="1"/>
  <c r="B942" i="3" a="1"/>
  <c r="C923" i="3" a="1"/>
  <c r="B822" i="3" a="1"/>
  <c r="B427" i="3" a="1"/>
  <c r="B955" i="3" a="1"/>
  <c r="C731" i="3" a="1"/>
  <c r="C222" i="3" a="1"/>
  <c r="B1284" i="3" a="1"/>
  <c r="C1369" i="3" a="1"/>
  <c r="B367" i="3" a="1"/>
  <c r="C466" i="3" a="1"/>
  <c r="C1044" i="3" a="1"/>
  <c r="B914" i="3" a="1"/>
  <c r="C184" i="3" a="1"/>
  <c r="C100" i="3" a="1"/>
  <c r="C78" i="3" a="1"/>
  <c r="C996" i="3" a="1"/>
  <c r="C542" i="3" a="1"/>
  <c r="C662" i="3" a="1"/>
  <c r="C936" i="3" a="1"/>
  <c r="C1224" i="3" a="1"/>
  <c r="B1011" i="3" a="1"/>
  <c r="C633" i="3" a="1"/>
  <c r="C458" i="3" a="1"/>
  <c r="C117" i="3" a="1"/>
  <c r="C1239" i="3" a="1"/>
  <c r="B425" i="3" a="1"/>
  <c r="B192" i="3" a="1"/>
  <c r="C1038" i="3" a="1"/>
  <c r="C358" i="3" a="1"/>
  <c r="C743" i="3" a="1"/>
  <c r="C879" i="3" a="1"/>
  <c r="C1071" i="3" a="1"/>
  <c r="C1373" i="3" a="1"/>
  <c r="C1009" i="3" a="1"/>
  <c r="B76" i="3" a="1"/>
  <c r="C545" i="3" a="1"/>
  <c r="C668" i="3" a="1"/>
  <c r="B938" i="3" a="1"/>
  <c r="C487" i="3" a="1"/>
  <c r="C286" i="3" a="1"/>
  <c r="B1139" i="3" a="1"/>
  <c r="C257" i="3" a="1"/>
  <c r="C453" i="3" a="1"/>
  <c r="C329" i="3" a="1"/>
  <c r="C305" i="3" a="1"/>
  <c r="B479" i="3" a="1"/>
  <c r="B363" i="3" a="1"/>
  <c r="B79" i="3" a="1"/>
  <c r="C258" i="3" a="1"/>
  <c r="C1242" i="3" a="1"/>
  <c r="B217" i="3" a="1"/>
  <c r="C397" i="3" a="1"/>
  <c r="B109" i="3" a="1"/>
  <c r="B377" i="3" a="1"/>
  <c r="C488" i="3" a="1"/>
  <c r="C1341" i="3" a="1"/>
  <c r="C187" i="3" a="1"/>
  <c r="C805" i="3" a="1"/>
  <c r="C597" i="3" a="1"/>
  <c r="C736" i="3" a="1"/>
  <c r="B114" i="3" a="1"/>
  <c r="B1192" i="3" a="1"/>
  <c r="B1152" i="3" a="1"/>
  <c r="B1068" i="3" a="1"/>
  <c r="C976" i="3" a="1"/>
  <c r="B577" i="3" a="1"/>
  <c r="B561" i="3" a="1"/>
  <c r="C901" i="3" a="1"/>
  <c r="B633" i="3" a="1"/>
  <c r="C1326" i="3" a="1"/>
  <c r="C928" i="3" a="1"/>
  <c r="C770" i="3" a="1"/>
  <c r="B410" i="3" a="1"/>
  <c r="C147" i="3" a="1"/>
  <c r="B1035" i="3" a="1"/>
  <c r="C1277" i="3" a="1"/>
  <c r="B135" i="3" a="1"/>
  <c r="C682" i="3" a="1"/>
  <c r="C846" i="3" a="1"/>
  <c r="C661" i="3" a="1"/>
  <c r="B475" i="3" a="1"/>
  <c r="C459" i="3" a="1"/>
  <c r="C566" i="3" a="1"/>
  <c r="C514" i="3" a="1"/>
  <c r="C577" i="3" a="1"/>
  <c r="B1293" i="3" a="1"/>
  <c r="C1010" i="3" a="1"/>
  <c r="B1082" i="3" a="1"/>
  <c r="C178" i="3" a="1"/>
  <c r="B1251" i="3" a="1"/>
  <c r="C775" i="3" a="1"/>
  <c r="B252" i="3" a="1"/>
  <c r="B900" i="3" a="1"/>
  <c r="B497" i="3" a="1"/>
  <c r="B617" i="3" a="1"/>
  <c r="B719" i="3" a="1"/>
  <c r="C1353" i="3" a="1"/>
  <c r="B908" i="3" a="1"/>
  <c r="B463" i="3" a="1"/>
  <c r="C428" i="3" a="1"/>
  <c r="C524" i="3" a="1"/>
  <c r="C160" i="3" a="1"/>
  <c r="C606" i="3" a="1"/>
  <c r="B1269" i="3" a="1"/>
  <c r="C156" i="3" a="1"/>
  <c r="C902" i="3" a="1"/>
  <c r="C559" i="3" a="1"/>
  <c r="C44" i="3" a="1"/>
  <c r="C1136" i="3" a="1"/>
  <c r="B1387" i="3" a="1"/>
  <c r="B388" i="3" a="1"/>
  <c r="B177" i="3" a="1"/>
  <c r="B1260" i="3" a="1"/>
  <c r="B179" i="3" a="1"/>
  <c r="C256" i="3" a="1"/>
  <c r="C201" i="3" a="1"/>
  <c r="B1013" i="3" a="1"/>
  <c r="B1257" i="3" a="1"/>
  <c r="B992" i="3" a="1"/>
  <c r="B680" i="3" a="1"/>
  <c r="B86" i="3" a="1"/>
  <c r="C1278" i="3" a="1"/>
  <c r="B158" i="3" a="1"/>
  <c r="C465" i="3" a="1"/>
  <c r="B1318" i="3" a="1"/>
  <c r="C676" i="3" a="1"/>
  <c r="B1001" i="3" a="1"/>
  <c r="B1313" i="3" a="1"/>
  <c r="C71" i="3" a="1"/>
  <c r="C1046" i="3" a="1"/>
  <c r="C590" i="3" a="1"/>
  <c r="B716" i="3" a="1"/>
  <c r="C953" i="3" a="1"/>
  <c r="C380" i="3" a="1"/>
  <c r="B978" i="3" a="1"/>
  <c r="C456" i="3" a="1"/>
  <c r="C612" i="3" a="1"/>
  <c r="B883" i="3" a="1"/>
  <c r="C516" i="3" a="1"/>
  <c r="B1069" i="3" a="1"/>
  <c r="C275" i="3" a="1"/>
  <c r="C468" i="3" a="1"/>
  <c r="B8" i="3" a="1"/>
  <c r="B466" i="3" a="1"/>
  <c r="C1057" i="3" a="1"/>
  <c r="C447" i="3" a="1"/>
  <c r="B1375" i="3" a="1"/>
  <c r="B509" i="3" a="1"/>
  <c r="C1227" i="3" a="1"/>
  <c r="C226" i="3" a="1"/>
  <c r="C508" i="3" a="1"/>
  <c r="C730" i="3" a="1"/>
  <c r="B940" i="3" a="1"/>
  <c r="B618" i="3" a="1"/>
  <c r="B1344" i="3" a="1"/>
  <c r="B361" i="3" a="1"/>
  <c r="B128" i="3" a="1"/>
  <c r="C949" i="3" a="1"/>
  <c r="C315" i="3" a="1"/>
  <c r="B133" i="3" a="1"/>
  <c r="C268" i="3" a="1"/>
  <c r="B548" i="3" a="1"/>
  <c r="B1170" i="3" a="1"/>
  <c r="C292" i="3" a="1"/>
  <c r="B462" i="3" a="1"/>
  <c r="B30" i="3" a="1"/>
  <c r="C55" i="3" a="1"/>
  <c r="C970" i="3" a="1"/>
  <c r="C908" i="3" a="1"/>
  <c r="B458" i="3" a="1"/>
  <c r="B1213" i="3" a="1"/>
  <c r="B409" i="3" a="1"/>
  <c r="C1179" i="3" a="1"/>
  <c r="C193" i="3" a="1"/>
  <c r="B751" i="3" a="1"/>
  <c r="C1112" i="3" a="1"/>
  <c r="C88" i="3" a="1"/>
  <c r="B1256" i="3" a="1"/>
  <c r="B1221" i="3" a="1"/>
  <c r="C795" i="3" a="1"/>
  <c r="B141" i="3" a="1"/>
  <c r="B512" i="3" a="1"/>
  <c r="C1128" i="3" a="1"/>
  <c r="C789" i="3" a="1"/>
  <c r="B1335" i="3" a="1"/>
  <c r="B1320" i="3" a="1"/>
  <c r="B401" i="3" a="1"/>
  <c r="B451" i="3" a="1"/>
  <c r="C399" i="3" a="1"/>
  <c r="C1354" i="3" a="1"/>
  <c r="C1074" i="3" a="1"/>
  <c r="C1358" i="3" a="1"/>
  <c r="C1183" i="3" a="1"/>
  <c r="C182" i="3" a="1"/>
  <c r="C99" i="3" a="1"/>
  <c r="C1096" i="3" a="1"/>
  <c r="C1235" i="3" a="1"/>
  <c r="B969" i="3" a="1"/>
  <c r="B574" i="3" a="1"/>
  <c r="B836" i="3" a="1"/>
  <c r="C554" i="3" a="1"/>
  <c r="C621" i="3" a="1"/>
  <c r="B692" i="3" a="1"/>
  <c r="C1072" i="3" a="1"/>
  <c r="C64" i="3" a="1"/>
  <c r="C943" i="3" a="1"/>
  <c r="B493" i="3" a="1"/>
  <c r="B354" i="3" a="1"/>
  <c r="C1099" i="3" a="1"/>
  <c r="B647" i="3" a="1"/>
  <c r="C1033" i="3" a="1"/>
  <c r="C1386" i="3" a="1"/>
  <c r="B731" i="3" a="1"/>
  <c r="C110" i="3" a="1"/>
  <c r="B902" i="3" a="1"/>
  <c r="B1099" i="3" a="1"/>
  <c r="C863" i="3" a="1"/>
  <c r="B579" i="3" a="1"/>
  <c r="B1074" i="3" a="1"/>
  <c r="B226" i="3" a="1"/>
  <c r="C486" i="3" a="1"/>
  <c r="C58" i="3" a="1"/>
  <c r="C787" i="3" a="1"/>
  <c r="C827" i="3" a="1"/>
  <c r="B1245" i="3" a="1"/>
  <c r="C369" i="3" a="1"/>
  <c r="B317" i="3" a="1"/>
  <c r="B1247" i="3" a="1"/>
  <c r="C1051" i="3" a="1"/>
  <c r="C520" i="3" a="1"/>
  <c r="B815" i="3" a="1"/>
  <c r="C422" i="3" a="1"/>
  <c r="B156" i="3" a="1"/>
  <c r="B250" i="3" a="1"/>
  <c r="B1209" i="3" a="1"/>
  <c r="C898" i="3" a="1"/>
  <c r="C1391" i="3" a="1"/>
  <c r="C1114" i="3" a="1"/>
  <c r="C1211" i="3" a="1"/>
  <c r="C952" i="3" a="1"/>
  <c r="B549" i="3" a="1"/>
  <c r="C285" i="3" a="1"/>
  <c r="C276" i="3" a="1"/>
  <c r="B1101" i="3" a="1"/>
  <c r="B867" i="3" a="1"/>
  <c r="C1119" i="3" a="1"/>
  <c r="B987" i="3" a="1"/>
  <c r="B258" i="3" a="1"/>
  <c r="B1259" i="3" a="1"/>
  <c r="C920" i="3" a="1"/>
  <c r="C906" i="3" a="1"/>
  <c r="B68" i="3" a="1"/>
  <c r="C1150" i="3" a="1"/>
  <c r="B323" i="3" a="1"/>
  <c r="B1365" i="3" a="1"/>
  <c r="B868" i="3" a="1"/>
  <c r="B494" i="3" a="1"/>
  <c r="B144" i="3" a="1"/>
  <c r="B259" i="3" a="1"/>
  <c r="C1065" i="3" a="1"/>
  <c r="B1070" i="3" a="1"/>
  <c r="C370" i="3" a="1"/>
  <c r="B755" i="3" a="1"/>
  <c r="C942" i="3" a="1"/>
  <c r="C14" i="3" a="1"/>
  <c r="B140" i="3" a="1"/>
  <c r="B78" i="3" a="1"/>
  <c r="C758" i="3" a="1"/>
  <c r="B306" i="3" a="1"/>
  <c r="B1173" i="3" a="1"/>
  <c r="C680" i="3" a="1"/>
  <c r="C1158" i="3" a="1"/>
  <c r="B1005" i="3" a="1"/>
  <c r="C1351" i="3" a="1"/>
  <c r="C911" i="3" a="1"/>
  <c r="C108" i="3" a="1"/>
  <c r="B854" i="3" a="1"/>
  <c r="C684" i="3" a="1"/>
  <c r="C186" i="3" a="1"/>
  <c r="B263" i="3" a="1"/>
  <c r="C640" i="3" a="1"/>
  <c r="B312" i="3" a="1"/>
  <c r="C1011" i="3" a="1"/>
  <c r="C1378" i="3" a="1"/>
  <c r="B1307" i="3" a="1"/>
  <c r="B1158" i="3" a="1"/>
  <c r="C1191" i="3" a="1"/>
  <c r="B481" i="3" a="1"/>
  <c r="C891" i="3" a="1"/>
  <c r="C321" i="3" a="1"/>
  <c r="C390" i="3" a="1"/>
  <c r="B66" i="3" a="1"/>
  <c r="C335" i="3" a="1"/>
  <c r="B1295" i="3" a="1"/>
  <c r="C43" i="3" a="1"/>
  <c r="C279" i="3" a="1"/>
  <c r="C317" i="3" a="1"/>
  <c r="B998" i="3" a="1"/>
  <c r="B1143" i="3" a="1"/>
  <c r="C1107" i="3" a="1"/>
  <c r="B892" i="3" a="1"/>
  <c r="C592" i="3" a="1"/>
  <c r="C572" i="3" a="1"/>
  <c r="B1372" i="3" a="1"/>
  <c r="C1208" i="3" a="1"/>
  <c r="C9" i="3" a="1"/>
  <c r="C1159" i="3" a="1"/>
  <c r="B430" i="3" a="1"/>
  <c r="C713" i="3" a="1"/>
  <c r="C776" i="3" a="1"/>
  <c r="B488" i="3" a="1"/>
  <c r="B1264" i="3" a="1"/>
  <c r="C1350" i="3" a="1"/>
  <c r="C878" i="3" a="1"/>
  <c r="C1156" i="3" a="1"/>
  <c r="C724" i="3" a="1"/>
  <c r="C4" i="3" a="1"/>
  <c r="C1245" i="3" a="1"/>
  <c r="C267" i="3" a="1"/>
  <c r="C196" i="3" a="1"/>
  <c r="B322" i="3" a="1"/>
  <c r="B284" i="3" a="1"/>
  <c r="B698" i="3" a="1"/>
  <c r="B636" i="3" a="1"/>
  <c r="B421" i="3" a="1"/>
  <c r="C523" i="3" a="1"/>
  <c r="C1244" i="3" a="1"/>
  <c r="C120" i="3" a="1"/>
  <c r="C1138" i="3" a="1"/>
  <c r="B763" i="3" a="1"/>
  <c r="C227" i="3" a="1"/>
  <c r="B541" i="3" a="1"/>
  <c r="B686" i="3" a="1"/>
  <c r="C611" i="3" a="1"/>
  <c r="B59" i="3" a="1"/>
  <c r="C664" i="3" a="1"/>
  <c r="C32" i="3" a="1"/>
  <c r="C1234" i="3" a="1"/>
  <c r="C1287" i="3" a="1"/>
  <c r="B357" i="3" a="1"/>
  <c r="C416" i="3" a="1"/>
  <c r="C722" i="3" a="1"/>
  <c r="B666" i="3" a="1"/>
  <c r="C239" i="3" a="1"/>
  <c r="C1039" i="3" a="1"/>
  <c r="B224" i="3" a="1"/>
  <c r="C660" i="3" a="1"/>
  <c r="C1325" i="3" a="1"/>
  <c r="B201" i="3" a="1"/>
  <c r="C1388" i="3" a="1"/>
  <c r="B324" i="3" a="1"/>
  <c r="C1115" i="3" a="1"/>
  <c r="C985" i="3" a="1"/>
  <c r="B175" i="3" a="1"/>
  <c r="C300" i="3" a="1"/>
  <c r="C837" i="3" a="1"/>
  <c r="B261" i="3" a="1"/>
  <c r="C198" i="3" a="1"/>
  <c r="C1275" i="3" a="1"/>
  <c r="B1042" i="3" a="1"/>
  <c r="C347" i="3" a="1"/>
  <c r="C1256" i="3" a="1"/>
  <c r="B1343" i="3" a="1"/>
  <c r="C767" i="3" a="1"/>
  <c r="C183" i="3" a="1"/>
  <c r="C118" i="3" a="1"/>
  <c r="C121" i="3" a="1"/>
  <c r="B825" i="3" a="1"/>
  <c r="C591" i="3" a="1"/>
  <c r="B1303" i="3" a="1"/>
  <c r="B1097" i="3" a="1"/>
  <c r="C691" i="3" a="1"/>
  <c r="B1352" i="3" a="1"/>
  <c r="C1116" i="3" a="1"/>
  <c r="B1142" i="3" a="1"/>
  <c r="C12" i="3" a="1"/>
  <c r="C575" i="3" a="1"/>
  <c r="B559" i="3" a="1"/>
  <c r="C600" i="3" a="1"/>
  <c r="B91" i="3" a="1"/>
  <c r="C1102" i="3" a="1"/>
  <c r="B362" i="3" a="1"/>
  <c r="C74" i="3" a="1"/>
  <c r="C499" i="3" a="1"/>
  <c r="C1113" i="3" a="1"/>
  <c r="B688" i="3" a="1"/>
  <c r="C344" i="3" a="1"/>
  <c r="B735" i="3" a="1"/>
  <c r="B402" i="3" a="1"/>
  <c r="C6" i="3" a="1"/>
  <c r="C76" i="3" a="1"/>
  <c r="B1298" i="3" a="1"/>
  <c r="C1108" i="3" a="1"/>
  <c r="B1190" i="3" a="1"/>
  <c r="B925" i="3" a="1"/>
  <c r="B1045" i="3" a="1"/>
  <c r="B72" i="3" a="1"/>
  <c r="B1055" i="3" a="1"/>
  <c r="C244" i="3" a="1"/>
  <c r="B1255" i="3" a="1"/>
  <c r="C1152" i="3" a="1"/>
  <c r="C22" i="3" a="1"/>
  <c r="B364" i="3" a="1"/>
  <c r="C1117" i="3" a="1"/>
  <c r="C1255" i="3" a="1"/>
  <c r="B945" i="3" a="1"/>
  <c r="B621" i="3" a="1"/>
  <c r="C1279" i="3" a="1"/>
  <c r="C494" i="3" a="1"/>
  <c r="B965" i="3" a="1"/>
  <c r="C1157" i="3" a="1"/>
  <c r="B1199" i="3" a="1"/>
  <c r="B287" i="3" a="1"/>
  <c r="C712" i="3" a="1"/>
  <c r="B1340" i="3" a="1"/>
  <c r="B107" i="3" a="1"/>
  <c r="C235" i="3" a="1"/>
  <c r="C500" i="3" a="1"/>
  <c r="C675" i="3" a="1"/>
  <c r="C261" i="3" a="1"/>
  <c r="C671" i="3" a="1"/>
  <c r="C1364" i="3" a="1"/>
  <c r="B859" i="3" a="1"/>
  <c r="B237" i="3" a="1"/>
  <c r="C1077" i="3" a="1"/>
  <c r="C866" i="3" a="1"/>
  <c r="B952" i="3" a="1"/>
  <c r="C527" i="3" a="1"/>
  <c r="B1363" i="3" a="1"/>
  <c r="B1191" i="3" a="1"/>
  <c r="B202" i="3" a="1"/>
  <c r="C1017" i="3" a="1"/>
  <c r="B890" i="3" a="1"/>
  <c r="B351" i="3" a="1"/>
  <c r="B957" i="3" a="1"/>
  <c r="C1317" i="3" a="1"/>
  <c r="C57" i="3" a="1"/>
  <c r="C907" i="3" a="1"/>
  <c r="C549" i="3" a="1"/>
  <c r="C1070" i="3" a="1"/>
  <c r="B970" i="3" a="1"/>
  <c r="B495" i="3" a="1"/>
  <c r="B1080" i="3" a="1"/>
  <c r="B1300" i="3" a="1"/>
  <c r="B1038" i="3" a="1"/>
  <c r="C1198" i="3" a="1"/>
  <c r="B233" i="3" a="1"/>
  <c r="C1049" i="3" a="1"/>
  <c r="C434" i="3" a="1"/>
  <c r="B1115" i="3" a="1"/>
  <c r="C264" i="3" a="1"/>
  <c r="C70" i="3" a="1"/>
  <c r="B90" i="3" a="1"/>
  <c r="C1192" i="3" a="1"/>
  <c r="B1057" i="3" a="1"/>
  <c r="B165" i="3" a="1"/>
  <c r="C1151" i="3" a="1"/>
  <c r="C395" i="3" a="1"/>
  <c r="C484" i="3" a="1"/>
  <c r="C718" i="3" a="1"/>
  <c r="C40" i="3" a="1"/>
  <c r="B915" i="3" a="1"/>
  <c r="C67" i="3" a="1"/>
  <c r="B58" i="3" a="1"/>
  <c r="B195" i="3" a="1"/>
  <c r="B1065" i="3" a="1"/>
  <c r="C815" i="3" a="1"/>
  <c r="B453" i="3" a="1"/>
  <c r="B922" i="3" a="1"/>
  <c r="C1387" i="3" a="1"/>
  <c r="B67" i="3" a="1"/>
  <c r="B533" i="3" a="1"/>
  <c r="B194" i="3" a="1"/>
  <c r="C728" i="3" a="1"/>
  <c r="B1108" i="3" a="1"/>
  <c r="C152" i="3" a="1"/>
  <c r="B1371" i="3" a="1"/>
  <c r="B568" i="3" a="1"/>
  <c r="B609" i="3" a="1"/>
  <c r="C360" i="3" a="1"/>
  <c r="C177" i="3" a="1"/>
  <c r="C1050" i="3" a="1"/>
  <c r="C107" i="3" a="1"/>
  <c r="C1148" i="3" a="1"/>
  <c r="C1024" i="3" a="1"/>
  <c r="C1090" i="3" a="1"/>
  <c r="B685" i="3" a="1"/>
  <c r="B712" i="3" a="1"/>
  <c r="B949" i="3" a="1"/>
  <c r="C1060" i="3" a="1"/>
  <c r="C1360" i="3" a="1"/>
  <c r="B1189" i="3" a="1"/>
  <c r="B500" i="3" a="1"/>
  <c r="C211" i="3" a="1"/>
  <c r="C1053" i="3" a="1"/>
  <c r="B1218" i="3" a="1"/>
  <c r="B947" i="3" a="1"/>
  <c r="C1215" i="3" a="1"/>
  <c r="B98" i="3" a="1"/>
  <c r="B505" i="3" a="1"/>
  <c r="C534" i="3" a="1"/>
  <c r="C1331" i="3" a="1"/>
  <c r="B1275" i="3" a="1"/>
  <c r="C1327" i="3" a="1"/>
  <c r="B375" i="3" a="1"/>
  <c r="B927" i="3" a="1"/>
  <c r="B759" i="3" a="1"/>
  <c r="B937" i="3" a="1"/>
  <c r="C729" i="3" a="1"/>
  <c r="B582" i="3" a="1"/>
  <c r="C1177" i="3" a="1"/>
  <c r="B754" i="3" a="1"/>
  <c r="C648" i="3" a="1"/>
  <c r="C1165" i="3" a="1"/>
  <c r="C1023" i="3" a="1"/>
  <c r="B753" i="3" a="1"/>
  <c r="B1358" i="3" a="1"/>
  <c r="C748" i="3" a="1"/>
  <c r="B792" i="3" a="1"/>
  <c r="C342" i="3" a="1"/>
  <c r="C439" i="3" a="1"/>
  <c r="C1284" i="3" a="1"/>
  <c r="B1208" i="3" a="1"/>
  <c r="C412" i="3" a="1"/>
  <c r="C1258" i="3" a="1"/>
  <c r="C1147" i="3" a="1"/>
  <c r="C699" i="3" a="1"/>
  <c r="C613" i="3" a="1"/>
  <c r="C1132" i="3" a="1"/>
  <c r="C1356" i="3" a="1"/>
  <c r="C355" i="3" a="1"/>
  <c r="B164" i="3" a="1"/>
  <c r="C1308" i="3" a="1"/>
  <c r="C853" i="3" a="1"/>
  <c r="C740" i="3" a="1"/>
  <c r="C220" i="3" a="1"/>
  <c r="B461" i="3" a="1"/>
  <c r="C333" i="3" a="1"/>
  <c r="B246" i="3" a="1"/>
  <c r="B48" i="3" a="1"/>
  <c r="C353" i="3" a="1"/>
  <c r="C485" i="3" a="1"/>
  <c r="B1273" i="3" a="1"/>
  <c r="C978" i="3" a="1"/>
  <c r="B146" i="3" a="1"/>
  <c r="B196" i="3" a="1"/>
  <c r="C345" i="3" a="1"/>
  <c r="B209" i="3" a="1"/>
  <c r="C969" i="3" a="1"/>
  <c r="B24" i="3" a="1"/>
  <c r="B558" i="3" a="1"/>
  <c r="B887" i="3" a="1"/>
  <c r="C1182" i="3" a="1"/>
  <c r="C629" i="3" a="1"/>
  <c r="B702" i="3" a="1"/>
  <c r="B1036" i="3" a="1"/>
  <c r="B720" i="3" a="1"/>
  <c r="B841" i="3" a="1"/>
  <c r="C1206" i="3" a="1"/>
  <c r="C359" i="3" a="1"/>
  <c r="C95" i="3" a="1"/>
  <c r="C992" i="3" a="1"/>
  <c r="C973" i="3" a="1"/>
  <c r="B827" i="3" a="1"/>
  <c r="B649" i="3" a="1"/>
  <c r="C1272" i="3" a="1"/>
  <c r="B603" i="3" a="1"/>
  <c r="B1261" i="3" a="1"/>
  <c r="C688" i="3" a="1"/>
  <c r="C609" i="3" a="1"/>
  <c r="B27" i="3" a="1"/>
  <c r="B477" i="3" a="1"/>
  <c r="B1180" i="3" a="1"/>
  <c r="C139" i="3" a="1"/>
  <c r="C364" i="3" a="1"/>
  <c r="B909" i="3" a="1"/>
  <c r="C817" i="3" a="1"/>
  <c r="B644" i="3" a="1"/>
  <c r="C1222" i="3" a="1"/>
  <c r="C746" i="3" a="1"/>
  <c r="C854" i="3" a="1"/>
  <c r="B1059" i="3" a="1"/>
  <c r="C1043" i="3" a="1"/>
  <c r="B20" i="3" a="1"/>
  <c r="C868" i="3" a="1"/>
  <c r="B1031" i="3" a="1"/>
  <c r="B117" i="3" a="1"/>
  <c r="B993" i="3" a="1"/>
  <c r="C1105" i="3" a="1"/>
  <c r="C987" i="3" a="1"/>
  <c r="C1254" i="3" a="1"/>
  <c r="C798" i="3" a="1"/>
  <c r="B1018" i="3" a="1"/>
  <c r="C334" i="3" a="1"/>
  <c r="C865" i="3" a="1"/>
  <c r="C1064" i="3" a="1"/>
  <c r="C752" i="3" a="1"/>
  <c r="B352" i="3" a="1"/>
  <c r="C537" i="3" a="1"/>
  <c r="B739" i="3" a="1"/>
  <c r="C749" i="3" a="1"/>
  <c r="B1188" i="3" a="1"/>
  <c r="B54" i="3" a="1"/>
  <c r="B1095" i="3" a="1"/>
  <c r="C800" i="3" a="1"/>
  <c r="C1263" i="3" a="1"/>
  <c r="C46" i="3" a="1"/>
  <c r="C870" i="3" a="1"/>
  <c r="B399" i="3" a="1"/>
  <c r="C34" i="3" a="1"/>
  <c r="C15" i="3" a="1"/>
  <c r="B873" i="3" a="1"/>
  <c r="C312" i="3" a="1"/>
  <c r="B721" i="3" a="1"/>
  <c r="B738" i="3" a="1"/>
  <c r="C1084" i="3" a="1"/>
  <c r="B359" i="3" a="1"/>
  <c r="C1122" i="3" a="1"/>
  <c r="C377" i="3" a="1"/>
  <c r="C594" i="3" a="1"/>
  <c r="C1030" i="3" a="1"/>
  <c r="C403" i="3" a="1"/>
  <c r="C1269" i="3" a="1"/>
  <c r="B1179" i="3" a="1"/>
  <c r="B1266" i="3" a="1"/>
  <c r="B1056" i="3" a="1"/>
  <c r="C860" i="3" a="1"/>
  <c r="C849" i="3" a="1"/>
  <c r="B800" i="3" a="1"/>
  <c r="B288" i="3" a="1"/>
  <c r="B746" i="3" a="1"/>
  <c r="B560" i="3" a="1"/>
  <c r="B740" i="3" a="1"/>
  <c r="C199" i="3" a="1"/>
  <c r="B691" i="3" a="1"/>
  <c r="C708" i="3" a="1"/>
  <c r="B939" i="3" a="1"/>
  <c r="B917" i="3" a="1"/>
  <c r="C1111" i="3" a="1"/>
  <c r="C618" i="3" a="1"/>
  <c r="C997" i="3" a="1"/>
  <c r="B113" i="3" a="1"/>
  <c r="C472" i="3" a="1"/>
  <c r="C971" i="3" a="1"/>
  <c r="C766" i="3" a="1"/>
  <c r="C634" i="3" a="1"/>
  <c r="B25" i="3" a="1"/>
  <c r="B143" i="3" a="1"/>
  <c r="C536" i="3" a="1"/>
  <c r="B1052" i="3" a="1"/>
  <c r="C899" i="3" a="1"/>
  <c r="C1257" i="3" a="1"/>
  <c r="B536" i="3" a="1"/>
  <c r="C1088" i="3" a="1"/>
  <c r="B530" i="3" a="1"/>
  <c r="B1202" i="3" a="1"/>
  <c r="B1249" i="3" a="1"/>
  <c r="C146" i="3" a="1"/>
  <c r="C756" i="3" a="1"/>
  <c r="B567" i="3" a="1"/>
  <c r="C168" i="3" a="1"/>
  <c r="C498" i="3" a="1"/>
  <c r="C546" i="3" a="1"/>
  <c r="C277" i="3" a="1"/>
  <c r="C236" i="3" a="1"/>
  <c r="C1201" i="3" a="1"/>
  <c r="B445" i="3" a="1"/>
  <c r="B18" i="3" a="1"/>
  <c r="C539" i="3" a="1"/>
  <c r="C388" i="3" a="1"/>
  <c r="B765" i="3" a="1"/>
  <c r="C228" i="3" a="1"/>
  <c r="B80" i="3" a="1"/>
  <c r="C340" i="3" a="1"/>
  <c r="C578" i="3" a="1"/>
  <c r="B1214" i="3" a="1"/>
  <c r="C135" i="3" a="1"/>
  <c r="B684" i="3" a="1"/>
  <c r="C91" i="3" a="1"/>
  <c r="B793" i="3" a="1"/>
  <c r="C1082" i="3" a="1"/>
  <c r="C1348" i="3" a="1"/>
  <c r="C762" i="3" a="1"/>
  <c r="B518" i="3" a="1"/>
  <c r="B1283" i="3" a="1"/>
  <c r="C282" i="3" a="1"/>
  <c r="B830" i="3" a="1"/>
  <c r="B474" i="3" a="1"/>
  <c r="C1127" i="3" a="1"/>
  <c r="C981" i="3" a="1"/>
  <c r="B348" i="3" a="1"/>
  <c r="C284" i="3" a="1"/>
  <c r="C714" i="3" a="1"/>
  <c r="C232" i="3" a="1"/>
  <c r="C1204" i="3" a="1"/>
  <c r="C125" i="3" a="1"/>
  <c r="B801" i="3" a="1"/>
  <c r="C1375" i="3" a="1"/>
  <c r="B682" i="3" a="1"/>
  <c r="C673" i="3" a="1"/>
  <c r="C219" i="3" a="1"/>
  <c r="B303" i="3" a="1"/>
  <c r="B1103" i="3" a="1"/>
  <c r="B1384" i="3" a="1"/>
  <c r="B62" i="3" a="1"/>
  <c r="C1199" i="3" a="1"/>
  <c r="C1281" i="3" a="1"/>
  <c r="B1016" i="3" a="1"/>
  <c r="C31" i="3" a="1"/>
  <c r="C1054" i="3" a="1"/>
  <c r="C195" i="3" a="1"/>
  <c r="C838" i="3" a="1"/>
  <c r="B157" i="3" a="1"/>
  <c r="C647" i="3" a="1"/>
  <c r="B743" i="3" a="1"/>
  <c r="C289" i="3" a="1"/>
  <c r="C1370" i="3" a="1"/>
  <c r="C951" i="3" a="1"/>
  <c r="B228" i="3" a="1"/>
  <c r="C1141" i="3" a="1"/>
  <c r="C348" i="3" a="1"/>
  <c r="C250" i="3" a="1"/>
  <c r="B373" i="3" a="1"/>
  <c r="B515" i="3" a="1"/>
  <c r="B681" i="3" a="1"/>
  <c r="C394" i="3" a="1"/>
  <c r="C142" i="3" a="1"/>
  <c r="C1019" i="3" a="1"/>
  <c r="B1049" i="3" a="1"/>
  <c r="C503" i="3" a="1"/>
  <c r="C1161" i="3" a="1"/>
  <c r="C884" i="3" a="1"/>
  <c r="B1138" i="3" a="1"/>
  <c r="C1337" i="3" a="1"/>
  <c r="B563" i="3" a="1"/>
  <c r="B1297" i="3" a="1"/>
  <c r="C96" i="3" a="1"/>
  <c r="C1306" i="3" a="1"/>
  <c r="B340" i="3" a="1"/>
  <c r="B394" i="3" a="1"/>
  <c r="C1001" i="3" a="1"/>
  <c r="C103" i="3" a="1"/>
  <c r="B65" i="3" a="1"/>
  <c r="B598" i="3" a="1"/>
  <c r="C203" i="3" a="1"/>
  <c r="C351" i="3" a="1"/>
  <c r="B191" i="3" a="1"/>
  <c r="C295" i="3" a="1"/>
  <c r="C1129" i="3" a="1"/>
  <c r="B642" i="3" a="1"/>
  <c r="C769" i="3" a="1"/>
  <c r="B584" i="3" a="1"/>
  <c r="C102" i="3" a="1"/>
  <c r="B423" i="3" a="1"/>
  <c r="C674" i="3" a="1"/>
  <c r="B1296" i="3" a="1"/>
  <c r="C932" i="3" a="1"/>
  <c r="C1066" i="3" a="1"/>
  <c r="C365" i="3" a="1"/>
  <c r="B787" i="3" a="1"/>
  <c r="B789" i="3" a="1"/>
  <c r="B240" i="3" a="1"/>
  <c r="B499" i="3" a="1"/>
  <c r="B286" i="3" a="1"/>
  <c r="B63" i="3" a="1"/>
  <c r="C383" i="3" a="1"/>
  <c r="B190" i="3" a="1"/>
  <c r="B37" i="3" a="1"/>
  <c r="B975" i="3" a="1"/>
  <c r="C1243" i="3" a="1"/>
  <c r="B995" i="3" a="1"/>
  <c r="B639" i="3" a="1"/>
  <c r="B242" i="3" a="1"/>
  <c r="B1066" i="3" a="1"/>
  <c r="B1017" i="3" a="1"/>
  <c r="B1047" i="3" a="1"/>
  <c r="C1218" i="3" a="1"/>
  <c r="B480" i="3" a="1"/>
  <c r="C528" i="3" a="1"/>
  <c r="C710" i="3" a="1"/>
  <c r="B1319" i="3" a="1"/>
  <c r="B1368" i="3" a="1"/>
  <c r="C859" i="3" a="1"/>
  <c r="B707" i="3" a="1"/>
  <c r="C339" i="3" a="1"/>
  <c r="B876" i="3" a="1"/>
  <c r="B326" i="3" a="1"/>
  <c r="C410" i="3" a="1"/>
  <c r="C755" i="3" a="1"/>
  <c r="B318" i="3" a="1"/>
  <c r="B862" i="3" a="1"/>
  <c r="B728" i="3" a="1"/>
  <c r="B1063" i="3" a="1"/>
  <c r="B1234" i="3" a="1"/>
  <c r="C234" i="3" a="1"/>
  <c r="C450" i="3" a="1"/>
  <c r="C937" i="3" a="1"/>
  <c r="B1232" i="3" a="1"/>
  <c r="B534" i="3" a="1"/>
  <c r="B266" i="3" a="1"/>
  <c r="C475" i="3" a="1"/>
  <c r="C481" i="3" a="1"/>
  <c r="B968" i="3" a="1"/>
  <c r="B1046" i="3" a="1"/>
  <c r="B198" i="3" a="1"/>
  <c r="C371" i="3" a="1"/>
  <c r="C584" i="3" a="1"/>
  <c r="B844" i="3" a="1"/>
  <c r="B1089" i="3" a="1"/>
  <c r="C945" i="3" a="1"/>
  <c r="B241" i="3" a="1"/>
  <c r="C567" i="3" a="1"/>
  <c r="C1018" i="3" a="1"/>
  <c r="C903" i="3" a="1"/>
  <c r="C421" i="3" a="1"/>
  <c r="B519" i="1" a="1"/>
  <c r="B1041" i="1" a="1"/>
  <c r="B211" i="1" a="1"/>
  <c r="B651" i="1" a="1"/>
  <c r="B1179" i="1" a="1"/>
  <c r="B406" i="1" a="1"/>
  <c r="B37" i="1" a="1"/>
  <c r="B280" i="1" a="1"/>
  <c r="B607" i="1" a="1"/>
  <c r="B256" i="1" a="1"/>
  <c r="B589" i="1" a="1"/>
  <c r="B626" i="1" a="1"/>
  <c r="B715" i="1" a="1"/>
  <c r="B1207" i="1" a="1"/>
  <c r="B185" i="1" a="1"/>
  <c r="B487" i="1" a="1"/>
  <c r="B880" i="1" a="1"/>
  <c r="B672" i="1" a="1"/>
  <c r="B326" i="1" a="1"/>
  <c r="B1019" i="1" a="1"/>
  <c r="B209" i="1" a="1"/>
  <c r="B701" i="1" a="1"/>
  <c r="B1389" i="1" a="1"/>
  <c r="B802" i="1" a="1"/>
  <c r="B347" i="1" a="1"/>
  <c r="B1074" i="1" a="1"/>
  <c r="B807" i="1" a="1"/>
  <c r="B22" i="1" a="1"/>
  <c r="B1107" i="1" a="1"/>
  <c r="B1054" i="1" a="1"/>
  <c r="B1160" i="1" a="1"/>
  <c r="B100" i="1" a="1"/>
  <c r="B1062" i="1" a="1"/>
  <c r="B957" i="1" a="1"/>
  <c r="B954" i="1" a="1"/>
  <c r="B1232" i="1" a="1"/>
  <c r="B1228" i="1" a="1"/>
  <c r="B1101" i="1" a="1"/>
  <c r="B511" i="1" a="1"/>
  <c r="B644" i="1" a="1"/>
  <c r="B1003" i="1" a="1"/>
  <c r="B534" i="1" a="1"/>
  <c r="B428" i="1" a="1"/>
  <c r="B619" i="1" a="1"/>
  <c r="B1088" i="1" a="1"/>
  <c r="B1314" i="1" a="1"/>
  <c r="B290" i="1" a="1"/>
  <c r="B225" i="1" a="1"/>
  <c r="B741" i="1" a="1"/>
  <c r="B605" i="1" a="1"/>
  <c r="B3" i="1" a="1"/>
  <c r="B460" i="1" a="1"/>
  <c r="B1023" i="1" a="1"/>
  <c r="B599" i="1" a="1"/>
  <c r="B210" i="1" a="1"/>
  <c r="B1063" i="1" a="1"/>
  <c r="B1095" i="1" a="1"/>
  <c r="B981" i="1" a="1"/>
  <c r="B249" i="1" a="1"/>
  <c r="B1206" i="1" a="1"/>
  <c r="B286" i="1" a="1"/>
  <c r="B1319" i="1" a="1"/>
  <c r="B634" i="1" a="1"/>
  <c r="B1085" i="1" a="1"/>
  <c r="B77" i="1" a="1"/>
  <c r="B772" i="1" a="1"/>
  <c r="B584" i="1" a="1"/>
  <c r="B1042" i="1" a="1"/>
  <c r="B397" i="1" a="1"/>
  <c r="B1049" i="1" a="1"/>
  <c r="B874" i="1" a="1"/>
  <c r="B617" i="1" a="1"/>
  <c r="B272" i="1" a="1"/>
  <c r="B1307" i="1" a="1"/>
  <c r="B178" i="1" a="1"/>
  <c r="B1168" i="1" a="1"/>
  <c r="B751" i="1" a="1"/>
  <c r="B659" i="1" a="1"/>
  <c r="B199" i="1" a="1"/>
  <c r="B1015" i="1" a="1"/>
  <c r="B704" i="1" a="1"/>
  <c r="B872" i="1" a="1"/>
  <c r="B254" i="1" a="1"/>
  <c r="B1163" i="1" a="1"/>
  <c r="B259" i="1" a="1"/>
  <c r="B475" i="1" a="1"/>
  <c r="B717" i="1" a="1"/>
  <c r="B92" i="1" a="1"/>
  <c r="B365" i="1" a="1"/>
  <c r="B808" i="1" a="1"/>
  <c r="B500" i="1" a="1"/>
  <c r="B711" i="1" a="1"/>
  <c r="B1382" i="1" a="1"/>
  <c r="B431" i="1" a="1"/>
  <c r="B694" i="1" a="1"/>
  <c r="B1252" i="1" a="1"/>
  <c r="B200" i="1" a="1"/>
  <c r="B1077" i="1" a="1"/>
  <c r="B282" i="1" a="1"/>
  <c r="B316" i="1" a="1"/>
  <c r="B645" i="1" a="1"/>
  <c r="B43" i="1" a="1"/>
  <c r="B1056" i="1" a="1"/>
  <c r="B55" i="1" a="1"/>
  <c r="B854" i="1" a="1"/>
  <c r="B707" i="1" a="1"/>
  <c r="B70" i="1" a="1"/>
  <c r="B946" i="1" a="1"/>
  <c r="B642" i="1" a="1"/>
  <c r="B262" i="1" a="1"/>
  <c r="B969" i="1" a="1"/>
  <c r="B881" i="1" a="1"/>
  <c r="B350" i="1" a="1"/>
  <c r="B1097" i="1" a="1"/>
  <c r="B578" i="1" a="1"/>
  <c r="B737" i="1" a="1"/>
  <c r="B21" i="1" a="1"/>
  <c r="B385" i="1" a="1"/>
  <c r="B1150" i="1" a="1"/>
  <c r="B499" i="1" a="1"/>
  <c r="B184" i="1" a="1"/>
  <c r="B939" i="1" a="1"/>
  <c r="B232" i="1" a="1"/>
  <c r="B822" i="1" a="1"/>
  <c r="B294" i="1" a="1"/>
  <c r="B213" i="1" a="1"/>
  <c r="B614" i="1" a="1"/>
  <c r="B1322" i="1" a="1"/>
  <c r="B993" i="1" a="1"/>
  <c r="B571" i="1" a="1"/>
  <c r="B41" i="1" a="1"/>
  <c r="B604" i="1" a="1"/>
  <c r="B301" i="1" a="1"/>
  <c r="B643" i="1" a="1"/>
  <c r="B863" i="1" a="1"/>
  <c r="B377" i="1" a="1"/>
  <c r="B590" i="1" a="1"/>
  <c r="B620" i="1" a="1"/>
  <c r="B1363" i="1" a="1"/>
  <c r="B12" i="1" a="1"/>
  <c r="B829" i="1" a="1"/>
  <c r="B1111" i="1" a="1"/>
  <c r="B779" i="1" a="1"/>
  <c r="B606" i="1" a="1"/>
  <c r="B62" i="1" a="1"/>
  <c r="B1053" i="1" a="1"/>
  <c r="B50" i="1" a="1"/>
  <c r="B1249" i="1" a="1"/>
  <c r="B976" i="1" a="1"/>
  <c r="B826" i="1" a="1"/>
  <c r="B1002" i="1" a="1"/>
  <c r="B368" i="1" a="1"/>
  <c r="B735" i="1" a="1"/>
  <c r="B1147" i="1" a="1"/>
  <c r="B726" i="1" a="1"/>
  <c r="B175" i="1" a="1"/>
  <c r="B484" i="1" a="1"/>
  <c r="B378" i="1" a="1"/>
  <c r="B39" i="1" a="1"/>
  <c r="B597" i="1" a="1"/>
  <c r="B194" i="1" a="1"/>
  <c r="B355" i="1" a="1"/>
  <c r="B1070" i="1" a="1"/>
  <c r="B890" i="1" a="1"/>
  <c r="B885" i="1" a="1"/>
  <c r="B52" i="1" a="1"/>
  <c r="B513" i="1" a="1"/>
  <c r="B1321" i="1" a="1"/>
  <c r="B1071" i="1" a="1"/>
  <c r="B544" i="1" a="1"/>
  <c r="B164" i="1" a="1"/>
  <c r="B640" i="1" a="1"/>
  <c r="B401" i="1" a="1"/>
  <c r="B622" i="1" a="1"/>
  <c r="B683" i="1" a="1"/>
  <c r="B148" i="1" a="1"/>
  <c r="B295" i="1" a="1"/>
  <c r="B731" i="1" a="1"/>
  <c r="B951" i="1" a="1"/>
  <c r="B907" i="1" a="1"/>
  <c r="B975" i="1" a="1"/>
  <c r="B783" i="1" a="1"/>
  <c r="B833" i="1" a="1"/>
  <c r="B1270" i="1" a="1"/>
  <c r="B700" i="1" a="1"/>
  <c r="B852" i="1" a="1"/>
  <c r="B1387" i="1" a="1"/>
  <c r="B900" i="1" a="1"/>
  <c r="B676" i="1" a="1"/>
  <c r="B687" i="1" a="1"/>
  <c r="B625" i="1" a="1"/>
  <c r="B23" i="1" a="1"/>
  <c r="B820" i="1" a="1"/>
  <c r="B159" i="1" a="1"/>
  <c r="B1290" i="1" a="1"/>
  <c r="B925" i="1" a="1"/>
  <c r="B840" i="1" a="1"/>
  <c r="B1184" i="1" a="1"/>
  <c r="B1033" i="1" a="1"/>
  <c r="B623" i="1" a="1"/>
  <c r="B340" i="1" a="1"/>
  <c r="B1218" i="1" a="1"/>
  <c r="B1149" i="1" a="1"/>
  <c r="B581" i="1" a="1"/>
  <c r="B804" i="1" a="1"/>
  <c r="B17" i="1" a="1"/>
  <c r="B141" i="1" a="1"/>
  <c r="B1110" i="1" a="1"/>
  <c r="B166" i="1" a="1"/>
  <c r="B34" i="1" a="1"/>
  <c r="B138" i="1" a="1"/>
  <c r="B915" i="1" a="1"/>
  <c r="B778" i="1" a="1"/>
  <c r="B952" i="1" a="1"/>
  <c r="B1191" i="1" a="1"/>
  <c r="B971" i="1" a="1"/>
  <c r="B1202" i="1" a="1"/>
  <c r="B697" i="1" a="1"/>
  <c r="B129" i="1" a="1"/>
  <c r="B1067" i="1" a="1"/>
  <c r="B247" i="1" a="1"/>
  <c r="B93" i="1" a="1"/>
  <c r="B1287" i="1" a="1"/>
  <c r="B1369" i="1" a="1"/>
  <c r="B574" i="1" a="1"/>
  <c r="B1243" i="1" a="1"/>
  <c r="B615" i="1" a="1"/>
  <c r="B465" i="1" a="1"/>
  <c r="B1014" i="1" a="1"/>
  <c r="B657" i="1" a="1"/>
  <c r="B357" i="1" a="1"/>
  <c r="B836" i="1" a="1"/>
  <c r="B288" i="1" a="1"/>
  <c r="B1347" i="1" a="1"/>
  <c r="B6" i="1" a="1"/>
  <c r="B1178" i="1" a="1"/>
  <c r="B810" i="1" a="1"/>
  <c r="B354" i="1" a="1"/>
  <c r="B1048" i="1" a="1"/>
  <c r="B805" i="1" a="1"/>
  <c r="B936" i="1" a="1"/>
  <c r="B174" i="1" a="1"/>
  <c r="B176" i="1" a="1"/>
  <c r="B1258" i="1" a="1"/>
  <c r="B518" i="1" a="1"/>
  <c r="B639" i="1" a="1"/>
  <c r="B828" i="1" a="1"/>
  <c r="B641" i="1" a="1"/>
  <c r="B1259" i="1" a="1"/>
  <c r="B1201" i="1" a="1"/>
  <c r="B1289" i="1" a="1"/>
  <c r="B313" i="1" a="1"/>
  <c r="B1170" i="1" a="1"/>
  <c r="B891" i="1" a="1"/>
  <c r="B193" i="1" a="1"/>
  <c r="B1021" i="1" a="1"/>
  <c r="B45" i="1" a="1"/>
  <c r="B1092" i="1" a="1"/>
  <c r="B1020" i="1" a="1"/>
  <c r="B191" i="1" a="1"/>
  <c r="B494" i="1" a="1"/>
  <c r="B1334" i="1" a="1"/>
  <c r="B196" i="1" a="1"/>
  <c r="B1346" i="1" a="1"/>
  <c r="B389" i="1" a="1"/>
  <c r="B681" i="1" a="1"/>
  <c r="B244" i="1" a="1"/>
  <c r="B1332" i="1" a="1"/>
  <c r="B1356" i="1" a="1"/>
  <c r="B97" i="1" a="1"/>
  <c r="B308" i="1" a="1"/>
  <c r="B123" i="1" a="1"/>
  <c r="B771" i="1" a="1"/>
  <c r="B505" i="1" a="1"/>
  <c r="B296" i="1" a="1"/>
  <c r="B538" i="1" a="1"/>
  <c r="B729" i="1" a="1"/>
  <c r="B150" i="1" a="1"/>
  <c r="B258" i="1" a="1"/>
  <c r="B1236" i="1" a="1"/>
  <c r="B463" i="1" a="1"/>
  <c r="B1300" i="1" a="1"/>
  <c r="B747" i="1" a="1"/>
  <c r="B180" i="1" a="1"/>
  <c r="B1148" i="1" a="1"/>
  <c r="B158" i="1" a="1"/>
  <c r="B941" i="1" a="1"/>
  <c r="B464" i="1" a="1"/>
  <c r="B1169" i="1" a="1"/>
  <c r="B1165" i="1" a="1"/>
  <c r="B64" i="1" a="1"/>
  <c r="B814" i="1" a="1"/>
  <c r="B1318" i="1" a="1"/>
  <c r="B894" i="1" a="1"/>
  <c r="B1391" i="1" a="1"/>
  <c r="B1105" i="1" a="1"/>
  <c r="B541" i="1" a="1"/>
  <c r="B955" i="1" a="1"/>
  <c r="B540" i="1" a="1"/>
  <c r="B345" i="1" a="1"/>
  <c r="B1173" i="1" a="1"/>
  <c r="B310" i="1" a="1"/>
  <c r="B705" i="1" a="1"/>
  <c r="B102" i="1" a="1"/>
  <c r="B577" i="1" a="1"/>
  <c r="B1371" i="1" a="1"/>
  <c r="B1233" i="1" a="1"/>
  <c r="B1089" i="1" a="1"/>
  <c r="B931" i="1" a="1"/>
  <c r="B740" i="1" a="1"/>
  <c r="B187" i="1" a="1"/>
  <c r="B1225" i="1" a="1"/>
  <c r="B239" i="1" a="1"/>
  <c r="B1061" i="1" a="1"/>
  <c r="B1102" i="1" a="1"/>
  <c r="B271" i="1" a="1"/>
  <c r="B632" i="1" a="1"/>
  <c r="B1328" i="1" a="1"/>
  <c r="B612" i="1" a="1"/>
  <c r="B600" i="1" a="1"/>
  <c r="B1279" i="1" a="1"/>
  <c r="B1222" i="1" a="1"/>
  <c r="B71" i="1" a="1"/>
  <c r="B1316" i="1" a="1"/>
  <c r="B1343" i="1" a="1"/>
  <c r="B498" i="1" a="1"/>
  <c r="B786" i="1" a="1"/>
  <c r="B441" i="1" a="1"/>
  <c r="B552" i="1" a="1"/>
  <c r="B522" i="1" a="1"/>
  <c r="B320" i="1" a="1"/>
  <c r="B1268" i="1" a="1"/>
  <c r="B471" i="1" a="1"/>
  <c r="B241" i="1" a="1"/>
  <c r="B95" i="1" a="1"/>
  <c r="B817" i="1" a="1"/>
  <c r="B520" i="1" a="1"/>
  <c r="B220" i="1" a="1"/>
  <c r="B1269" i="1" a="1"/>
  <c r="B1004" i="1" a="1"/>
  <c r="B748" i="1" a="1"/>
  <c r="B1039" i="1" a="1"/>
  <c r="B1367" i="1" a="1"/>
  <c r="B430" i="1" a="1"/>
  <c r="B103" i="1" a="1"/>
  <c r="B134" i="1" a="1"/>
  <c r="B696" i="1" a="1"/>
  <c r="B667" i="1" a="1"/>
  <c r="B760" i="1" a="1"/>
  <c r="B1200" i="1" a="1"/>
  <c r="B1177" i="1" a="1"/>
  <c r="B886" i="1" a="1"/>
  <c r="B140" i="1" a="1"/>
  <c r="B456" i="1" a="1"/>
  <c r="B896" i="1" a="1"/>
  <c r="B856" i="1" a="1"/>
  <c r="B370" i="1" a="1"/>
  <c r="B215" i="1" a="1"/>
  <c r="B403" i="1" a="1"/>
  <c r="B15" i="1" a="1"/>
  <c r="B1043" i="1" a="1"/>
  <c r="B466" i="1" a="1"/>
  <c r="B1278" i="1" a="1"/>
  <c r="B48" i="1" a="1"/>
  <c r="B19" i="1" a="1"/>
  <c r="B501" i="1" a="1"/>
  <c r="B1055" i="1" a="1"/>
  <c r="B906" i="1" a="1"/>
  <c r="B46" i="1" a="1"/>
  <c r="B76" i="1" a="1"/>
  <c r="B124" i="1" a="1"/>
  <c r="B96" i="1" a="1"/>
  <c r="B88" i="1" a="1"/>
  <c r="B652" i="1" a="1"/>
  <c r="B343" i="1" a="1"/>
  <c r="B1349" i="1" a="1"/>
  <c r="B1331" i="1" a="1"/>
  <c r="B1158" i="1" a="1"/>
  <c r="B876" i="1" a="1"/>
  <c r="B753" i="1" a="1"/>
  <c r="B4" i="1" a="1"/>
  <c r="B147" i="1" a="1"/>
  <c r="B819" i="1" a="1"/>
  <c r="B893" i="1" a="1"/>
  <c r="B849" i="1" a="1"/>
  <c r="B887" i="1" a="1"/>
  <c r="B864" i="1" a="1"/>
  <c r="B768" i="1" a="1"/>
  <c r="B586" i="1" a="1"/>
  <c r="B205" i="1" a="1"/>
  <c r="B335" i="1" a="1"/>
  <c r="B379" i="1" a="1"/>
  <c r="B947" i="1" a="1"/>
  <c r="B208" i="1" a="1"/>
  <c r="B661" i="1" a="1"/>
  <c r="B98" i="1" a="1"/>
  <c r="B1339" i="1" a="1"/>
  <c r="B592" i="1" a="1"/>
  <c r="B1213" i="1" a="1"/>
  <c r="B1141" i="1" a="1"/>
  <c r="B10" i="1" a="1"/>
  <c r="B274" i="1" a="1"/>
  <c r="B486" i="1" a="1"/>
  <c r="B677" i="1" a="1"/>
  <c r="B1082" i="1" a="1"/>
  <c r="B152" i="1" a="1"/>
  <c r="B902" i="1" a="1"/>
  <c r="B920" i="1" a="1"/>
  <c r="B776" i="1" a="1"/>
  <c r="B1306" i="1" a="1"/>
  <c r="B909" i="1" a="1"/>
  <c r="B238" i="1" a="1"/>
  <c r="B834" i="1" a="1"/>
  <c r="B1385" i="1" a="1"/>
  <c r="B477" i="1" a="1"/>
  <c r="B514" i="1" a="1"/>
  <c r="B179" i="1" a="1"/>
  <c r="B831" i="1" a="1"/>
  <c r="B720" i="1" a="1"/>
  <c r="B1325" i="1" a="1"/>
  <c r="B765" i="1" a="1"/>
  <c r="B444" i="1" a="1"/>
  <c r="B878" i="1" a="1"/>
  <c r="B105" i="1" a="1"/>
  <c r="B462" i="1" a="1"/>
  <c r="B1188" i="1" a="1"/>
  <c r="B791" i="1" a="1"/>
  <c r="B1080" i="1" a="1"/>
  <c r="B563" i="1" a="1"/>
  <c r="B1159" i="1" a="1"/>
  <c r="B79" i="1" a="1"/>
  <c r="B1058" i="1" a="1"/>
  <c r="B304" i="1" a="1"/>
  <c r="B913" i="1" a="1"/>
  <c r="B1145" i="1" a="1"/>
  <c r="B437" i="1" a="1"/>
  <c r="B1187" i="1" a="1"/>
  <c r="B285" i="1" a="1"/>
  <c r="B1310" i="1" a="1"/>
  <c r="B526" i="1" a="1"/>
  <c r="B411" i="1" a="1"/>
  <c r="B924" i="1" a="1"/>
  <c r="B669" i="1" a="1"/>
  <c r="B1214" i="1" a="1"/>
  <c r="B89" i="1" a="1"/>
  <c r="B785" i="1" a="1"/>
  <c r="B201" i="1" a="1"/>
  <c r="B1093" i="1" a="1"/>
  <c r="B609" i="1" a="1"/>
  <c r="B236" i="1" a="1"/>
  <c r="B330" i="1" a="1"/>
  <c r="B33" i="1" a="1"/>
  <c r="B1099" i="1" a="1"/>
  <c r="B796" i="1" a="1"/>
  <c r="B543" i="1" a="1"/>
  <c r="B1057" i="1" a="1"/>
  <c r="B601" i="1" a="1"/>
  <c r="B899" i="1" a="1"/>
  <c r="B930" i="1" a="1"/>
  <c r="B146" i="1" a="1"/>
  <c r="B879" i="1" a="1"/>
  <c r="B57" i="1" a="1"/>
  <c r="B997" i="1" a="1"/>
  <c r="B678" i="1" a="1"/>
  <c r="B476" i="1" a="1"/>
  <c r="B1154" i="1" a="1"/>
  <c r="B892" i="1" a="1"/>
  <c r="B1374" i="1" a="1"/>
  <c r="B1175" i="1" a="1"/>
  <c r="B734" i="1" a="1"/>
  <c r="B136" i="1" a="1"/>
  <c r="B825" i="1" a="1"/>
  <c r="B1027" i="1" a="1"/>
  <c r="B369" i="1" a="1"/>
  <c r="B1073" i="1" a="1"/>
  <c r="B1355" i="1" a="1"/>
  <c r="B298" i="1" a="1"/>
  <c r="B132" i="1" a="1"/>
  <c r="B1103" i="1" a="1"/>
  <c r="B917" i="1" a="1"/>
  <c r="B410" i="1" a="1"/>
  <c r="B479" i="1" a="1"/>
  <c r="B115" i="1" a="1"/>
  <c r="B145" i="1" a="1"/>
  <c r="B1276" i="1" a="1"/>
  <c r="B774" i="1" a="1"/>
  <c r="B151" i="1" a="1"/>
  <c r="B281" i="1" a="1"/>
  <c r="B732" i="1" a="1"/>
  <c r="B1155" i="1" a="1"/>
  <c r="B1366" i="1" a="1"/>
  <c r="B1046" i="1" a="1"/>
  <c r="B904" i="1" a="1"/>
  <c r="B1392" i="1" a="1"/>
  <c r="B182" i="1" a="1"/>
  <c r="B419" i="1" a="1"/>
  <c r="B588" i="1" a="1"/>
  <c r="B485" i="1" a="1"/>
  <c r="B480" i="1" a="1"/>
  <c r="B219" i="1" a="1"/>
  <c r="B457" i="1" a="1"/>
  <c r="B1045" i="1" a="1"/>
  <c r="B51" i="1" a="1"/>
  <c r="B383" i="1" a="1"/>
  <c r="B830" i="1" a="1"/>
  <c r="B1303" i="1" a="1"/>
  <c r="B1143" i="1" a="1"/>
  <c r="B1153" i="1" a="1"/>
  <c r="B927" i="1" a="1"/>
  <c r="B111" i="1" a="1"/>
  <c r="B1277" i="1" a="1"/>
  <c r="B621" i="1" a="1"/>
  <c r="B550" i="1" a="1"/>
  <c r="B938" i="1" a="1"/>
  <c r="B1157" i="1" a="1"/>
  <c r="B1151" i="1" a="1"/>
  <c r="B558" i="1" a="1"/>
  <c r="B359" i="1" a="1"/>
  <c r="B719" i="1" a="1"/>
  <c r="B628" i="1" a="1"/>
  <c r="B693" i="1" a="1"/>
  <c r="B517" i="1" a="1"/>
  <c r="B724" i="1" a="1"/>
  <c r="B889" i="1" a="1"/>
  <c r="B1197" i="1" a="1"/>
  <c r="B114" i="1" a="1"/>
  <c r="B233" i="1" a="1"/>
  <c r="B1260" i="1" a="1"/>
  <c r="B67" i="1" a="1"/>
  <c r="B1182" i="1" a="1"/>
  <c r="B793" i="1" a="1"/>
  <c r="B143" i="1" a="1"/>
  <c r="B493" i="1" a="1"/>
  <c r="B837" i="1" a="1"/>
  <c r="B327" i="1" a="1"/>
  <c r="B631" i="1" a="1"/>
  <c r="B873" i="1" a="1"/>
  <c r="B106" i="1" a="1"/>
  <c r="B142" i="1" a="1"/>
  <c r="B18" i="1" a="1"/>
  <c r="B722" i="1" a="1"/>
  <c r="B1263" i="1" a="1"/>
  <c r="B1227" i="1" a="1"/>
  <c r="B334" i="1" a="1"/>
  <c r="B1007" i="1" a="1"/>
  <c r="B853" i="1" a="1"/>
  <c r="B754" i="1" a="1"/>
  <c r="B1028" i="1" a="1"/>
  <c r="B224" i="1" a="1"/>
  <c r="B409" i="1" a="1"/>
  <c r="B695" i="1" a="1"/>
  <c r="B1238" i="1" a="1"/>
  <c r="B1375" i="1" a="1"/>
  <c r="B1340" i="1" a="1"/>
  <c r="B671" i="1" a="1"/>
  <c r="B905" i="1" a="1"/>
  <c r="B393" i="1" a="1"/>
  <c r="B251" i="1" a="1"/>
  <c r="B349" i="1" a="1"/>
  <c r="B956" i="1" a="1"/>
  <c r="B395" i="1" a="1"/>
  <c r="B784" i="1" a="1"/>
  <c r="B914" i="1" a="1"/>
  <c r="B549" i="1" a="1"/>
  <c r="B633" i="1" a="1"/>
  <c r="B983" i="1" a="1"/>
  <c r="B1047" i="1" a="1"/>
  <c r="B888" i="1" a="1"/>
  <c r="B1370" i="1" a="1"/>
  <c r="B884" i="1" a="1"/>
  <c r="B1345" i="1" a="1"/>
  <c r="B845" i="1" a="1"/>
  <c r="B1176" i="1" a="1"/>
  <c r="B977" i="1" a="1"/>
  <c r="B78" i="1" a="1"/>
  <c r="B1272" i="1" a="1"/>
  <c r="B1377" i="1" a="1"/>
  <c r="B253" i="1" a="1"/>
  <c r="B181" i="1" a="1"/>
  <c r="B698" i="1" a="1"/>
  <c r="B481" i="1" a="1"/>
  <c r="B339" i="1" a="1"/>
  <c r="B1044" i="1" a="1"/>
  <c r="B712" i="1" a="1"/>
  <c r="B649" i="1" a="1"/>
  <c r="B525" i="1" a="1"/>
  <c r="B949" i="1" a="1"/>
  <c r="B943" i="1" a="1"/>
  <c r="B1194" i="1" a="1"/>
  <c r="B237" i="1" a="1"/>
  <c r="B1204" i="1" a="1"/>
  <c r="B192" i="1" a="1"/>
  <c r="B1171" i="1" a="1"/>
  <c r="B638" i="1" a="1"/>
  <c r="B1288" i="1" a="1"/>
  <c r="B240" i="1" a="1"/>
  <c r="B1164" i="1" a="1"/>
  <c r="B84" i="1" a="1"/>
  <c r="B1348" i="1" a="1"/>
  <c r="B381" i="1" a="1"/>
  <c r="B635" i="1" a="1"/>
  <c r="B974" i="1" a="1"/>
  <c r="B502" i="1" a="1"/>
  <c r="B443" i="1" a="1"/>
  <c r="B422" i="1" a="1"/>
  <c r="B116" i="1" a="1"/>
  <c r="B1050" i="1" a="1"/>
  <c r="B1140" i="1" a="1"/>
  <c r="B1220" i="1" a="1"/>
  <c r="B761" i="1" a="1"/>
  <c r="B458" i="1" a="1"/>
  <c r="B758" i="1" a="1"/>
  <c r="B1060" i="1" a="1"/>
  <c r="B818" i="1" a="1"/>
  <c r="B979" i="1" a="1"/>
  <c r="B61" i="1" a="1"/>
  <c r="B996" i="1" a="1"/>
  <c r="B65" i="1" a="1"/>
  <c r="B278" i="1" a="1"/>
  <c r="B648" i="1" a="1"/>
  <c r="B1361" i="1" a="1"/>
  <c r="B799" i="1" a="1"/>
  <c r="B414" i="1" a="1"/>
  <c r="B933" i="1" a="1"/>
  <c r="B1383" i="1" a="1"/>
  <c r="B59" i="1" a="1"/>
  <c r="B1275" i="1" a="1"/>
  <c r="B31" i="1" a="1"/>
  <c r="B1161" i="1" a="1"/>
  <c r="B961" i="1" a="1"/>
  <c r="B189" i="1" a="1"/>
  <c r="B133" i="1" a="1"/>
  <c r="B743" i="1" a="1"/>
  <c r="B28" i="1" a="1"/>
  <c r="B1072" i="1" a="1"/>
  <c r="B1091" i="1" a="1"/>
  <c r="B429" i="1" a="1"/>
  <c r="B630" i="1" a="1"/>
  <c r="B449" i="1" a="1"/>
  <c r="B567" i="1" a="1"/>
  <c r="B682" i="1" a="1"/>
  <c r="B1381" i="1" a="1"/>
  <c r="B90" i="1" a="1"/>
  <c r="B400" i="1" a="1"/>
  <c r="B998" i="1" a="1"/>
  <c r="B154" i="1" a="1"/>
  <c r="B777" i="1" a="1"/>
  <c r="B363" i="1" a="1"/>
  <c r="B1229" i="1" a="1"/>
  <c r="B1217" i="1" a="1"/>
  <c r="B1115" i="1" a="1"/>
  <c r="B763" i="1" a="1"/>
  <c r="B523" i="1" a="1"/>
  <c r="B119" i="1" a="1"/>
  <c r="B575" i="1" a="1"/>
  <c r="B851" i="1" a="1"/>
  <c r="B416" i="1" a="1"/>
  <c r="B450" i="1" a="1"/>
  <c r="B1013" i="1" a="1"/>
  <c r="B918" i="1" a="1"/>
  <c r="B173" i="1" a="1"/>
  <c r="B1018" i="1" a="1"/>
  <c r="B1034" i="1" a="1"/>
  <c r="B291" i="1" a="1"/>
  <c r="B548" i="1" a="1"/>
  <c r="B1005" i="1" a="1"/>
  <c r="B1166" i="1" a="1"/>
  <c r="B790" i="1" a="1"/>
  <c r="B910" i="1" a="1"/>
  <c r="B468" i="1" a="1"/>
  <c r="B325" i="1" a="1"/>
  <c r="B871" i="1" a="1"/>
  <c r="B361" i="1" a="1"/>
  <c r="B216" i="1" a="1"/>
  <c r="B560" i="1" a="1"/>
  <c r="B183" i="1" a="1"/>
  <c r="B948" i="1" a="1"/>
  <c r="B1167" i="1" a="1"/>
  <c r="B1183" i="1" a="1"/>
  <c r="B482" i="1" a="1"/>
  <c r="B868" i="1" a="1"/>
  <c r="B1324" i="1" a="1"/>
  <c r="B1304" i="1" a="1"/>
  <c r="B1012" i="1" a="1"/>
  <c r="B1248" i="1" a="1"/>
  <c r="B1037" i="1" a="1"/>
  <c r="B128" i="1" a="1"/>
  <c r="B346" i="1" a="1"/>
  <c r="B1308" i="1" a="1"/>
  <c r="B580" i="1" a="1"/>
  <c r="B30" i="1" a="1"/>
  <c r="B492" i="1" a="1"/>
  <c r="B1038" i="1" a="1"/>
  <c r="B812" i="1" a="1"/>
  <c r="B328" i="1" a="1"/>
  <c r="B862" i="1" a="1"/>
  <c r="B1032" i="1" a="1"/>
  <c r="B656" i="1" a="1"/>
  <c r="B646" i="1" a="1"/>
  <c r="B627" i="1" a="1"/>
  <c r="B376" i="1" a="1"/>
  <c r="B248" i="1" a="1"/>
  <c r="B1376" i="1" a="1"/>
  <c r="B289" i="1" a="1"/>
  <c r="B1312" i="1" a="1"/>
  <c r="B1022" i="1" a="1"/>
  <c r="B20" i="1" a="1"/>
  <c r="B861" i="1" a="1"/>
  <c r="B1296" i="1" a="1"/>
  <c r="B1086" i="1" a="1"/>
  <c r="B268" i="1" a="1"/>
  <c r="B186" i="1" a="1"/>
  <c r="B842" i="1" a="1"/>
  <c r="B206" i="1" a="1"/>
  <c r="B276" i="1" a="1"/>
  <c r="B405" i="1" a="1"/>
  <c r="B112" i="1" a="1"/>
  <c r="B104" i="1" a="1"/>
  <c r="B448" i="1" a="1"/>
  <c r="B197" i="1" a="1"/>
  <c r="B267" i="1" a="1"/>
  <c r="B932" i="1" a="1"/>
  <c r="B24" i="1" a="1"/>
  <c r="B1246" i="1" a="1"/>
  <c r="B218" i="1" a="1"/>
  <c r="B721" i="1" a="1"/>
  <c r="B579" i="1" a="1"/>
  <c r="B299" i="1" a="1"/>
  <c r="B49" i="1" a="1"/>
  <c r="B478" i="1" a="1"/>
  <c r="B1335" i="1" a="1"/>
  <c r="B223" i="1" a="1"/>
  <c r="B69" i="1" a="1"/>
  <c r="B352" i="1" a="1"/>
  <c r="B524" i="1" a="1"/>
  <c r="B342" i="1" a="1"/>
  <c r="B1261" i="1" a="1"/>
  <c r="B384" i="1" a="1"/>
  <c r="B292" i="1" a="1"/>
  <c r="B725" i="1" a="1"/>
  <c r="B214" i="1" a="1"/>
  <c r="B755" i="1" a="1"/>
  <c r="B674" i="1" a="1"/>
  <c r="B504" i="1" a="1"/>
  <c r="B322" i="1" a="1"/>
  <c r="B198" i="1" a="1"/>
  <c r="B470" i="1" a="1"/>
  <c r="B170" i="1" a="1"/>
  <c r="B1001" i="1" a="1"/>
  <c r="B1162" i="1" a="1"/>
  <c r="B958" i="1" a="1"/>
  <c r="B426" i="1" a="1"/>
  <c r="B806" i="1" a="1"/>
  <c r="B81" i="1" a="1"/>
  <c r="B1273" i="1" a="1"/>
  <c r="B367" i="1" a="1"/>
  <c r="B235" i="1" a="1"/>
  <c r="B585" i="1" a="1"/>
  <c r="B1336" i="1" a="1"/>
  <c r="B489" i="1" a="1"/>
  <c r="B1065" i="1" a="1"/>
  <c r="B769" i="1" a="1"/>
  <c r="B664" i="1" a="1"/>
  <c r="B16" i="1" a="1"/>
  <c r="B1393" i="1" a="1"/>
  <c r="B80" i="1" a="1"/>
  <c r="B813" i="1" a="1"/>
  <c r="B168" i="1" a="1"/>
  <c r="B266" i="1" a="1"/>
  <c r="B329" i="1" a="1"/>
  <c r="B688" i="1" a="1"/>
  <c r="B566" i="1" a="1"/>
  <c r="B404" i="1" a="1"/>
  <c r="B940" i="1" a="1"/>
  <c r="B1372" i="1" a="1"/>
  <c r="B1096" i="1" a="1"/>
  <c r="B1212" i="1" a="1"/>
  <c r="B153" i="1" a="1"/>
  <c r="B1239" i="1" a="1"/>
  <c r="B839" i="1" a="1"/>
  <c r="B461" i="1" a="1"/>
  <c r="B838" i="1" a="1"/>
  <c r="B91" i="1" a="1"/>
  <c r="B926" i="1" a="1"/>
  <c r="B265" i="1" a="1"/>
  <c r="B374" i="1" a="1"/>
  <c r="B1368" i="1" a="1"/>
  <c r="B1256" i="1" a="1"/>
  <c r="B496" i="1" a="1"/>
  <c r="B850" i="1" a="1"/>
  <c r="B762" i="1" a="1"/>
  <c r="B960" i="1" a="1"/>
  <c r="B127" i="1" a="1"/>
  <c r="B1373" i="1" a="1"/>
  <c r="B1029" i="1" a="1"/>
  <c r="B445" i="1" a="1"/>
  <c r="B86" i="1" a="1"/>
  <c r="B264" i="1" a="1"/>
  <c r="B723" i="1" a="1"/>
  <c r="B770" i="1" a="1"/>
  <c r="B937" i="1" a="1"/>
  <c r="B356" i="1" a="1"/>
  <c r="B1051" i="1" a="1"/>
  <c r="B970" i="1" a="1"/>
  <c r="B1253" i="1" a="1"/>
  <c r="B269" i="1" a="1"/>
  <c r="B797" i="1" a="1"/>
  <c r="B29" i="1" a="1"/>
  <c r="B331" i="1" a="1"/>
  <c r="B569" i="1" a="1"/>
  <c r="B528" i="1" a="1"/>
  <c r="B1198" i="1" a="1"/>
  <c r="B394" i="1" a="1"/>
  <c r="B922" i="1" a="1"/>
  <c r="B658" i="1" a="1"/>
  <c r="B603" i="1" a="1"/>
  <c r="B284" i="1" a="1"/>
  <c r="B1254" i="1" a="1"/>
  <c r="B1146" i="1" a="1"/>
  <c r="B44" i="1" a="1"/>
  <c r="B440" i="1" a="1"/>
  <c r="B490" i="1" a="1"/>
  <c r="B973" i="1" a="1"/>
  <c r="B844" i="1" a="1"/>
  <c r="B699" i="1" a="1"/>
  <c r="B1230" i="1" a="1"/>
  <c r="B964" i="1" a="1"/>
  <c r="B1221" i="1" a="1"/>
  <c r="B610" i="1" a="1"/>
  <c r="B583" i="1" a="1"/>
  <c r="B1138" i="1" a="1"/>
  <c r="B602" i="1" a="1"/>
  <c r="B1185" i="1" a="1"/>
  <c r="B654" i="1" a="1"/>
  <c r="B317" i="1" a="1"/>
  <c r="B273" i="1" a="1"/>
  <c r="B536" i="1" a="1"/>
  <c r="B5" i="1" a="1"/>
  <c r="B1337" i="1" a="1"/>
  <c r="B312" i="1" a="1"/>
  <c r="B1294" i="1" a="1"/>
  <c r="B706" i="1" a="1"/>
  <c r="B297" i="1" a="1"/>
  <c r="B364" i="1" a="1"/>
  <c r="B207" i="1" a="1"/>
  <c r="B407" i="1" a="1"/>
  <c r="B895" i="1" a="1"/>
  <c r="B231" i="1" a="1"/>
  <c r="B467" i="1" a="1"/>
  <c r="B507" i="1" a="1"/>
  <c r="B1265" i="1" a="1"/>
  <c r="B283" i="1" a="1"/>
  <c r="B966" i="1" a="1"/>
  <c r="B756" i="1" a="1"/>
  <c r="B978" i="1" a="1"/>
  <c r="B510" i="1" a="1"/>
  <c r="B1297" i="1" a="1"/>
  <c r="B679" i="1" a="1"/>
  <c r="B843" i="1" a="1"/>
  <c r="B1078" i="1" a="1"/>
  <c r="B14" i="1" a="1"/>
  <c r="B82" i="1" a="1"/>
  <c r="B1031" i="1" a="1"/>
  <c r="B1353" i="1" a="1"/>
  <c r="B27" i="1" a="1"/>
  <c r="B165" i="1" a="1"/>
  <c r="B1280" i="1" a="1"/>
  <c r="B980" i="1" a="1"/>
  <c r="B866" i="1" a="1"/>
  <c r="B156" i="1" a="1"/>
  <c r="B787" i="1" a="1"/>
  <c r="B1192" i="1" a="1"/>
  <c r="B742" i="1" a="1"/>
  <c r="B358" i="1" a="1"/>
  <c r="B624" i="1" a="1"/>
  <c r="B459" i="1" a="1"/>
  <c r="B908" i="1" a="1"/>
  <c r="B515" i="1" a="1"/>
  <c r="B167" i="1" a="1"/>
  <c r="B243" i="1" a="1"/>
  <c r="B637" i="1" a="1"/>
  <c r="B539" i="1" a="1"/>
  <c r="B293" i="1" a="1"/>
  <c r="B122" i="1" a="1"/>
  <c r="B107" i="1" a="1"/>
  <c r="B1262" i="1" a="1"/>
  <c r="B591" i="1" a="1"/>
  <c r="B565" i="1" a="1"/>
  <c r="B1281" i="1" a="1"/>
  <c r="B371" i="1" a="1"/>
  <c r="B746" i="1" a="1"/>
  <c r="B529" i="1" a="1"/>
  <c r="B413" i="1" a="1"/>
  <c r="B408" i="1" a="1"/>
  <c r="B263" i="1" a="1"/>
  <c r="B935" i="1" a="1"/>
  <c r="B869" i="1" a="1"/>
  <c r="B616" i="1" a="1"/>
  <c r="B988" i="1" a="1"/>
  <c r="B222" i="1" a="1"/>
  <c r="B277" i="1" a="1"/>
  <c r="B333" i="1" a="1"/>
  <c r="B452" i="1" a="1"/>
  <c r="B1274" i="1" a="1"/>
  <c r="B435" i="1" a="1"/>
  <c r="B171" i="1" a="1"/>
  <c r="B1195" i="1" a="1"/>
  <c r="B402" i="1" a="1"/>
  <c r="B391" i="1" a="1"/>
  <c r="B532" i="1" a="1"/>
  <c r="B613" i="1" a="1"/>
  <c r="B1292" i="1" a="1"/>
  <c r="B1084" i="1" a="1"/>
  <c r="B815" i="1" a="1"/>
  <c r="B1251" i="1" a="1"/>
  <c r="B989" i="1" a="1"/>
  <c r="B629" i="1" a="1"/>
  <c r="B684" i="1" a="1"/>
  <c r="B733" i="1" a="1"/>
  <c r="B749" i="1" a="1"/>
  <c r="B1384" i="1" a="1"/>
  <c r="B108" i="1" a="1"/>
  <c r="B1241" i="1" a="1"/>
  <c r="B58" i="1" a="1"/>
  <c r="B1386" i="1" a="1"/>
  <c r="B126" i="1" a="1"/>
  <c r="B857" i="1" a="1"/>
  <c r="B1283" i="1" a="1"/>
  <c r="B139" i="1" a="1"/>
  <c r="B867" i="1" a="1"/>
  <c r="B795" i="1" a="1"/>
  <c r="B1329" i="1" a="1"/>
  <c r="B424" i="1" a="1"/>
  <c r="B75" i="1" a="1"/>
  <c r="B40" i="1" a="1"/>
  <c r="B991" i="1" a="1"/>
  <c r="B1380" i="1" a="1"/>
  <c r="B1330" i="1" a="1"/>
  <c r="B68" i="1" a="1"/>
  <c r="B1257" i="1" a="1"/>
  <c r="B469" i="1" a="1"/>
  <c r="B848" i="1" a="1"/>
  <c r="B8" i="1" a="1"/>
  <c r="B516" i="1" a="1"/>
  <c r="B832" i="1" a="1"/>
  <c r="B593" i="1" a="1"/>
  <c r="B245" i="1" a="1"/>
  <c r="B962" i="1" a="1"/>
  <c r="B919" i="1" a="1"/>
  <c r="B527" i="1" a="1"/>
  <c r="B275" i="1" a="1"/>
  <c r="B547" i="1" a="1"/>
  <c r="B375" i="1" a="1"/>
  <c r="B300" i="1" a="1"/>
  <c r="B497" i="1" a="1"/>
  <c r="B708" i="1" a="1"/>
  <c r="B234" i="1" a="1"/>
  <c r="B559" i="1" a="1"/>
  <c r="B792" i="1" a="1"/>
  <c r="B315" i="1" a="1"/>
  <c r="B1311" i="1" a="1"/>
  <c r="B1352" i="1" a="1"/>
  <c r="B149" i="1" a="1"/>
  <c r="B373" i="1" a="1"/>
  <c r="B1203" i="1" a="1"/>
  <c r="B759" i="1" a="1"/>
  <c r="B63" i="1" a="1"/>
  <c r="B995" i="1" a="1"/>
  <c r="B35" i="1" a="1"/>
  <c r="B99" i="1" a="1"/>
  <c r="B53" i="1" a="1"/>
  <c r="B1186" i="1" a="1"/>
  <c r="B1244" i="1" a="1"/>
  <c r="B660" i="1" a="1"/>
  <c r="B987" i="1" a="1"/>
  <c r="B596" i="1" a="1"/>
  <c r="B1016" i="1" a="1"/>
  <c r="B1323" i="1" a="1"/>
  <c r="B160" i="1" a="1"/>
  <c r="B782" i="1" a="1"/>
  <c r="B1000" i="1" a="1"/>
  <c r="B911" i="1" a="1"/>
  <c r="B1240" i="1" a="1"/>
  <c r="B323" i="1" a="1"/>
  <c r="B618" i="1" a="1"/>
  <c r="B1081" i="1" a="1"/>
  <c r="B344" i="1" a="1"/>
  <c r="B303" i="1" a="1"/>
  <c r="B728" i="1" a="1"/>
  <c r="B1100" i="1" a="1"/>
  <c r="B353" i="1" a="1"/>
  <c r="B442" i="1" a="1"/>
  <c r="B1351" i="1" a="1"/>
  <c r="B451" i="1" a="1"/>
  <c r="B1242" i="1" a="1"/>
  <c r="B788" i="1" a="1"/>
  <c r="H4" i="2" a="1"/>
  <c r="B986" i="1" a="1"/>
  <c r="B992" i="1" a="1"/>
  <c r="B473" i="1" a="1"/>
  <c r="B1231" i="1" a="1"/>
  <c r="B432" i="1" a="1"/>
  <c r="B495" i="1" a="1"/>
  <c r="B764" i="1" a="1"/>
  <c r="B260" i="1" a="1"/>
  <c r="B1106" i="1" a="1"/>
  <c r="B965" i="1" a="1"/>
  <c r="B1180" i="1" a="1"/>
  <c r="B773" i="1" a="1"/>
  <c r="B118" i="1" a="1"/>
  <c r="B250" i="1" a="1"/>
  <c r="B1235" i="1" a="1"/>
  <c r="B1264" i="1" a="1"/>
  <c r="B217" i="1" a="1"/>
  <c r="B503" i="1" a="1"/>
  <c r="B1066" i="1" a="1"/>
  <c r="B1338" i="1" a="1"/>
  <c r="B388" i="1" a="1"/>
  <c r="B261" i="1" a="1"/>
  <c r="B319" i="1" a="1"/>
  <c r="B252" i="1" a="1"/>
  <c r="B665" i="1" a="1"/>
  <c r="B582" i="1" a="1"/>
  <c r="B953" i="1" a="1"/>
  <c r="B650" i="1" a="1"/>
  <c r="B929" i="1" a="1"/>
  <c r="B972" i="1" a="1"/>
  <c r="B716" i="1" a="1"/>
  <c r="B1271" i="1" a="1"/>
  <c r="B1205" i="1" a="1"/>
  <c r="B994" i="1" a="1"/>
  <c r="B169" i="1" a="1"/>
  <c r="B72" i="1" a="1"/>
  <c r="B821" i="1" a="1"/>
  <c r="B415" i="1" a="1"/>
  <c r="B875" i="1" a="1"/>
  <c r="B865" i="1" a="1"/>
  <c r="B309" i="1" a="1"/>
  <c r="B270" i="1" a="1"/>
  <c r="B188" i="1" a="1"/>
  <c r="B1064" i="1" a="1"/>
  <c r="B553" i="1" a="1"/>
  <c r="B172" i="1" a="1"/>
  <c r="B736" i="1" a="1"/>
  <c r="B1112" i="1" a="1"/>
  <c r="B530" i="1" a="1"/>
  <c r="B757" i="1" a="1"/>
  <c r="B474" i="1" a="1"/>
  <c r="B855" i="1" a="1"/>
  <c r="B246" i="1" a="1"/>
  <c r="B1354" i="1" a="1"/>
  <c r="B212" i="1" a="1"/>
  <c r="B94" i="1" a="1"/>
  <c r="B337" i="1" a="1"/>
  <c r="B338" i="1" a="1"/>
  <c r="B1365" i="1" a="1"/>
  <c r="B561" i="1" a="1"/>
  <c r="B686" i="1" a="1"/>
  <c r="B739" i="1" a="1"/>
  <c r="B727" i="1" a="1"/>
  <c r="B1344" i="1" a="1"/>
  <c r="B1025" i="1" a="1"/>
  <c r="B555" i="1" a="1"/>
  <c r="B399" i="1" a="1"/>
  <c r="B418" i="1" a="1"/>
  <c r="B1291" i="1" a="1"/>
  <c r="B324" i="1" a="1"/>
  <c r="B1357" i="1" a="1"/>
  <c r="B1113" i="1" a="1"/>
  <c r="B412" i="1" a="1"/>
  <c r="B382" i="1" a="1"/>
  <c r="B703" i="1" a="1"/>
  <c r="B594" i="1" a="1"/>
  <c r="B436" i="1" a="1"/>
  <c r="B195" i="1" a="1"/>
  <c r="B1215" i="1" a="1"/>
  <c r="B835" i="1" a="1"/>
  <c r="B427" i="1" a="1"/>
  <c r="B204" i="1" a="1"/>
  <c r="B2" i="1" a="1"/>
  <c r="B744" i="1" a="1"/>
  <c r="B1317" i="1" a="1"/>
  <c r="B1379" i="1" a="1"/>
  <c r="B318" i="1" a="1"/>
  <c r="B366" i="1" a="1"/>
  <c r="B360" i="1" a="1"/>
  <c r="B137" i="1" a="1"/>
  <c r="B714" i="1" a="1"/>
  <c r="B42" i="1" a="1"/>
  <c r="B675" i="1" a="1"/>
  <c r="B655" i="1" a="1"/>
  <c r="B177" i="1" a="1"/>
  <c r="B670" i="1" a="1"/>
  <c r="B306" i="1" a="1"/>
  <c r="B794" i="1" a="1"/>
  <c r="B161" i="1" a="1"/>
  <c r="I4" i="2" a="1"/>
  <c r="B351" i="1" a="1"/>
  <c r="B531" i="1" a="1"/>
  <c r="B912" i="1" a="1"/>
  <c r="B653" i="1" a="1"/>
  <c r="B155" i="1" a="1"/>
  <c r="B1301" i="1" a="1"/>
  <c r="B921" i="1" a="1"/>
  <c r="B1298" i="1" a="1"/>
  <c r="B959" i="1" a="1"/>
  <c r="B1286" i="1" a="1"/>
  <c r="B488" i="1" a="1"/>
  <c r="B1234" i="1" a="1"/>
  <c r="B568" i="1" a="1"/>
  <c r="B135" i="1" a="1"/>
  <c r="B1083" i="1" a="1"/>
  <c r="B702" i="1" a="1"/>
  <c r="B801" i="1" a="1"/>
  <c r="B647" i="1" a="1"/>
  <c r="B1267" i="1" a="1"/>
  <c r="B302" i="1" a="1"/>
  <c r="B455" i="1" a="1"/>
  <c r="B336" i="1" a="1"/>
  <c r="B387" i="1" a="1"/>
  <c r="B1109" i="1" a="1"/>
  <c r="B1245" i="1" a="1"/>
  <c r="B710" i="1" a="1"/>
  <c r="B434" i="1" a="1"/>
  <c r="B611" i="1" a="1"/>
  <c r="B898" i="1" a="1"/>
  <c r="B9" i="1" a="1"/>
  <c r="B386" i="1" a="1"/>
  <c r="B745" i="1" a="1"/>
  <c r="B1211" i="1" a="1"/>
  <c r="B662" i="1" a="1"/>
  <c r="B554" i="1" a="1"/>
  <c r="B1104" i="1" a="1"/>
  <c r="B1009" i="1" a="1"/>
  <c r="B120" i="1" a="1"/>
  <c r="B66" i="1" a="1"/>
  <c r="B1302" i="1" a="1"/>
  <c r="B587" i="1" a="1"/>
  <c r="B1293" i="1" a="1"/>
  <c r="B963" i="1" a="1"/>
  <c r="B858" i="1" a="1"/>
  <c r="B781" i="1" a="1"/>
  <c r="B827" i="1" a="1"/>
  <c r="B691" i="1" a="1"/>
  <c r="B1059" i="1" a="1"/>
  <c r="B1090" i="1" a="1"/>
  <c r="B341" i="1" a="1"/>
  <c r="B1333" i="1" a="1"/>
  <c r="B666" i="1" a="1"/>
  <c r="B439" i="1" a="1"/>
  <c r="B1189" i="1" a="1"/>
  <c r="B113" i="1" a="1"/>
  <c r="B255" i="1" a="1"/>
  <c r="B162" i="1" a="1"/>
  <c r="B1026" i="1" a="1"/>
  <c r="B950" i="1" a="1"/>
  <c r="B372" i="1" a="1"/>
  <c r="B423" i="1" a="1"/>
  <c r="B570" i="1" a="1"/>
  <c r="B1360" i="1" a="1"/>
  <c r="B1098" i="1" a="1"/>
  <c r="B509" i="1" a="1"/>
  <c r="B73" i="1" a="1"/>
  <c r="B576" i="1" a="1"/>
  <c r="B117" i="1" a="1"/>
  <c r="B945" i="1" a="1"/>
  <c r="B438" i="1" a="1"/>
  <c r="B1196" i="1" a="1"/>
  <c r="B392" i="1" a="1"/>
  <c r="B1285" i="1" a="1"/>
  <c r="B928" i="1" a="1"/>
  <c r="B883" i="1" a="1"/>
  <c r="B999" i="1" a="1"/>
  <c r="B390" i="1" a="1"/>
  <c r="B1295" i="1" a="1"/>
  <c r="B841" i="1" a="1"/>
  <c r="B11" i="1" a="1"/>
  <c r="B903" i="1" a="1"/>
  <c r="B824" i="1" a="1"/>
  <c r="B1341" i="1" a="1"/>
  <c r="B1342" i="1" a="1"/>
  <c r="B1209" i="1" a="1"/>
  <c r="B1079" i="1" a="1"/>
  <c r="B54" i="1" a="1"/>
  <c r="B521" i="1" a="1"/>
  <c r="B1087" i="1" a="1"/>
  <c r="B545" i="1" a="1"/>
  <c r="B608" i="1" a="1"/>
  <c r="B472" i="1" a="1"/>
  <c r="B1114" i="1" a="1"/>
  <c r="B636" i="1" a="1"/>
  <c r="B7" i="1" a="1"/>
  <c r="B1040" i="1" a="1"/>
  <c r="B74" i="1" a="1"/>
  <c r="B1210" i="1" a="1"/>
  <c r="B1036" i="1" a="1"/>
  <c r="B1174" i="1" a="1"/>
  <c r="B901" i="1" a="1"/>
  <c r="B229" i="1" a="1"/>
  <c r="B1224" i="1" a="1"/>
  <c r="B1172" i="1" a="1"/>
  <c r="B1181" i="1" a="1"/>
  <c r="B1284" i="1" a="1"/>
  <c r="B1305" i="1" a="1"/>
  <c r="B942" i="1" a="1"/>
  <c r="B230" i="1" a="1"/>
  <c r="B380" i="1" a="1"/>
  <c r="B307" i="1" a="1"/>
  <c r="B556" i="1" a="1"/>
  <c r="B823" i="1" a="1"/>
  <c r="B362" i="1" a="1"/>
  <c r="B1190" i="1" a="1"/>
  <c r="B537" i="1" a="1"/>
  <c r="B1358" i="1" a="1"/>
  <c r="B1216" i="1" a="1"/>
  <c r="B1199" i="1" a="1"/>
  <c r="B573" i="1" a="1"/>
  <c r="B1069" i="1" a="1"/>
  <c r="B1139" i="1" a="1"/>
  <c r="B36" i="1" a="1"/>
  <c r="B1076" i="1" a="1"/>
  <c r="B1068" i="1" a="1"/>
  <c r="B709" i="1" a="1"/>
  <c r="B680" i="1" a="1"/>
  <c r="B1313" i="1" a="1"/>
  <c r="B321" i="1" a="1"/>
  <c r="B311" i="1" a="1"/>
  <c r="B1364" i="1" a="1"/>
  <c r="B968" i="1" a="1"/>
  <c r="B595" i="1" a="1"/>
  <c r="B789" i="1" a="1"/>
  <c r="B227" i="1" a="1"/>
  <c r="B447" i="1" a="1"/>
  <c r="B692" i="1" a="1"/>
  <c r="B425" i="1" a="1"/>
  <c r="B1094" i="1" a="1"/>
  <c r="B1223" i="1" a="1"/>
  <c r="B546" i="1" a="1"/>
  <c r="B1006" i="1" a="1"/>
  <c r="B798" i="1" a="1"/>
  <c r="B816" i="1" a="1"/>
  <c r="B713" i="1" a="1"/>
  <c r="B1156" i="1" a="1"/>
  <c r="B663" i="1" a="1"/>
  <c r="B242" i="1" a="1"/>
  <c r="B685" i="1" a="1"/>
  <c r="B1144" i="1" a="1"/>
  <c r="B13" i="1" a="1"/>
  <c r="B1250" i="1" a="1"/>
  <c r="B279" i="1" a="1"/>
  <c r="B551" i="1" a="1"/>
  <c r="B557" i="1" a="1"/>
  <c r="B56" i="1" a="1"/>
  <c r="B85" i="1" a="1"/>
  <c r="B1362" i="1" a="1"/>
  <c r="B1011" i="1" a="1"/>
  <c r="B512" i="1" a="1"/>
  <c r="B767" i="1" a="1"/>
  <c r="B800" i="1" a="1"/>
  <c r="B846" i="1" a="1"/>
  <c r="B190" i="1" a="1"/>
  <c r="B446" i="1" a="1"/>
  <c r="B1309" i="1" a="1"/>
  <c r="B1320" i="1" a="1"/>
  <c r="B1247" i="1" a="1"/>
  <c r="B38" i="1" a="1"/>
  <c r="B1017" i="1" a="1"/>
  <c r="B305" i="1" a="1"/>
  <c r="B131" i="1" a="1"/>
  <c r="B1266" i="1" a="1"/>
  <c r="B1282" i="1" a="1"/>
  <c r="B1350" i="1" a="1"/>
  <c r="B564" i="1" a="1"/>
  <c r="B109" i="1" a="1"/>
  <c r="B738" i="1" a="1"/>
  <c r="B673" i="1" a="1"/>
  <c r="B1299" i="1" a="1"/>
  <c r="B125" i="1" a="1"/>
  <c r="B1208" i="1" a="1"/>
  <c r="B897" i="1" a="1"/>
  <c r="B542" i="1" a="1"/>
  <c r="B1255" i="1" a="1"/>
  <c r="B847" i="1" a="1"/>
  <c r="B110" i="1" a="1"/>
  <c r="B775" i="1" a="1"/>
  <c r="B1327" i="1" a="1"/>
  <c r="B535" i="1" a="1"/>
  <c r="B934" i="1" a="1"/>
  <c r="B25" i="1" a="1"/>
  <c r="B203" i="1" a="1"/>
  <c r="B396" i="1" a="1"/>
  <c r="B32" i="1" a="1"/>
  <c r="B562" i="1" a="1"/>
  <c r="B1010" i="1" a="1"/>
  <c r="B882" i="1" a="1"/>
  <c r="B228" i="1" a="1"/>
  <c r="B689" i="1" a="1"/>
  <c r="B454" i="1" a="1"/>
  <c r="B1219" i="1" a="1"/>
  <c r="B718" i="1" a="1"/>
  <c r="B257" i="1" a="1"/>
  <c r="B1030" i="1" a="1"/>
  <c r="B1035" i="1" a="1"/>
  <c r="B483" i="1" a="1"/>
  <c r="B690" i="1" a="1"/>
  <c r="B1152" i="1" a="1"/>
  <c r="B990" i="1" a="1"/>
  <c r="B1075" i="1" a="1"/>
  <c r="B967" i="1" a="1"/>
  <c r="B803" i="1" a="1"/>
  <c r="B1390" i="1" a="1"/>
  <c r="B202" i="1" a="1"/>
  <c r="B944" i="1" a="1"/>
  <c r="B1378" i="1" a="1"/>
  <c r="B766" i="1" a="1"/>
  <c r="B1108" i="1" a="1"/>
  <c r="B60" i="1" a="1"/>
  <c r="B860" i="1" a="1"/>
  <c r="B752" i="1" a="1"/>
  <c r="B101" i="1" a="1"/>
  <c r="B508" i="1" a="1"/>
  <c r="B83" i="1" a="1"/>
  <c r="B780" i="1" a="1"/>
  <c r="B506" i="1" a="1"/>
  <c r="B417" i="1" a="1"/>
  <c r="B1008" i="1" a="1"/>
  <c r="B1315" i="1" a="1"/>
  <c r="B121" i="1" a="1"/>
  <c r="B668" i="1" a="1"/>
  <c r="B923" i="1" a="1"/>
  <c r="B47" i="1" a="1"/>
  <c r="B1142" i="1" a="1"/>
  <c r="B859" i="1" a="1"/>
  <c r="B491" i="1" a="1"/>
  <c r="B1388" i="1" a="1"/>
  <c r="B982" i="1" a="1"/>
  <c r="B1193" i="1" a="1"/>
  <c r="B1359" i="1" a="1"/>
  <c r="B163" i="1" a="1"/>
  <c r="B314" i="1" a="1"/>
  <c r="B433" i="1" a="1"/>
  <c r="B87" i="1" a="1"/>
  <c r="B1052" i="1" a="1"/>
  <c r="B750" i="1" a="1"/>
  <c r="B809" i="1" a="1"/>
  <c r="B144" i="1" a="1"/>
  <c r="B226" i="1" a="1"/>
  <c r="B1024" i="1" a="1"/>
  <c r="B287" i="1" a="1"/>
  <c r="B1326" i="1" a="1"/>
  <c r="B572" i="1" a="1"/>
  <c r="B348" i="1" a="1"/>
  <c r="B332" i="1" a="1"/>
  <c r="B730" i="1" a="1"/>
  <c r="B811" i="1" a="1"/>
  <c r="B453" i="1" a="1"/>
  <c r="B1237" i="1" a="1"/>
  <c r="B870" i="1" a="1"/>
  <c r="B1226" i="1" a="1"/>
  <c r="B398" i="1" a="1"/>
  <c r="B157" i="1" a="1"/>
  <c r="B421" i="1" a="1"/>
  <c r="B1394" i="1" a="1"/>
  <c r="B26" i="1" a="1"/>
  <c r="B877" i="1" a="1"/>
  <c r="B916" i="1" a="1"/>
  <c r="B420" i="1" a="1"/>
  <c r="B221" i="1" a="1"/>
  <c r="B130" i="1" a="1"/>
  <c r="B598" i="1" a="1"/>
  <c r="B533" i="1" a="1"/>
  <c r="C1129" i="3" l="1"/>
  <c r="B1152" i="3"/>
  <c r="C114" i="3"/>
  <c r="E114" i="3" s="1"/>
  <c r="C569" i="3"/>
  <c r="E569" i="3" s="1"/>
  <c r="C1031" i="3"/>
  <c r="D1031" i="3" s="1"/>
  <c r="C929" i="3"/>
  <c r="D929" i="3" s="1"/>
  <c r="B1154" i="1"/>
  <c r="C1050" i="3"/>
  <c r="D1050" i="3" s="1"/>
  <c r="C1128" i="3"/>
  <c r="D1128" i="3" s="1"/>
  <c r="C740" i="3"/>
  <c r="D740" i="3" s="1"/>
  <c r="C360" i="3"/>
  <c r="E360" i="3" s="1"/>
  <c r="C1077" i="3"/>
  <c r="D1077" i="3" s="1"/>
  <c r="B1303" i="3"/>
  <c r="B1192" i="3"/>
  <c r="C797" i="3"/>
  <c r="B212" i="3"/>
  <c r="C519" i="3"/>
  <c r="B257" i="3"/>
  <c r="C1156" i="3"/>
  <c r="E1156" i="3" s="1"/>
  <c r="C898" i="3"/>
  <c r="B512" i="3"/>
  <c r="C232" i="3"/>
  <c r="D232" i="3" s="1"/>
  <c r="B691" i="3"/>
  <c r="C860" i="3"/>
  <c r="E860" i="3" s="1"/>
  <c r="C421" i="3"/>
  <c r="D421" i="3" s="1"/>
  <c r="B114" i="3"/>
  <c r="C1190" i="3"/>
  <c r="C1294" i="3"/>
  <c r="D1294" i="3" s="1"/>
  <c r="C1237" i="3"/>
  <c r="E1237" i="3" s="1"/>
  <c r="C1392" i="3"/>
  <c r="E1392" i="3" s="1"/>
  <c r="C1263" i="3"/>
  <c r="E1263" i="3" s="1"/>
  <c r="C691" i="3"/>
  <c r="E691" i="3" s="1"/>
  <c r="B141" i="3"/>
  <c r="C853" i="3"/>
  <c r="B609" i="3"/>
  <c r="B237" i="3"/>
  <c r="C591" i="3"/>
  <c r="C736" i="3"/>
  <c r="B181" i="3"/>
  <c r="C654" i="3"/>
  <c r="C980" i="3"/>
  <c r="B1113" i="3"/>
  <c r="C878" i="3"/>
  <c r="D878" i="3" s="1"/>
  <c r="B1209" i="3"/>
  <c r="C795" i="3"/>
  <c r="D795" i="3" s="1"/>
  <c r="B844" i="3"/>
  <c r="B534" i="3"/>
  <c r="C146" i="3"/>
  <c r="E146" i="3" s="1"/>
  <c r="B1368" i="3"/>
  <c r="C597" i="3"/>
  <c r="D597" i="3" s="1"/>
  <c r="B1076" i="3"/>
  <c r="B581" i="3"/>
  <c r="C436" i="3"/>
  <c r="B573" i="3"/>
  <c r="C186" i="3"/>
  <c r="E186" i="3" s="1"/>
  <c r="B952" i="3"/>
  <c r="B1221" i="3"/>
  <c r="C1308" i="3"/>
  <c r="B568" i="3"/>
  <c r="B859" i="3"/>
  <c r="B825" i="3"/>
  <c r="C805" i="3"/>
  <c r="C579" i="3"/>
  <c r="B823" i="3"/>
  <c r="C280" i="3"/>
  <c r="E280" i="3" s="1"/>
  <c r="B360" i="3"/>
  <c r="C1350" i="3"/>
  <c r="B250" i="3"/>
  <c r="B1256" i="3"/>
  <c r="B242" i="3"/>
  <c r="B37" i="3"/>
  <c r="C295" i="3"/>
  <c r="D295" i="3" s="1"/>
  <c r="C503" i="3"/>
  <c r="C187" i="3"/>
  <c r="C1223" i="3"/>
  <c r="B1380" i="3"/>
  <c r="C173" i="3"/>
  <c r="C605" i="3"/>
  <c r="C800" i="3"/>
  <c r="C746" i="3"/>
  <c r="C88" i="3"/>
  <c r="D88" i="3" s="1"/>
  <c r="B164" i="3"/>
  <c r="B1371" i="3"/>
  <c r="C1364" i="3"/>
  <c r="E1364" i="3" s="1"/>
  <c r="C121" i="3"/>
  <c r="C1341" i="3"/>
  <c r="B382" i="3"/>
  <c r="C967" i="3"/>
  <c r="D967" i="3" s="1"/>
  <c r="B1337" i="3"/>
  <c r="B895" i="3"/>
  <c r="B1264" i="3"/>
  <c r="B156" i="3"/>
  <c r="C1112" i="3"/>
  <c r="E1112" i="3" s="1"/>
  <c r="C195" i="3"/>
  <c r="C199" i="3"/>
  <c r="D199" i="3" s="1"/>
  <c r="B1056" i="3"/>
  <c r="C762" i="3"/>
  <c r="C488" i="3"/>
  <c r="C1260" i="3"/>
  <c r="D1260" i="3" s="1"/>
  <c r="B1168" i="3"/>
  <c r="C1303" i="3"/>
  <c r="C240" i="3"/>
  <c r="E240" i="3" s="1"/>
  <c r="C684" i="3"/>
  <c r="E684" i="3" s="1"/>
  <c r="B144" i="3"/>
  <c r="B751" i="3"/>
  <c r="C355" i="3"/>
  <c r="E355" i="3" s="1"/>
  <c r="C152" i="3"/>
  <c r="D152" i="3" s="1"/>
  <c r="C671" i="3"/>
  <c r="C118" i="3"/>
  <c r="E118" i="3" s="1"/>
  <c r="B377" i="3"/>
  <c r="C386" i="3"/>
  <c r="D386" i="3" s="1"/>
  <c r="B23" i="3"/>
  <c r="B443" i="3"/>
  <c r="B234" i="3"/>
  <c r="B488" i="3"/>
  <c r="C422" i="3"/>
  <c r="C193" i="3"/>
  <c r="E193" i="3" s="1"/>
  <c r="C340" i="3"/>
  <c r="C1201" i="3"/>
  <c r="E1201" i="3" s="1"/>
  <c r="B862" i="3"/>
  <c r="C899" i="3"/>
  <c r="B109" i="3"/>
  <c r="B415" i="3"/>
  <c r="C551" i="3"/>
  <c r="D551" i="3" s="1"/>
  <c r="C1015" i="3"/>
  <c r="C695" i="3"/>
  <c r="D695" i="3" s="1"/>
  <c r="B1095" i="3"/>
  <c r="C1222" i="3"/>
  <c r="E1222" i="3" s="1"/>
  <c r="C1179" i="3"/>
  <c r="D1179" i="3" s="1"/>
  <c r="C1356" i="3"/>
  <c r="D1356" i="3" s="1"/>
  <c r="B1108" i="3"/>
  <c r="C261" i="3"/>
  <c r="E261" i="3" s="1"/>
  <c r="C183" i="3"/>
  <c r="E183" i="3" s="1"/>
  <c r="C397" i="3"/>
  <c r="E397" i="3" s="1"/>
  <c r="B722" i="3"/>
  <c r="B112" i="3"/>
  <c r="C407" i="3"/>
  <c r="E407" i="3" s="1"/>
  <c r="B211" i="3"/>
  <c r="C776" i="3"/>
  <c r="D776" i="3" s="1"/>
  <c r="B815" i="3"/>
  <c r="B409" i="3"/>
  <c r="B639" i="3"/>
  <c r="B190" i="3"/>
  <c r="B191" i="3"/>
  <c r="B1049" i="3"/>
  <c r="B217" i="3"/>
  <c r="C491" i="3"/>
  <c r="D491" i="3" s="1"/>
  <c r="C1367" i="3"/>
  <c r="D1367" i="3" s="1"/>
  <c r="B418" i="3"/>
  <c r="C975" i="3"/>
  <c r="E975" i="3" s="1"/>
  <c r="B854" i="3"/>
  <c r="B644" i="3"/>
  <c r="B1213" i="3"/>
  <c r="C1132" i="3"/>
  <c r="C728" i="3"/>
  <c r="C675" i="3"/>
  <c r="C767" i="3"/>
  <c r="C1242" i="3"/>
  <c r="E1242" i="3" s="1"/>
  <c r="C98" i="3"/>
  <c r="C176" i="3"/>
  <c r="E176" i="3" s="1"/>
  <c r="C274" i="3"/>
  <c r="D274" i="3" s="1"/>
  <c r="C215" i="3"/>
  <c r="D215" i="3" s="1"/>
  <c r="C713" i="3"/>
  <c r="E713" i="3" s="1"/>
  <c r="C520" i="3"/>
  <c r="E520" i="3" s="1"/>
  <c r="B458" i="3"/>
  <c r="C1054" i="3"/>
  <c r="E1054" i="3" s="1"/>
  <c r="C714" i="3"/>
  <c r="B1266" i="3"/>
  <c r="C903" i="3"/>
  <c r="E903" i="3" s="1"/>
  <c r="C258" i="3"/>
  <c r="D258" i="3" s="1"/>
  <c r="C1229" i="3"/>
  <c r="B791" i="3"/>
  <c r="C968" i="3"/>
  <c r="B569" i="3"/>
  <c r="B54" i="3"/>
  <c r="C817" i="3"/>
  <c r="D817" i="3" s="1"/>
  <c r="C908" i="3"/>
  <c r="C613" i="3"/>
  <c r="E613" i="3" s="1"/>
  <c r="B194" i="3"/>
  <c r="C500" i="3"/>
  <c r="B1343" i="3"/>
  <c r="B79" i="3"/>
  <c r="C786" i="3"/>
  <c r="E786" i="3" s="1"/>
  <c r="C1300" i="3"/>
  <c r="B1039" i="3"/>
  <c r="C328" i="3"/>
  <c r="D328" i="3" s="1"/>
  <c r="B430" i="3"/>
  <c r="C1051" i="3"/>
  <c r="E1051" i="3" s="1"/>
  <c r="C970" i="3"/>
  <c r="C584" i="3"/>
  <c r="E584" i="3" s="1"/>
  <c r="B1232" i="3"/>
  <c r="B1249" i="3"/>
  <c r="B1319" i="3"/>
  <c r="B363" i="3"/>
  <c r="C1094" i="3"/>
  <c r="C568" i="3"/>
  <c r="D568" i="3" s="1"/>
  <c r="B1354" i="3"/>
  <c r="B893" i="3"/>
  <c r="C108" i="3"/>
  <c r="B909" i="3"/>
  <c r="C55" i="3"/>
  <c r="D55" i="3" s="1"/>
  <c r="C699" i="3"/>
  <c r="E699" i="3" s="1"/>
  <c r="B533" i="3"/>
  <c r="C235" i="3"/>
  <c r="D235" i="3" s="1"/>
  <c r="C1256" i="3"/>
  <c r="D1256" i="3" s="1"/>
  <c r="B479" i="3"/>
  <c r="B342" i="3"/>
  <c r="B308" i="3"/>
  <c r="B282" i="3"/>
  <c r="C556" i="3"/>
  <c r="D556" i="3" s="1"/>
  <c r="C1159" i="3"/>
  <c r="E1159" i="3" s="1"/>
  <c r="B1247" i="3"/>
  <c r="B30" i="3"/>
  <c r="C838" i="3"/>
  <c r="C383" i="3"/>
  <c r="E383" i="3" s="1"/>
  <c r="C351" i="3"/>
  <c r="C1019" i="3"/>
  <c r="D1019" i="3" s="1"/>
  <c r="C305" i="3"/>
  <c r="C357" i="3"/>
  <c r="C550" i="3"/>
  <c r="C1322" i="3"/>
  <c r="C154" i="3"/>
  <c r="E154" i="3" s="1"/>
  <c r="B1188" i="3"/>
  <c r="C364" i="3"/>
  <c r="D364" i="3" s="1"/>
  <c r="B462" i="3"/>
  <c r="C1147" i="3"/>
  <c r="D1147" i="3" s="1"/>
  <c r="B67" i="3"/>
  <c r="B107" i="3"/>
  <c r="C347" i="3"/>
  <c r="E347" i="3" s="1"/>
  <c r="C329" i="3"/>
  <c r="E329" i="3" s="1"/>
  <c r="C666" i="3"/>
  <c r="B187" i="3"/>
  <c r="B786" i="3"/>
  <c r="C603" i="3"/>
  <c r="D603" i="3" s="1"/>
  <c r="C9" i="3"/>
  <c r="B317" i="3"/>
  <c r="C292" i="3"/>
  <c r="C31" i="3"/>
  <c r="C284" i="3"/>
  <c r="B1179" i="3"/>
  <c r="C1348" i="3"/>
  <c r="E1348" i="3" s="1"/>
  <c r="C453" i="3"/>
  <c r="E453" i="3" s="1"/>
  <c r="C166" i="3"/>
  <c r="E166" i="3" s="1"/>
  <c r="C601" i="3"/>
  <c r="E601" i="3" s="1"/>
  <c r="B706" i="3"/>
  <c r="C642" i="3"/>
  <c r="E642" i="3" s="1"/>
  <c r="C911" i="3"/>
  <c r="C139" i="3"/>
  <c r="D139" i="3" s="1"/>
  <c r="B1170" i="3"/>
  <c r="C1258" i="3"/>
  <c r="E1258" i="3" s="1"/>
  <c r="C1387" i="3"/>
  <c r="D1387" i="3" s="1"/>
  <c r="B1340" i="3"/>
  <c r="B1042" i="3"/>
  <c r="C257" i="3"/>
  <c r="C888" i="3"/>
  <c r="E888" i="3" s="1"/>
  <c r="B1219" i="3"/>
  <c r="B799" i="3"/>
  <c r="B989" i="3"/>
  <c r="C1208" i="3"/>
  <c r="C369" i="3"/>
  <c r="B548" i="3"/>
  <c r="B80" i="3"/>
  <c r="C236" i="3"/>
  <c r="E236" i="3" s="1"/>
  <c r="B318" i="3"/>
  <c r="B1052" i="3"/>
  <c r="B1139" i="3"/>
  <c r="C1058" i="3"/>
  <c r="B374" i="3"/>
  <c r="B1230" i="3"/>
  <c r="B732" i="3"/>
  <c r="C749" i="3"/>
  <c r="B1180" i="3"/>
  <c r="C268" i="3"/>
  <c r="C412" i="3"/>
  <c r="E412" i="3" s="1"/>
  <c r="B922" i="3"/>
  <c r="C712" i="3"/>
  <c r="E712" i="3" s="1"/>
  <c r="C1275" i="3"/>
  <c r="E1275" i="3" s="1"/>
  <c r="C286" i="3"/>
  <c r="B550" i="3"/>
  <c r="C79" i="3"/>
  <c r="B405" i="3"/>
  <c r="C233" i="3"/>
  <c r="E233" i="3" s="1"/>
  <c r="B1372" i="3"/>
  <c r="B1245" i="3"/>
  <c r="B133" i="3"/>
  <c r="B642" i="3"/>
  <c r="B63" i="3"/>
  <c r="C203" i="3"/>
  <c r="D203" i="3" s="1"/>
  <c r="C142" i="3"/>
  <c r="C487" i="3"/>
  <c r="E487" i="3" s="1"/>
  <c r="C1075" i="3"/>
  <c r="E1075" i="3" s="1"/>
  <c r="C1055" i="3"/>
  <c r="E1055" i="3" s="1"/>
  <c r="C143" i="3"/>
  <c r="D143" i="3" s="1"/>
  <c r="C1006" i="3"/>
  <c r="E1006" i="3" s="1"/>
  <c r="C1351" i="3"/>
  <c r="E1351" i="3" s="1"/>
  <c r="B477" i="3"/>
  <c r="C315" i="3"/>
  <c r="B1208" i="3"/>
  <c r="B453" i="3"/>
  <c r="B287" i="3"/>
  <c r="C198" i="3"/>
  <c r="E198" i="3" s="1"/>
  <c r="B938" i="3"/>
  <c r="C739" i="3"/>
  <c r="E739" i="3" s="1"/>
  <c r="B1263" i="3"/>
  <c r="C431" i="3"/>
  <c r="C897" i="3"/>
  <c r="E897" i="3" s="1"/>
  <c r="C572" i="3"/>
  <c r="E572" i="3" s="1"/>
  <c r="C827" i="3"/>
  <c r="D827" i="3" s="1"/>
  <c r="C949" i="3"/>
  <c r="E949" i="3" s="1"/>
  <c r="C708" i="3"/>
  <c r="B348" i="3"/>
  <c r="C1269" i="3"/>
  <c r="E1269" i="3" s="1"/>
  <c r="C1018" i="3"/>
  <c r="C668" i="3"/>
  <c r="D668" i="3" s="1"/>
  <c r="B1094" i="3"/>
  <c r="C506" i="3"/>
  <c r="E506" i="3" s="1"/>
  <c r="B851" i="3"/>
  <c r="C159" i="3"/>
  <c r="D159" i="3" s="1"/>
  <c r="B739" i="3"/>
  <c r="B27" i="3"/>
  <c r="B128" i="3"/>
  <c r="C1284" i="3"/>
  <c r="E1284" i="3" s="1"/>
  <c r="C815" i="3"/>
  <c r="D815" i="3" s="1"/>
  <c r="B1199" i="3"/>
  <c r="B261" i="3"/>
  <c r="C545" i="3"/>
  <c r="E545" i="3" s="1"/>
  <c r="B814" i="3"/>
  <c r="C630" i="3"/>
  <c r="D630" i="3" s="1"/>
  <c r="B627" i="3"/>
  <c r="C457" i="3"/>
  <c r="D457" i="3" s="1"/>
  <c r="C592" i="3"/>
  <c r="E592" i="3" s="1"/>
  <c r="C787" i="3"/>
  <c r="E787" i="3" s="1"/>
  <c r="B361" i="3"/>
  <c r="C371" i="3"/>
  <c r="C125" i="3"/>
  <c r="B1202" i="3"/>
  <c r="C710" i="3"/>
  <c r="B76" i="3"/>
  <c r="C804" i="3"/>
  <c r="C68" i="3"/>
  <c r="B1153" i="3"/>
  <c r="B1271" i="3"/>
  <c r="B1005" i="3"/>
  <c r="C609" i="3"/>
  <c r="D609" i="3" s="1"/>
  <c r="B1344" i="3"/>
  <c r="C439" i="3"/>
  <c r="E439" i="3" s="1"/>
  <c r="B1065" i="3"/>
  <c r="C1157" i="3"/>
  <c r="E1157" i="3" s="1"/>
  <c r="C837" i="3"/>
  <c r="E837" i="3" s="1"/>
  <c r="C1009" i="3"/>
  <c r="D1009" i="3" s="1"/>
  <c r="C1383" i="3"/>
  <c r="E1383" i="3" s="1"/>
  <c r="C1232" i="3"/>
  <c r="D1232" i="3" s="1"/>
  <c r="C1288" i="3"/>
  <c r="B1207" i="3"/>
  <c r="B892" i="3"/>
  <c r="C58" i="3"/>
  <c r="B618" i="3"/>
  <c r="C971" i="3"/>
  <c r="B286" i="3"/>
  <c r="B598" i="3"/>
  <c r="C394" i="3"/>
  <c r="E394" i="3" s="1"/>
  <c r="C1373" i="3"/>
  <c r="E1373" i="3" s="1"/>
  <c r="C1027" i="3"/>
  <c r="C489" i="3"/>
  <c r="E489" i="3" s="1"/>
  <c r="C822" i="3"/>
  <c r="D822" i="3" s="1"/>
  <c r="C382" i="3"/>
  <c r="E382" i="3" s="1"/>
  <c r="C537" i="3"/>
  <c r="E537" i="3" s="1"/>
  <c r="C688" i="3"/>
  <c r="E688" i="3" s="1"/>
  <c r="B940" i="3"/>
  <c r="C342" i="3"/>
  <c r="E342" i="3" s="1"/>
  <c r="B195" i="3"/>
  <c r="B965" i="3"/>
  <c r="C300" i="3"/>
  <c r="C1071" i="3"/>
  <c r="E1071" i="3" s="1"/>
  <c r="C941" i="3"/>
  <c r="C934" i="3"/>
  <c r="E934" i="3" s="1"/>
  <c r="C806" i="3"/>
  <c r="E806" i="3" s="1"/>
  <c r="C709" i="3"/>
  <c r="C1107" i="3"/>
  <c r="C486" i="3"/>
  <c r="C730" i="3"/>
  <c r="E730" i="3" s="1"/>
  <c r="B1016" i="3"/>
  <c r="B740" i="3"/>
  <c r="C403" i="3"/>
  <c r="E403" i="3" s="1"/>
  <c r="C1082" i="3"/>
  <c r="E1082" i="3" s="1"/>
  <c r="C879" i="3"/>
  <c r="E879" i="3" s="1"/>
  <c r="C158" i="3"/>
  <c r="B189" i="3"/>
  <c r="B833" i="3"/>
  <c r="C1106" i="3"/>
  <c r="E1106" i="3" s="1"/>
  <c r="C1158" i="3"/>
  <c r="C177" i="3"/>
  <c r="E177" i="3" s="1"/>
  <c r="C508" i="3"/>
  <c r="B792" i="3"/>
  <c r="B58" i="3"/>
  <c r="C494" i="3"/>
  <c r="E494" i="3" s="1"/>
  <c r="B175" i="3"/>
  <c r="C743" i="3"/>
  <c r="B426" i="3"/>
  <c r="B28" i="3"/>
  <c r="B831" i="3"/>
  <c r="C1073" i="3"/>
  <c r="E1073" i="3" s="1"/>
  <c r="B1143" i="3"/>
  <c r="B226" i="3"/>
  <c r="C226" i="3"/>
  <c r="E226" i="3" s="1"/>
  <c r="C228" i="3"/>
  <c r="E228" i="3" s="1"/>
  <c r="C937" i="3"/>
  <c r="D937" i="3" s="1"/>
  <c r="C755" i="3"/>
  <c r="E755" i="3" s="1"/>
  <c r="C536" i="3"/>
  <c r="E536" i="3" s="1"/>
  <c r="C358" i="3"/>
  <c r="D358" i="3" s="1"/>
  <c r="C616" i="3"/>
  <c r="E616" i="3" s="1"/>
  <c r="B295" i="3"/>
  <c r="B489" i="3"/>
  <c r="B650" i="3"/>
  <c r="B352" i="3"/>
  <c r="B1261" i="3"/>
  <c r="C1227" i="3"/>
  <c r="C748" i="3"/>
  <c r="C67" i="3"/>
  <c r="C1279" i="3"/>
  <c r="C985" i="3"/>
  <c r="E985" i="3" s="1"/>
  <c r="C1038" i="3"/>
  <c r="C1216" i="3"/>
  <c r="B1015" i="3"/>
  <c r="B988" i="3"/>
  <c r="B580" i="3"/>
  <c r="B998" i="3"/>
  <c r="B1074" i="3"/>
  <c r="B509" i="3"/>
  <c r="B995" i="3"/>
  <c r="B499" i="3"/>
  <c r="B65" i="3"/>
  <c r="B681" i="3"/>
  <c r="B192" i="3"/>
  <c r="C504" i="3"/>
  <c r="C741" i="3"/>
  <c r="E741" i="3" s="1"/>
  <c r="C894" i="3"/>
  <c r="B960" i="3"/>
  <c r="C680" i="3"/>
  <c r="D680" i="3" s="1"/>
  <c r="B603" i="3"/>
  <c r="B1375" i="3"/>
  <c r="B1358" i="3"/>
  <c r="B915" i="3"/>
  <c r="B621" i="3"/>
  <c r="C1115" i="3"/>
  <c r="D1115" i="3" s="1"/>
  <c r="B425" i="3"/>
  <c r="B245" i="3"/>
  <c r="C302" i="3"/>
  <c r="C558" i="3"/>
  <c r="D558" i="3" s="1"/>
  <c r="B1291" i="3"/>
  <c r="C317" i="3"/>
  <c r="E317" i="3" s="1"/>
  <c r="B579" i="3"/>
  <c r="C447" i="3"/>
  <c r="E447" i="3" s="1"/>
  <c r="C1281" i="3"/>
  <c r="B560" i="3"/>
  <c r="C1030" i="3"/>
  <c r="C567" i="3"/>
  <c r="C1239" i="3"/>
  <c r="B1338" i="3"/>
  <c r="B632" i="3"/>
  <c r="C638" i="3"/>
  <c r="B406" i="3"/>
  <c r="C752" i="3"/>
  <c r="D752" i="3" s="1"/>
  <c r="C1272" i="3"/>
  <c r="C1057" i="3"/>
  <c r="D1057" i="3" s="1"/>
  <c r="B753" i="3"/>
  <c r="C40" i="3"/>
  <c r="B945" i="3"/>
  <c r="B324" i="3"/>
  <c r="C117" i="3"/>
  <c r="E117" i="3" s="1"/>
  <c r="C82" i="3"/>
  <c r="E82" i="3" s="1"/>
  <c r="C672" i="3"/>
  <c r="C52" i="3"/>
  <c r="D52" i="3" s="1"/>
  <c r="C128" i="3"/>
  <c r="C279" i="3"/>
  <c r="C863" i="3"/>
  <c r="E863" i="3" s="1"/>
  <c r="B466" i="3"/>
  <c r="B198" i="3"/>
  <c r="C277" i="3"/>
  <c r="B530" i="3"/>
  <c r="C528" i="3"/>
  <c r="C458" i="3"/>
  <c r="E458" i="3" s="1"/>
  <c r="B1010" i="3"/>
  <c r="B713" i="3"/>
  <c r="B1086" i="3"/>
  <c r="C1121" i="3"/>
  <c r="B1173" i="3"/>
  <c r="B649" i="3"/>
  <c r="B8" i="3"/>
  <c r="C1023" i="3"/>
  <c r="D1023" i="3" s="1"/>
  <c r="C718" i="3"/>
  <c r="E718" i="3" s="1"/>
  <c r="C1255" i="3"/>
  <c r="D1255" i="3" s="1"/>
  <c r="C1388" i="3"/>
  <c r="E1388" i="3" s="1"/>
  <c r="C633" i="3"/>
  <c r="C694" i="3"/>
  <c r="E694" i="3" s="1"/>
  <c r="B672" i="3"/>
  <c r="C273" i="3"/>
  <c r="D273" i="3" s="1"/>
  <c r="C207" i="3"/>
  <c r="C43" i="3"/>
  <c r="B1099" i="3"/>
  <c r="C468" i="3"/>
  <c r="D468" i="3" s="1"/>
  <c r="C472" i="3"/>
  <c r="E472" i="3" s="1"/>
  <c r="B240" i="3"/>
  <c r="C103" i="3"/>
  <c r="E103" i="3" s="1"/>
  <c r="B515" i="3"/>
  <c r="B1011" i="3"/>
  <c r="B780" i="3"/>
  <c r="C1302" i="3"/>
  <c r="D1302" i="3" s="1"/>
  <c r="C598" i="3"/>
  <c r="D598" i="3" s="1"/>
  <c r="C974" i="3"/>
  <c r="E974" i="3" s="1"/>
  <c r="C4" i="3"/>
  <c r="E4" i="3" s="1"/>
  <c r="B827" i="3"/>
  <c r="C275" i="3"/>
  <c r="C1165" i="3"/>
  <c r="D1165" i="3" s="1"/>
  <c r="C484" i="3"/>
  <c r="C1117" i="3"/>
  <c r="B201" i="3"/>
  <c r="C1224" i="3"/>
  <c r="C916" i="3"/>
  <c r="B601" i="3"/>
  <c r="B675" i="3"/>
  <c r="B176" i="3"/>
  <c r="B1295" i="3"/>
  <c r="B902" i="3"/>
  <c r="B1069" i="3"/>
  <c r="C1199" i="3"/>
  <c r="E1199" i="3" s="1"/>
  <c r="C981" i="3"/>
  <c r="C594" i="3"/>
  <c r="E594" i="3" s="1"/>
  <c r="B793" i="3"/>
  <c r="C936" i="3"/>
  <c r="E936" i="3" s="1"/>
  <c r="C1365" i="3"/>
  <c r="B1394" i="3"/>
  <c r="C65" i="3"/>
  <c r="E65" i="3" s="1"/>
  <c r="B470" i="3"/>
  <c r="C1064" i="3"/>
  <c r="B1097" i="3"/>
  <c r="C516" i="3"/>
  <c r="C648" i="3"/>
  <c r="C395" i="3"/>
  <c r="B364" i="3"/>
  <c r="C1325" i="3"/>
  <c r="D1325" i="3" s="1"/>
  <c r="C662" i="3"/>
  <c r="D662" i="3" s="1"/>
  <c r="C425" i="3"/>
  <c r="B153" i="3"/>
  <c r="B331" i="3"/>
  <c r="B1392" i="3"/>
  <c r="C335" i="3"/>
  <c r="E335" i="3" s="1"/>
  <c r="C110" i="3"/>
  <c r="E110" i="3" s="1"/>
  <c r="B883" i="3"/>
  <c r="B765" i="3"/>
  <c r="C450" i="3"/>
  <c r="E450" i="3" s="1"/>
  <c r="C410" i="3"/>
  <c r="E410" i="3" s="1"/>
  <c r="B143" i="3"/>
  <c r="C542" i="3"/>
  <c r="E542" i="3" s="1"/>
  <c r="C373" i="3"/>
  <c r="D373" i="3" s="1"/>
  <c r="B630" i="3"/>
  <c r="C413" i="3"/>
  <c r="C441" i="3"/>
  <c r="C1172" i="3"/>
  <c r="B306" i="3"/>
  <c r="C612" i="3"/>
  <c r="D612" i="3" s="1"/>
  <c r="C973" i="3"/>
  <c r="E973" i="3" s="1"/>
  <c r="B754" i="3"/>
  <c r="C1151" i="3"/>
  <c r="D1151" i="3" s="1"/>
  <c r="C22" i="3"/>
  <c r="E22" i="3" s="1"/>
  <c r="C996" i="3"/>
  <c r="D996" i="3" s="1"/>
  <c r="C242" i="3"/>
  <c r="C290" i="3"/>
  <c r="D290" i="3" s="1"/>
  <c r="B752" i="3"/>
  <c r="C669" i="3"/>
  <c r="D669" i="3" s="1"/>
  <c r="B1114" i="3"/>
  <c r="C660" i="3"/>
  <c r="E660" i="3" s="1"/>
  <c r="C456" i="3"/>
  <c r="E456" i="3" s="1"/>
  <c r="B494" i="3"/>
  <c r="B731" i="3"/>
  <c r="C1161" i="3"/>
  <c r="B789" i="3"/>
  <c r="C78" i="3"/>
  <c r="B809" i="3"/>
  <c r="C122" i="3"/>
  <c r="C1029" i="3"/>
  <c r="B433" i="3"/>
  <c r="C782" i="3"/>
  <c r="D782" i="3" s="1"/>
  <c r="C1001" i="3"/>
  <c r="E1001" i="3" s="1"/>
  <c r="B978" i="3"/>
  <c r="B373" i="3"/>
  <c r="C865" i="3"/>
  <c r="C866" i="3"/>
  <c r="D866" i="3" s="1"/>
  <c r="C1177" i="3"/>
  <c r="E1177" i="3" s="1"/>
  <c r="C100" i="3"/>
  <c r="E100" i="3" s="1"/>
  <c r="C809" i="3"/>
  <c r="D809" i="3" s="1"/>
  <c r="C1319" i="3"/>
  <c r="C1389" i="3"/>
  <c r="D1389" i="3" s="1"/>
  <c r="B57" i="3"/>
  <c r="B436" i="3"/>
  <c r="B165" i="3"/>
  <c r="C380" i="3"/>
  <c r="C1152" i="3"/>
  <c r="B224" i="3"/>
  <c r="B868" i="3"/>
  <c r="C1386" i="3"/>
  <c r="C184" i="3"/>
  <c r="E184" i="3" s="1"/>
  <c r="C349" i="3"/>
  <c r="D349" i="3" s="1"/>
  <c r="C307" i="3"/>
  <c r="E307" i="3" s="1"/>
  <c r="C793" i="3"/>
  <c r="B1272" i="3"/>
  <c r="C229" i="3"/>
  <c r="E229" i="3" s="1"/>
  <c r="B62" i="3"/>
  <c r="C593" i="3"/>
  <c r="D593" i="3" s="1"/>
  <c r="C953" i="3"/>
  <c r="E953" i="3" s="1"/>
  <c r="B746" i="3"/>
  <c r="C377" i="3"/>
  <c r="E377" i="3" s="1"/>
  <c r="B157" i="3"/>
  <c r="C758" i="3"/>
  <c r="D758" i="3" s="1"/>
  <c r="B914" i="3"/>
  <c r="B1093" i="3"/>
  <c r="B1044" i="3"/>
  <c r="B764" i="3"/>
  <c r="B235" i="3"/>
  <c r="C113" i="3"/>
  <c r="B858" i="3"/>
  <c r="C992" i="3"/>
  <c r="E992" i="3" s="1"/>
  <c r="B716" i="3"/>
  <c r="B582" i="3"/>
  <c r="B1057" i="3"/>
  <c r="B1255" i="3"/>
  <c r="C1039" i="3"/>
  <c r="D1039" i="3" s="1"/>
  <c r="C1044" i="3"/>
  <c r="E1044" i="3" s="1"/>
  <c r="B812" i="3"/>
  <c r="B1229" i="3"/>
  <c r="C1384" i="3"/>
  <c r="E1384" i="3" s="1"/>
  <c r="B70" i="3"/>
  <c r="B1148" i="3"/>
  <c r="B896" i="3"/>
  <c r="B1365" i="3"/>
  <c r="C590" i="3"/>
  <c r="E590" i="3" s="1"/>
  <c r="C1033" i="3"/>
  <c r="B1046" i="3"/>
  <c r="C546" i="3"/>
  <c r="C1088" i="3"/>
  <c r="E1088" i="3" s="1"/>
  <c r="C466" i="3"/>
  <c r="E466" i="3" s="1"/>
  <c r="B227" i="3"/>
  <c r="C1289" i="3"/>
  <c r="E1289" i="3" s="1"/>
  <c r="C873" i="3"/>
  <c r="D873" i="3" s="1"/>
  <c r="B216" i="3"/>
  <c r="B104" i="3"/>
  <c r="C1140" i="3"/>
  <c r="D1140" i="3" s="1"/>
  <c r="B480" i="3"/>
  <c r="C1046" i="3"/>
  <c r="D1046" i="3" s="1"/>
  <c r="C334" i="3"/>
  <c r="D334" i="3" s="1"/>
  <c r="C95" i="3"/>
  <c r="C729" i="3"/>
  <c r="E729" i="3" s="1"/>
  <c r="C1192" i="3"/>
  <c r="B367" i="3"/>
  <c r="C1118" i="3"/>
  <c r="C582" i="3"/>
  <c r="C1013" i="3"/>
  <c r="C1154" i="3"/>
  <c r="B750" i="3"/>
  <c r="C116" i="3"/>
  <c r="C244" i="3"/>
  <c r="E244" i="3" s="1"/>
  <c r="C71" i="3"/>
  <c r="D71" i="3" s="1"/>
  <c r="C239" i="3"/>
  <c r="E239" i="3" s="1"/>
  <c r="B323" i="3"/>
  <c r="B647" i="3"/>
  <c r="B113" i="3"/>
  <c r="C1369" i="3"/>
  <c r="D1369" i="3" s="1"/>
  <c r="B625" i="3"/>
  <c r="B122" i="3"/>
  <c r="C37" i="3"/>
  <c r="D37" i="3" s="1"/>
  <c r="C29" i="3"/>
  <c r="D29" i="3" s="1"/>
  <c r="B355" i="3"/>
  <c r="C1323" i="3"/>
  <c r="B787" i="3"/>
  <c r="B1313" i="3"/>
  <c r="B394" i="3"/>
  <c r="C250" i="3"/>
  <c r="B78" i="3"/>
  <c r="C359" i="3"/>
  <c r="D359" i="3" s="1"/>
  <c r="B1284" i="3"/>
  <c r="C1181" i="3"/>
  <c r="E1181" i="3" s="1"/>
  <c r="B737" i="3"/>
  <c r="B386" i="3"/>
  <c r="C1143" i="3"/>
  <c r="D1143" i="3" s="1"/>
  <c r="B697" i="3"/>
  <c r="B503" i="3"/>
  <c r="B937" i="3"/>
  <c r="B1001" i="3"/>
  <c r="B90" i="3"/>
  <c r="B1055" i="3"/>
  <c r="B666" i="3"/>
  <c r="C1150" i="3"/>
  <c r="E1150" i="3" s="1"/>
  <c r="C571" i="3"/>
  <c r="D571" i="3" s="1"/>
  <c r="C222" i="3"/>
  <c r="B528" i="3"/>
  <c r="C155" i="3"/>
  <c r="E155" i="3" s="1"/>
  <c r="C1137" i="3"/>
  <c r="C842" i="3"/>
  <c r="E842" i="3" s="1"/>
  <c r="C133" i="3"/>
  <c r="C1099" i="3"/>
  <c r="C676" i="3"/>
  <c r="E676" i="3" s="1"/>
  <c r="B1384" i="3"/>
  <c r="B288" i="3"/>
  <c r="C1122" i="3"/>
  <c r="C131" i="3"/>
  <c r="E131" i="3" s="1"/>
  <c r="C769" i="3"/>
  <c r="E769" i="3" s="1"/>
  <c r="C731" i="3"/>
  <c r="E731" i="3" s="1"/>
  <c r="B623" i="3"/>
  <c r="C595" i="3"/>
  <c r="D595" i="3" s="1"/>
  <c r="C896" i="3"/>
  <c r="D896" i="3" s="1"/>
  <c r="B658" i="3"/>
  <c r="C327" i="3"/>
  <c r="B1018" i="3"/>
  <c r="B1318" i="3"/>
  <c r="C1206" i="3"/>
  <c r="B759" i="3"/>
  <c r="C86" i="3"/>
  <c r="C70" i="3"/>
  <c r="B72" i="3"/>
  <c r="B955" i="3"/>
  <c r="B1025" i="3"/>
  <c r="C214" i="3"/>
  <c r="D214" i="3" s="1"/>
  <c r="B366" i="3"/>
  <c r="B788" i="3"/>
  <c r="C627" i="3"/>
  <c r="C722" i="3"/>
  <c r="E722" i="3" s="1"/>
  <c r="C465" i="3"/>
  <c r="E465" i="3" s="1"/>
  <c r="B68" i="3"/>
  <c r="B1019" i="3"/>
  <c r="C632" i="3"/>
  <c r="E632" i="3" s="1"/>
  <c r="B354" i="3"/>
  <c r="C388" i="3"/>
  <c r="E388" i="3" s="1"/>
  <c r="C234" i="3"/>
  <c r="D234" i="3" s="1"/>
  <c r="B427" i="3"/>
  <c r="B1186" i="3"/>
  <c r="B365" i="3"/>
  <c r="B749" i="3"/>
  <c r="C939" i="3"/>
  <c r="B1178" i="3"/>
  <c r="B326" i="3"/>
  <c r="B547" i="3"/>
  <c r="C995" i="3"/>
  <c r="D995" i="3" s="1"/>
  <c r="B158" i="3"/>
  <c r="B25" i="3"/>
  <c r="B140" i="3"/>
  <c r="B841" i="3"/>
  <c r="B927" i="3"/>
  <c r="B822" i="3"/>
  <c r="B35" i="3"/>
  <c r="C1130" i="3"/>
  <c r="D1130" i="3" s="1"/>
  <c r="B69" i="3"/>
  <c r="B1085" i="3"/>
  <c r="B33" i="3"/>
  <c r="C470" i="3"/>
  <c r="D470" i="3" s="1"/>
  <c r="C1265" i="3"/>
  <c r="D1265" i="3" s="1"/>
  <c r="C264" i="3"/>
  <c r="C1278" i="3"/>
  <c r="B1045" i="3"/>
  <c r="C416" i="3"/>
  <c r="C906" i="3"/>
  <c r="B493" i="3"/>
  <c r="C923" i="3"/>
  <c r="E923" i="3" s="1"/>
  <c r="B279" i="3"/>
  <c r="C999" i="3"/>
  <c r="E999" i="3" s="1"/>
  <c r="C851" i="3"/>
  <c r="B1050" i="3"/>
  <c r="B516" i="3"/>
  <c r="C541" i="3"/>
  <c r="E541" i="3" s="1"/>
  <c r="C552" i="3"/>
  <c r="D552" i="3" s="1"/>
  <c r="C1243" i="3"/>
  <c r="E1243" i="3" s="1"/>
  <c r="B86" i="3"/>
  <c r="C365" i="3"/>
  <c r="D365" i="3" s="1"/>
  <c r="B340" i="3"/>
  <c r="C348" i="3"/>
  <c r="E348" i="3" s="1"/>
  <c r="C798" i="3"/>
  <c r="B942" i="3"/>
  <c r="C1212" i="3"/>
  <c r="E1212" i="3" s="1"/>
  <c r="C385" i="3"/>
  <c r="B174" i="3"/>
  <c r="C452" i="3"/>
  <c r="C887" i="3"/>
  <c r="C265" i="3"/>
  <c r="D265" i="3" s="1"/>
  <c r="C1186" i="3"/>
  <c r="E1186" i="3" s="1"/>
  <c r="B334" i="3"/>
  <c r="B720" i="3"/>
  <c r="B680" i="3"/>
  <c r="B375" i="3"/>
  <c r="B1115" i="3"/>
  <c r="C733" i="3"/>
  <c r="D733" i="3" s="1"/>
  <c r="B1102" i="3"/>
  <c r="B925" i="3"/>
  <c r="C7" i="3"/>
  <c r="E7" i="3" s="1"/>
  <c r="B357" i="3"/>
  <c r="B371" i="3"/>
  <c r="B197" i="3"/>
  <c r="B39" i="3"/>
  <c r="B840" i="3"/>
  <c r="B673" i="3"/>
  <c r="B819" i="3"/>
  <c r="C920" i="3"/>
  <c r="D920" i="3" s="1"/>
  <c r="C885" i="3"/>
  <c r="E885" i="3" s="1"/>
  <c r="B674" i="3"/>
  <c r="B992" i="3"/>
  <c r="B296" i="3"/>
  <c r="C943" i="3"/>
  <c r="D943" i="3" s="1"/>
  <c r="B1103" i="3"/>
  <c r="C1127" i="3"/>
  <c r="B359" i="3"/>
  <c r="B748" i="3"/>
  <c r="C721" i="3"/>
  <c r="E721" i="3" s="1"/>
  <c r="B1140" i="3"/>
  <c r="B695" i="3"/>
  <c r="C1261" i="3"/>
  <c r="C119" i="3"/>
  <c r="E119" i="3" s="1"/>
  <c r="C400" i="3"/>
  <c r="B281" i="3"/>
  <c r="C249" i="3"/>
  <c r="D249" i="3" s="1"/>
  <c r="C1062" i="3"/>
  <c r="E1062" i="3" s="1"/>
  <c r="B241" i="3"/>
  <c r="B1257" i="3"/>
  <c r="C14" i="3"/>
  <c r="C724" i="3"/>
  <c r="E724" i="3" s="1"/>
  <c r="C1327" i="3"/>
  <c r="E1327" i="3" s="1"/>
  <c r="C434" i="3"/>
  <c r="E434" i="3" s="1"/>
  <c r="C808" i="3"/>
  <c r="E808" i="3" s="1"/>
  <c r="C1103" i="3"/>
  <c r="E1103" i="3" s="1"/>
  <c r="C989" i="3"/>
  <c r="D989" i="3" s="1"/>
  <c r="C406" i="3"/>
  <c r="E406" i="3" s="1"/>
  <c r="C1034" i="3"/>
  <c r="E1034" i="3" s="1"/>
  <c r="C1025" i="3"/>
  <c r="E1025" i="3" s="1"/>
  <c r="B588" i="3"/>
  <c r="B525" i="3"/>
  <c r="B921" i="3"/>
  <c r="C957" i="3"/>
  <c r="E957" i="3" s="1"/>
  <c r="B1190" i="3"/>
  <c r="B1013" i="3"/>
  <c r="B736" i="3"/>
  <c r="B931" i="3"/>
  <c r="B53" i="3"/>
  <c r="B108" i="3"/>
  <c r="C1287" i="3"/>
  <c r="E1287" i="3" s="1"/>
  <c r="B1259" i="3"/>
  <c r="C64" i="3"/>
  <c r="E64" i="3" s="1"/>
  <c r="B968" i="3"/>
  <c r="B193" i="3"/>
  <c r="C1160" i="3"/>
  <c r="E1160" i="3" s="1"/>
  <c r="C1249" i="3"/>
  <c r="D1249" i="3" s="1"/>
  <c r="B572" i="3"/>
  <c r="B349" i="3"/>
  <c r="B1193" i="3"/>
  <c r="B626" i="3"/>
  <c r="C991" i="3"/>
  <c r="E991" i="3" s="1"/>
  <c r="C316" i="3"/>
  <c r="B966" i="3"/>
  <c r="C498" i="3"/>
  <c r="E498" i="3" s="1"/>
  <c r="C201" i="3"/>
  <c r="D201" i="3" s="1"/>
  <c r="B876" i="3"/>
  <c r="C1218" i="3"/>
  <c r="C1254" i="3"/>
  <c r="B1036" i="3"/>
  <c r="C1095" i="3"/>
  <c r="C1246" i="3"/>
  <c r="D1246" i="3" s="1"/>
  <c r="B1182" i="3"/>
  <c r="C306" i="3"/>
  <c r="D306" i="3" s="1"/>
  <c r="B889" i="3"/>
  <c r="B173" i="3"/>
  <c r="C959" i="3"/>
  <c r="C1195" i="3"/>
  <c r="D1195" i="3" s="1"/>
  <c r="B350" i="3"/>
  <c r="C1059" i="3"/>
  <c r="E1059" i="3" s="1"/>
  <c r="B1275" i="3"/>
  <c r="C256" i="3"/>
  <c r="D256" i="3" s="1"/>
  <c r="C840" i="3"/>
  <c r="E840" i="3" s="1"/>
  <c r="C553" i="3"/>
  <c r="D553" i="3" s="1"/>
  <c r="B1075" i="3"/>
  <c r="C615" i="3"/>
  <c r="C1049" i="3"/>
  <c r="C1108" i="3"/>
  <c r="C1234" i="3"/>
  <c r="B258" i="3"/>
  <c r="C362" i="3"/>
  <c r="D362" i="3" s="1"/>
  <c r="C1236" i="3"/>
  <c r="D1236" i="3" s="1"/>
  <c r="C650" i="3"/>
  <c r="D650" i="3" s="1"/>
  <c r="B1333" i="3"/>
  <c r="C1045" i="3"/>
  <c r="E1045" i="3" s="1"/>
  <c r="B49" i="3"/>
  <c r="C570" i="3"/>
  <c r="C750" i="3"/>
  <c r="E750" i="3" s="1"/>
  <c r="B907" i="3"/>
  <c r="C649" i="3"/>
  <c r="D649" i="3" s="1"/>
  <c r="C1072" i="3"/>
  <c r="E1072" i="3" s="1"/>
  <c r="B179" i="3"/>
  <c r="C997" i="3"/>
  <c r="C1066" i="3"/>
  <c r="C1306" i="3"/>
  <c r="D1306" i="3" s="1"/>
  <c r="C1141" i="3"/>
  <c r="C461" i="3"/>
  <c r="C1166" i="3"/>
  <c r="B408" i="3"/>
  <c r="B1225" i="3"/>
  <c r="C1176" i="3"/>
  <c r="E1176" i="3" s="1"/>
  <c r="B871" i="3"/>
  <c r="B16" i="3"/>
  <c r="B397" i="3"/>
  <c r="B677" i="3"/>
  <c r="B439" i="3"/>
  <c r="C942" i="3"/>
  <c r="B1260" i="3"/>
  <c r="C1101" i="3"/>
  <c r="D1101" i="3" s="1"/>
  <c r="B163" i="3"/>
  <c r="C535" i="3"/>
  <c r="E535" i="3" s="1"/>
  <c r="C130" i="3"/>
  <c r="D130" i="3" s="1"/>
  <c r="B702" i="3"/>
  <c r="C1331" i="3"/>
  <c r="D1331" i="3" s="1"/>
  <c r="B233" i="3"/>
  <c r="B1298" i="3"/>
  <c r="C1307" i="3"/>
  <c r="C646" i="3"/>
  <c r="D646" i="3" s="1"/>
  <c r="B407" i="3"/>
  <c r="B838" i="3"/>
  <c r="C1282" i="3"/>
  <c r="E1282" i="3" s="1"/>
  <c r="C1329" i="3"/>
  <c r="D1329" i="3" s="1"/>
  <c r="C1205" i="3"/>
  <c r="E1205" i="3" s="1"/>
  <c r="B1280" i="3"/>
  <c r="C982" i="3"/>
  <c r="B1185" i="3"/>
  <c r="C32" i="3"/>
  <c r="B177" i="3"/>
  <c r="B987" i="3"/>
  <c r="B692" i="3"/>
  <c r="B303" i="3"/>
  <c r="B800" i="3"/>
  <c r="C165" i="3"/>
  <c r="C138" i="3"/>
  <c r="E138" i="3" s="1"/>
  <c r="C993" i="3"/>
  <c r="C1135" i="3"/>
  <c r="C1253" i="3"/>
  <c r="B1323" i="3"/>
  <c r="C218" i="3"/>
  <c r="B794" i="3"/>
  <c r="C855" i="3"/>
  <c r="D855" i="3" s="1"/>
  <c r="C175" i="3"/>
  <c r="E175" i="3" s="1"/>
  <c r="C1084" i="3"/>
  <c r="E1084" i="3" s="1"/>
  <c r="B388" i="3"/>
  <c r="B6" i="3"/>
  <c r="B1314" i="3"/>
  <c r="B622" i="3"/>
  <c r="B1339" i="3"/>
  <c r="C91" i="3"/>
  <c r="D91" i="3" s="1"/>
  <c r="C987" i="3"/>
  <c r="E987" i="3" s="1"/>
  <c r="C629" i="3"/>
  <c r="E629" i="3" s="1"/>
  <c r="C534" i="3"/>
  <c r="E534" i="3" s="1"/>
  <c r="C723" i="3"/>
  <c r="C149" i="3"/>
  <c r="B847" i="3"/>
  <c r="C241" i="3"/>
  <c r="E241" i="3" s="1"/>
  <c r="B843" i="3"/>
  <c r="C495" i="3"/>
  <c r="B986" i="3"/>
  <c r="B1328" i="3"/>
  <c r="B553" i="3"/>
  <c r="B1237" i="3"/>
  <c r="C1198" i="3"/>
  <c r="E1198" i="3" s="1"/>
  <c r="B1387" i="3"/>
  <c r="C76" i="3"/>
  <c r="E76" i="3" s="1"/>
  <c r="C664" i="3"/>
  <c r="D664" i="3" s="1"/>
  <c r="C1119" i="3"/>
  <c r="D1119" i="3" s="1"/>
  <c r="C621" i="3"/>
  <c r="E621" i="3" s="1"/>
  <c r="C1394" i="3"/>
  <c r="E1394" i="3" s="1"/>
  <c r="C174" i="3"/>
  <c r="E174" i="3" s="1"/>
  <c r="C181" i="3"/>
  <c r="D181" i="3" s="1"/>
  <c r="C522" i="3"/>
  <c r="B293" i="3"/>
  <c r="C204" i="3"/>
  <c r="C1340" i="3"/>
  <c r="E1340" i="3" s="1"/>
  <c r="C11" i="3"/>
  <c r="E11" i="3" s="1"/>
  <c r="C420" i="3"/>
  <c r="E420" i="3" s="1"/>
  <c r="C645" i="3"/>
  <c r="C539" i="3"/>
  <c r="C1136" i="3"/>
  <c r="C812" i="3"/>
  <c r="D812" i="3" s="1"/>
  <c r="C252" i="3"/>
  <c r="B159" i="3"/>
  <c r="C415" i="3"/>
  <c r="E415" i="3" s="1"/>
  <c r="B1234" i="3"/>
  <c r="C339" i="3"/>
  <c r="E339" i="3" s="1"/>
  <c r="C634" i="3"/>
  <c r="B755" i="3"/>
  <c r="B762" i="3"/>
  <c r="C696" i="3"/>
  <c r="E696" i="3" s="1"/>
  <c r="B774" i="3"/>
  <c r="C780" i="3"/>
  <c r="D780" i="3" s="1"/>
  <c r="B440" i="3"/>
  <c r="C1000" i="3"/>
  <c r="C1193" i="3"/>
  <c r="E1193" i="3" s="1"/>
  <c r="C732" i="3"/>
  <c r="E732" i="3" s="1"/>
  <c r="B556" i="3"/>
  <c r="B444" i="3"/>
  <c r="C1182" i="3"/>
  <c r="C44" i="3"/>
  <c r="B505" i="3"/>
  <c r="B1038" i="3"/>
  <c r="B816" i="1"/>
  <c r="B59" i="3"/>
  <c r="B274" i="3"/>
  <c r="C555" i="3"/>
  <c r="E555" i="3" s="1"/>
  <c r="B523" i="3"/>
  <c r="C251" i="3"/>
  <c r="E251" i="3" s="1"/>
  <c r="B229" i="3"/>
  <c r="C1003" i="3"/>
  <c r="D1003" i="3" s="1"/>
  <c r="C1174" i="3"/>
  <c r="E1174" i="3" s="1"/>
  <c r="B1274" i="3"/>
  <c r="C690" i="3"/>
  <c r="C262" i="3"/>
  <c r="E262" i="3" s="1"/>
  <c r="B867" i="3"/>
  <c r="C559" i="3"/>
  <c r="C354" i="3"/>
  <c r="B773" i="3"/>
  <c r="C45" i="3"/>
  <c r="B511" i="3"/>
  <c r="C554" i="3"/>
  <c r="D554" i="3" s="1"/>
  <c r="C932" i="3"/>
  <c r="C96" i="3"/>
  <c r="B228" i="3"/>
  <c r="B1030" i="3"/>
  <c r="B1028" i="3"/>
  <c r="C637" i="3"/>
  <c r="E637" i="3" s="1"/>
  <c r="C631" i="3"/>
  <c r="D631" i="3" s="1"/>
  <c r="C1042" i="3"/>
  <c r="D1042" i="3" s="1"/>
  <c r="C918" i="3"/>
  <c r="E918" i="3" s="1"/>
  <c r="B1215" i="3"/>
  <c r="B742" i="3"/>
  <c r="B880" i="3"/>
  <c r="C644" i="3"/>
  <c r="C219" i="3"/>
  <c r="D219" i="3" s="1"/>
  <c r="C902" i="3"/>
  <c r="C1105" i="3"/>
  <c r="B887" i="3"/>
  <c r="B98" i="3"/>
  <c r="B1300" i="3"/>
  <c r="B89" i="3"/>
  <c r="C157" i="3"/>
  <c r="B1174" i="3"/>
  <c r="B959" i="3"/>
  <c r="C1293" i="3"/>
  <c r="C482" i="3"/>
  <c r="D482" i="3" s="1"/>
  <c r="C892" i="3"/>
  <c r="D892" i="3" s="1"/>
  <c r="B928" i="3"/>
  <c r="C411" i="3"/>
  <c r="D411" i="3" s="1"/>
  <c r="B506" i="3"/>
  <c r="C6" i="3"/>
  <c r="E6" i="3" s="1"/>
  <c r="C156" i="3"/>
  <c r="E156" i="3" s="1"/>
  <c r="B724" i="3"/>
  <c r="C1230" i="3"/>
  <c r="E1230" i="3" s="1"/>
  <c r="C1221" i="3"/>
  <c r="C105" i="3"/>
  <c r="C611" i="3"/>
  <c r="C921" i="3"/>
  <c r="B1101" i="3"/>
  <c r="B836" i="3"/>
  <c r="B474" i="3"/>
  <c r="C1334" i="3"/>
  <c r="D1334" i="3" s="1"/>
  <c r="C301" i="3"/>
  <c r="D301" i="3" s="1"/>
  <c r="B778" i="3"/>
  <c r="C89" i="3"/>
  <c r="E89" i="3" s="1"/>
  <c r="B438" i="3"/>
  <c r="C462" i="3"/>
  <c r="B1112" i="3"/>
  <c r="B919" i="3"/>
  <c r="B571" i="3"/>
  <c r="C39" i="3"/>
  <c r="D39" i="3" s="1"/>
  <c r="C443" i="3"/>
  <c r="D443" i="3" s="1"/>
  <c r="B738" i="3"/>
  <c r="B1269" i="3"/>
  <c r="B684" i="3"/>
  <c r="C481" i="3"/>
  <c r="C772" i="3"/>
  <c r="B829" i="3"/>
  <c r="B527" i="3"/>
  <c r="B238" i="3"/>
  <c r="B1352" i="3"/>
  <c r="C765" i="3"/>
  <c r="D765" i="3" s="1"/>
  <c r="B558" i="3"/>
  <c r="C1238" i="3"/>
  <c r="E1238" i="3" s="1"/>
  <c r="C628" i="3"/>
  <c r="D628" i="3" s="1"/>
  <c r="C881" i="3"/>
  <c r="D881" i="3" s="1"/>
  <c r="C60" i="3"/>
  <c r="C1291" i="3"/>
  <c r="E1291" i="3" s="1"/>
  <c r="C320" i="3"/>
  <c r="D320" i="3" s="1"/>
  <c r="C309" i="3"/>
  <c r="E309" i="3" s="1"/>
  <c r="C707" i="3"/>
  <c r="E707" i="3" s="1"/>
  <c r="C435" i="3"/>
  <c r="D435" i="3" s="1"/>
  <c r="C774" i="3"/>
  <c r="C1163" i="3"/>
  <c r="C1215" i="3"/>
  <c r="D1215" i="3" s="1"/>
  <c r="C606" i="3"/>
  <c r="B1080" i="3"/>
  <c r="B402" i="3"/>
  <c r="B686" i="3"/>
  <c r="C276" i="3"/>
  <c r="C5" i="3"/>
  <c r="E5" i="3" s="1"/>
  <c r="B592" i="3"/>
  <c r="C548" i="3"/>
  <c r="E548" i="3" s="1"/>
  <c r="C852" i="3"/>
  <c r="E852" i="3" s="1"/>
  <c r="C1040" i="3"/>
  <c r="C1126" i="3"/>
  <c r="C84" i="3"/>
  <c r="D84" i="3" s="1"/>
  <c r="C190" i="3"/>
  <c r="D190" i="3" s="1"/>
  <c r="C513" i="3"/>
  <c r="D513" i="3" s="1"/>
  <c r="B881" i="3"/>
  <c r="C960" i="3"/>
  <c r="D960" i="3" s="1"/>
  <c r="B574" i="3"/>
  <c r="C255" i="3"/>
  <c r="B704" i="3"/>
  <c r="B990" i="3"/>
  <c r="B332" i="3"/>
  <c r="C160" i="3"/>
  <c r="C1333" i="3"/>
  <c r="D1333" i="3" s="1"/>
  <c r="C168" i="3"/>
  <c r="B536" i="3"/>
  <c r="B1047" i="3"/>
  <c r="C618" i="3"/>
  <c r="B848" i="3"/>
  <c r="B291" i="3"/>
  <c r="C754" i="3"/>
  <c r="E754" i="3" s="1"/>
  <c r="B484" i="3"/>
  <c r="C172" i="3"/>
  <c r="B294" i="3"/>
  <c r="B856" i="3"/>
  <c r="B1301" i="3"/>
  <c r="B206" i="3"/>
  <c r="B679" i="3"/>
  <c r="C136" i="3"/>
  <c r="C527" i="3"/>
  <c r="E527" i="3" s="1"/>
  <c r="C524" i="3"/>
  <c r="E524" i="3" s="1"/>
  <c r="B1027" i="3"/>
  <c r="C210" i="3"/>
  <c r="B983" i="3"/>
  <c r="C777" i="3"/>
  <c r="B236" i="3"/>
  <c r="B24" i="3"/>
  <c r="B467" i="3"/>
  <c r="B947" i="3"/>
  <c r="B495" i="3"/>
  <c r="B735" i="3"/>
  <c r="C1312" i="3"/>
  <c r="D1312" i="3" s="1"/>
  <c r="B886" i="3"/>
  <c r="B29" i="3"/>
  <c r="B659" i="3"/>
  <c r="C984" i="3"/>
  <c r="D984" i="3" s="1"/>
  <c r="B437" i="3"/>
  <c r="B1037" i="3"/>
  <c r="B1385" i="3"/>
  <c r="C588" i="3"/>
  <c r="B1040" i="3"/>
  <c r="B1111" i="3"/>
  <c r="B100" i="3"/>
  <c r="B541" i="3"/>
  <c r="C428" i="3"/>
  <c r="B1308" i="3"/>
  <c r="B1288" i="3"/>
  <c r="C1304" i="3"/>
  <c r="D1304" i="3" s="1"/>
  <c r="B383" i="3"/>
  <c r="B77" i="3"/>
  <c r="C285" i="3"/>
  <c r="C596" i="3"/>
  <c r="E596" i="3" s="1"/>
  <c r="B969" i="3"/>
  <c r="B1296" i="3"/>
  <c r="B1297" i="3"/>
  <c r="B1348" i="3"/>
  <c r="B1276" i="3"/>
  <c r="C1202" i="3"/>
  <c r="E1202" i="3" s="1"/>
  <c r="C686" i="3"/>
  <c r="B977" i="3"/>
  <c r="B492" i="3"/>
  <c r="C1189" i="3"/>
  <c r="E1189" i="3" s="1"/>
  <c r="C810" i="3"/>
  <c r="D810" i="3" s="1"/>
  <c r="C602" i="3"/>
  <c r="E602" i="3" s="1"/>
  <c r="C518" i="3"/>
  <c r="C134" i="3"/>
  <c r="B894" i="3"/>
  <c r="C951" i="3"/>
  <c r="B463" i="3"/>
  <c r="C85" i="3"/>
  <c r="E85" i="3" s="1"/>
  <c r="C823" i="3"/>
  <c r="E823" i="3" s="1"/>
  <c r="C205" i="3"/>
  <c r="D205" i="3" s="1"/>
  <c r="B1244" i="3"/>
  <c r="B168" i="3"/>
  <c r="C673" i="3"/>
  <c r="E673" i="3" s="1"/>
  <c r="C1052" i="3"/>
  <c r="D1052" i="3" s="1"/>
  <c r="C370" i="3"/>
  <c r="C969" i="3"/>
  <c r="E969" i="3" s="1"/>
  <c r="B1218" i="3"/>
  <c r="C1345" i="3"/>
  <c r="B125" i="3"/>
  <c r="B393" i="3"/>
  <c r="B4" i="3"/>
  <c r="B486" i="3"/>
  <c r="B1292" i="3"/>
  <c r="B1391" i="3"/>
  <c r="B576" i="3"/>
  <c r="C442" i="3"/>
  <c r="B687" i="3"/>
  <c r="B1175" i="3"/>
  <c r="B864" i="3"/>
  <c r="B970" i="3"/>
  <c r="B908" i="3"/>
  <c r="B665" i="3"/>
  <c r="B309" i="3"/>
  <c r="C586" i="3"/>
  <c r="E586" i="3" s="1"/>
  <c r="C223" i="3"/>
  <c r="E223" i="3" s="1"/>
  <c r="C1155" i="3"/>
  <c r="D1155" i="3" s="1"/>
  <c r="C344" i="3"/>
  <c r="C955" i="3"/>
  <c r="E955" i="3" s="1"/>
  <c r="C227" i="3"/>
  <c r="B549" i="3"/>
  <c r="C1235" i="3"/>
  <c r="B522" i="3"/>
  <c r="B203" i="3"/>
  <c r="C532" i="3"/>
  <c r="B1002" i="3"/>
  <c r="B1109" i="3"/>
  <c r="B964" i="3"/>
  <c r="C94" i="3"/>
  <c r="E94" i="3" s="1"/>
  <c r="C917" i="3"/>
  <c r="E917" i="3" s="1"/>
  <c r="C325" i="3"/>
  <c r="E325" i="3" s="1"/>
  <c r="C889" i="3"/>
  <c r="E889" i="3" s="1"/>
  <c r="C913" i="3"/>
  <c r="D913" i="3" s="1"/>
  <c r="B1203" i="3"/>
  <c r="B830" i="3"/>
  <c r="C1353" i="3"/>
  <c r="E1353" i="3" s="1"/>
  <c r="C914" i="3"/>
  <c r="E914" i="3" s="1"/>
  <c r="C1097" i="3"/>
  <c r="D1097" i="3" s="1"/>
  <c r="C93" i="3"/>
  <c r="B172" i="3"/>
  <c r="C92" i="3"/>
  <c r="D92" i="3" s="1"/>
  <c r="B721" i="3"/>
  <c r="B803" i="3"/>
  <c r="C945" i="3"/>
  <c r="B18" i="3"/>
  <c r="C107" i="3"/>
  <c r="E107" i="3" s="1"/>
  <c r="C1184" i="3"/>
  <c r="D1184" i="3" s="1"/>
  <c r="C599" i="3"/>
  <c r="E599" i="3" s="1"/>
  <c r="B1222" i="3"/>
  <c r="C408" i="3"/>
  <c r="E408" i="3" s="1"/>
  <c r="C1142" i="3"/>
  <c r="E1142" i="3" s="1"/>
  <c r="C446" i="3"/>
  <c r="C1347" i="3"/>
  <c r="D1347" i="3" s="1"/>
  <c r="B17" i="3"/>
  <c r="C2" i="3"/>
  <c r="C1026" i="3"/>
  <c r="D1026" i="3" s="1"/>
  <c r="C1169" i="3"/>
  <c r="E1169" i="3" s="1"/>
  <c r="C874" i="3"/>
  <c r="D874" i="3" s="1"/>
  <c r="B828" i="3"/>
  <c r="B209" i="3"/>
  <c r="B719" i="3"/>
  <c r="C304" i="3"/>
  <c r="B963" i="3"/>
  <c r="B424" i="3"/>
  <c r="B967" i="3"/>
  <c r="B1289" i="3"/>
  <c r="C547" i="3"/>
  <c r="D547" i="3" s="1"/>
  <c r="C1053" i="3"/>
  <c r="D1053" i="3" s="1"/>
  <c r="C440" i="3"/>
  <c r="D440" i="3" s="1"/>
  <c r="C1070" i="3"/>
  <c r="D1070" i="3" s="1"/>
  <c r="B688" i="3"/>
  <c r="B763" i="3"/>
  <c r="C259" i="3"/>
  <c r="E259" i="3" s="1"/>
  <c r="B102" i="3"/>
  <c r="B524" i="3"/>
  <c r="C583" i="3"/>
  <c r="E583" i="3" s="1"/>
  <c r="B1096" i="3"/>
  <c r="C835" i="3"/>
  <c r="B1389" i="3"/>
  <c r="C831" i="3"/>
  <c r="D831" i="3" s="1"/>
  <c r="C964" i="3"/>
  <c r="D964" i="3" s="1"/>
  <c r="C1292" i="3"/>
  <c r="B607" i="3"/>
  <c r="B545" i="3"/>
  <c r="B222" i="3"/>
  <c r="B551" i="3"/>
  <c r="C952" i="3"/>
  <c r="D952" i="3" s="1"/>
  <c r="B617" i="3"/>
  <c r="B520" i="3"/>
  <c r="C727" i="3"/>
  <c r="E727" i="3" s="1"/>
  <c r="B904" i="3"/>
  <c r="C356" i="3"/>
  <c r="C562" i="3"/>
  <c r="C1096" i="3"/>
  <c r="D1096" i="3" s="1"/>
  <c r="C715" i="3"/>
  <c r="B1063" i="3"/>
  <c r="B707" i="3"/>
  <c r="C467" i="3"/>
  <c r="C766" i="3"/>
  <c r="E766" i="3" s="1"/>
  <c r="B32" i="3"/>
  <c r="C818" i="3"/>
  <c r="B298" i="3"/>
  <c r="C419" i="3"/>
  <c r="C368" i="3"/>
  <c r="E368" i="3" s="1"/>
  <c r="B1353" i="3"/>
  <c r="C845" i="3"/>
  <c r="B129" i="3"/>
  <c r="B465" i="3"/>
  <c r="C1167" i="3"/>
  <c r="D1167" i="3" s="1"/>
  <c r="B944" i="3"/>
  <c r="C1271" i="3"/>
  <c r="E1271" i="3" s="1"/>
  <c r="B273" i="3"/>
  <c r="B975" i="3"/>
  <c r="B497" i="3"/>
  <c r="C209" i="3"/>
  <c r="D209" i="3" s="1"/>
  <c r="B1156" i="3"/>
  <c r="C850" i="3"/>
  <c r="D850" i="3" s="1"/>
  <c r="B9" i="3"/>
  <c r="B638" i="3"/>
  <c r="C1380" i="3"/>
  <c r="D1380" i="3" s="1"/>
  <c r="C1393" i="3"/>
  <c r="C1091" i="3"/>
  <c r="D1091" i="3" s="1"/>
  <c r="B993" i="3"/>
  <c r="C345" i="3"/>
  <c r="C211" i="3"/>
  <c r="C549" i="3"/>
  <c r="C882" i="3"/>
  <c r="D882" i="3" s="1"/>
  <c r="C314" i="3"/>
  <c r="E314" i="3" s="1"/>
  <c r="C1290" i="3"/>
  <c r="E1290" i="3" s="1"/>
  <c r="C1366" i="3"/>
  <c r="D1366" i="3" s="1"/>
  <c r="C1225" i="3"/>
  <c r="D1225" i="3" s="1"/>
  <c r="C946" i="3"/>
  <c r="E946" i="3" s="1"/>
  <c r="C639" i="3"/>
  <c r="E639" i="3" s="1"/>
  <c r="C622" i="3"/>
  <c r="E622" i="3" s="1"/>
  <c r="C883" i="3"/>
  <c r="E883" i="3" s="1"/>
  <c r="C656" i="3"/>
  <c r="D656" i="3" s="1"/>
  <c r="C697" i="3"/>
  <c r="E697" i="3" s="1"/>
  <c r="B590" i="3"/>
  <c r="C685" i="3"/>
  <c r="E685" i="3" s="1"/>
  <c r="B1268" i="3"/>
  <c r="B1053" i="3"/>
  <c r="C726" i="3"/>
  <c r="C1376" i="3"/>
  <c r="B1282" i="3"/>
  <c r="C1276" i="3"/>
  <c r="B247" i="3"/>
  <c r="B449" i="3"/>
  <c r="C13" i="3"/>
  <c r="C1113" i="3"/>
  <c r="E1113" i="3" s="1"/>
  <c r="B900" i="3"/>
  <c r="C1138" i="3"/>
  <c r="D1138" i="3" s="1"/>
  <c r="B66" i="3"/>
  <c r="C99" i="3"/>
  <c r="E99" i="3" s="1"/>
  <c r="B414" i="3"/>
  <c r="B790" i="3"/>
  <c r="C460" i="3"/>
  <c r="E460" i="3" s="1"/>
  <c r="C1175" i="3"/>
  <c r="E1175" i="3" s="1"/>
  <c r="C753" i="3"/>
  <c r="C1197" i="3"/>
  <c r="C104" i="3"/>
  <c r="D104" i="3" s="1"/>
  <c r="C129" i="3"/>
  <c r="C674" i="3"/>
  <c r="C1008" i="3"/>
  <c r="B132" i="3"/>
  <c r="C725" i="3"/>
  <c r="C1035" i="3"/>
  <c r="D1035" i="3" s="1"/>
  <c r="B97" i="3"/>
  <c r="B147" i="3"/>
  <c r="C263" i="3"/>
  <c r="E263" i="3" s="1"/>
  <c r="C56" i="3"/>
  <c r="D56" i="3" s="1"/>
  <c r="C296" i="3"/>
  <c r="E296" i="3" s="1"/>
  <c r="B169" i="3"/>
  <c r="B508" i="3"/>
  <c r="C28" i="3"/>
  <c r="D28" i="3" s="1"/>
  <c r="C1338" i="3"/>
  <c r="E1338" i="3" s="1"/>
  <c r="B369" i="3"/>
  <c r="C148" i="3"/>
  <c r="E148" i="3" s="1"/>
  <c r="B563" i="3"/>
  <c r="B252" i="3"/>
  <c r="C426" i="3"/>
  <c r="C1370" i="3"/>
  <c r="E1370" i="3" s="1"/>
  <c r="C1231" i="3"/>
  <c r="C1170" i="3"/>
  <c r="B614" i="3"/>
  <c r="B711" i="3"/>
  <c r="B178" i="3"/>
  <c r="B1023" i="3"/>
  <c r="C938" i="3"/>
  <c r="B1183" i="3"/>
  <c r="B682" i="3"/>
  <c r="B1070" i="3"/>
  <c r="B420" i="3"/>
  <c r="C352" i="3"/>
  <c r="D352" i="3" s="1"/>
  <c r="C501" i="3"/>
  <c r="E501" i="3" s="1"/>
  <c r="B196" i="3"/>
  <c r="C1168" i="3"/>
  <c r="E1168" i="3" s="1"/>
  <c r="C510" i="3"/>
  <c r="D510" i="3" s="1"/>
  <c r="B678" i="3"/>
  <c r="B911" i="3"/>
  <c r="C933" i="3"/>
  <c r="D933" i="3" s="1"/>
  <c r="B583" i="3"/>
  <c r="C1251" i="3"/>
  <c r="E1251" i="3" s="1"/>
  <c r="B468" i="3"/>
  <c r="B756" i="3"/>
  <c r="C1083" i="3"/>
  <c r="B689" i="3"/>
  <c r="C200" i="3"/>
  <c r="E200" i="3" s="1"/>
  <c r="B278" i="3"/>
  <c r="C761" i="3"/>
  <c r="E761" i="3" s="1"/>
  <c r="C801" i="3"/>
  <c r="E801" i="3" s="1"/>
  <c r="B1009" i="3"/>
  <c r="B500" i="3"/>
  <c r="B487" i="3"/>
  <c r="B457" i="3"/>
  <c r="B504" i="3"/>
  <c r="B353" i="3"/>
  <c r="B1355" i="3"/>
  <c r="B517" i="3"/>
  <c r="C623" i="3"/>
  <c r="C977" i="3"/>
  <c r="E977" i="3" s="1"/>
  <c r="C844" i="3"/>
  <c r="C828" i="3"/>
  <c r="E828" i="3" s="1"/>
  <c r="C775" i="3"/>
  <c r="C907" i="3"/>
  <c r="E907" i="3" s="1"/>
  <c r="C499" i="3"/>
  <c r="E499" i="3" s="1"/>
  <c r="C120" i="3"/>
  <c r="E120" i="3" s="1"/>
  <c r="C390" i="3"/>
  <c r="B1029" i="3"/>
  <c r="C338" i="3"/>
  <c r="E338" i="3" s="1"/>
  <c r="B866" i="3"/>
  <c r="C1247" i="3"/>
  <c r="D1247" i="3" s="1"/>
  <c r="C141" i="3"/>
  <c r="E141" i="3" s="1"/>
  <c r="C326" i="3"/>
  <c r="E326" i="3" s="1"/>
  <c r="C1144" i="3"/>
  <c r="E1144" i="3" s="1"/>
  <c r="C464" i="3"/>
  <c r="E464" i="3" s="1"/>
  <c r="C811" i="3"/>
  <c r="E811" i="3" s="1"/>
  <c r="B115" i="3"/>
  <c r="C819" i="3"/>
  <c r="C779" i="3"/>
  <c r="C930" i="3"/>
  <c r="D930" i="3" s="1"/>
  <c r="C23" i="3"/>
  <c r="C1267" i="3"/>
  <c r="C392" i="3"/>
  <c r="B923" i="3"/>
  <c r="C1093" i="3"/>
  <c r="C747" i="3"/>
  <c r="D747" i="3" s="1"/>
  <c r="C958" i="3"/>
  <c r="D958" i="3" s="1"/>
  <c r="B2" i="3"/>
  <c r="B199" i="3"/>
  <c r="C1149" i="3"/>
  <c r="B71" i="3"/>
  <c r="B1294" i="3"/>
  <c r="B529" i="3"/>
  <c r="C573" i="3"/>
  <c r="E573" i="3" s="1"/>
  <c r="C192" i="3"/>
  <c r="E192" i="3" s="1"/>
  <c r="B400" i="3"/>
  <c r="C182" i="3"/>
  <c r="E182" i="3" s="1"/>
  <c r="B1251" i="3"/>
  <c r="C282" i="3"/>
  <c r="E282" i="3" s="1"/>
  <c r="C312" i="3"/>
  <c r="C213" i="3"/>
  <c r="C1219" i="3"/>
  <c r="B1024" i="3"/>
  <c r="B808" i="3"/>
  <c r="C454" i="3"/>
  <c r="C80" i="3"/>
  <c r="E80" i="3" s="1"/>
  <c r="C947" i="3"/>
  <c r="D947" i="3" s="1"/>
  <c r="C692" i="3"/>
  <c r="E692" i="3" s="1"/>
  <c r="C703" i="3"/>
  <c r="E703" i="3" s="1"/>
  <c r="C1153" i="3"/>
  <c r="E1153" i="3" s="1"/>
  <c r="C135" i="3"/>
  <c r="C475" i="3"/>
  <c r="B628" i="3"/>
  <c r="B595" i="3"/>
  <c r="B971" i="3"/>
  <c r="C910" i="3"/>
  <c r="E910" i="3" s="1"/>
  <c r="B40" i="3"/>
  <c r="C1089" i="3"/>
  <c r="B289" i="3"/>
  <c r="B3" i="3"/>
  <c r="C1328" i="3"/>
  <c r="E1328" i="3" s="1"/>
  <c r="C322" i="3"/>
  <c r="E322" i="3" s="1"/>
  <c r="C1020" i="3"/>
  <c r="C1363" i="3"/>
  <c r="E1363" i="3" s="1"/>
  <c r="B214" i="3"/>
  <c r="B1315" i="3"/>
  <c r="C1352" i="3"/>
  <c r="E1352" i="3" s="1"/>
  <c r="C1268" i="3"/>
  <c r="E1268" i="3" s="1"/>
  <c r="B267" i="3"/>
  <c r="C1178" i="3"/>
  <c r="D1178" i="3" s="1"/>
  <c r="C745" i="3"/>
  <c r="E745" i="3" s="1"/>
  <c r="B117" i="3"/>
  <c r="C178" i="3"/>
  <c r="D178" i="3" s="1"/>
  <c r="C1207" i="3"/>
  <c r="D1207" i="3" s="1"/>
  <c r="B321" i="3"/>
  <c r="C705" i="3"/>
  <c r="C124" i="3"/>
  <c r="C463" i="3"/>
  <c r="C796" i="3"/>
  <c r="B19" i="3"/>
  <c r="C132" i="3"/>
  <c r="E132" i="3" s="1"/>
  <c r="C164" i="3"/>
  <c r="C1228" i="3"/>
  <c r="E1228" i="3" s="1"/>
  <c r="B146" i="3"/>
  <c r="B1189" i="3"/>
  <c r="C57" i="3"/>
  <c r="E57" i="3" s="1"/>
  <c r="C74" i="3"/>
  <c r="D74" i="3" s="1"/>
  <c r="C563" i="3"/>
  <c r="E563" i="3" s="1"/>
  <c r="B696" i="3"/>
  <c r="C689" i="3"/>
  <c r="C950" i="3"/>
  <c r="D950" i="3" s="1"/>
  <c r="C266" i="3"/>
  <c r="C53" i="3"/>
  <c r="E53" i="3" s="1"/>
  <c r="C278" i="3"/>
  <c r="D278" i="3" s="1"/>
  <c r="C511" i="3"/>
  <c r="D511" i="3" s="1"/>
  <c r="B56" i="3"/>
  <c r="B344" i="3"/>
  <c r="B656" i="3"/>
  <c r="C54" i="3"/>
  <c r="E54" i="3" s="1"/>
  <c r="B1051" i="3"/>
  <c r="C19" i="3"/>
  <c r="C659" i="3"/>
  <c r="B775" i="3"/>
  <c r="B693" i="3"/>
  <c r="C127" i="3"/>
  <c r="C1188" i="3"/>
  <c r="E1188" i="3" s="1"/>
  <c r="B648" i="3"/>
  <c r="B205" i="3"/>
  <c r="B1048" i="3"/>
  <c r="C10" i="3"/>
  <c r="B635" i="3"/>
  <c r="B12" i="3"/>
  <c r="B188" i="3"/>
  <c r="C1171" i="3"/>
  <c r="C994" i="3"/>
  <c r="D994" i="3" s="1"/>
  <c r="B232" i="3"/>
  <c r="B1146" i="3"/>
  <c r="C83" i="3"/>
  <c r="D83" i="3" s="1"/>
  <c r="B329" i="3"/>
  <c r="C1244" i="3"/>
  <c r="E1244" i="3" s="1"/>
  <c r="B1082" i="3"/>
  <c r="C1211" i="3"/>
  <c r="C1183" i="3"/>
  <c r="B567" i="3"/>
  <c r="B403" i="3"/>
  <c r="B260" i="3"/>
  <c r="B1316" i="3"/>
  <c r="B897" i="3"/>
  <c r="C1305" i="3"/>
  <c r="E1305" i="3" s="1"/>
  <c r="B52" i="3"/>
  <c r="B655" i="3"/>
  <c r="C1124" i="3"/>
  <c r="D1124" i="3" s="1"/>
  <c r="C427" i="3"/>
  <c r="D427" i="3" s="1"/>
  <c r="C1063" i="3"/>
  <c r="E1063" i="3" s="1"/>
  <c r="C607" i="3"/>
  <c r="E607" i="3" s="1"/>
  <c r="C1204" i="3"/>
  <c r="E1204" i="3" s="1"/>
  <c r="B330" i="3"/>
  <c r="C521" i="3"/>
  <c r="B521" i="3"/>
  <c r="C1200" i="3"/>
  <c r="B116" i="3"/>
  <c r="C375" i="3"/>
  <c r="C51" i="3"/>
  <c r="B796" i="3"/>
  <c r="B370" i="3"/>
  <c r="C768" i="3"/>
  <c r="D768" i="3" s="1"/>
  <c r="C288" i="3"/>
  <c r="E288" i="3" s="1"/>
  <c r="C900" i="3"/>
  <c r="E900" i="3" s="1"/>
  <c r="C332" i="3"/>
  <c r="E332" i="3" s="1"/>
  <c r="B1235" i="3"/>
  <c r="C719" i="3"/>
  <c r="E719" i="3" s="1"/>
  <c r="C202" i="3"/>
  <c r="D202" i="3" s="1"/>
  <c r="C1342" i="3"/>
  <c r="D1342" i="3" s="1"/>
  <c r="B149" i="3"/>
  <c r="C197" i="3"/>
  <c r="E197" i="3" s="1"/>
  <c r="C624" i="3"/>
  <c r="E624" i="3" s="1"/>
  <c r="C81" i="3"/>
  <c r="E81" i="3" s="1"/>
  <c r="B1017" i="3"/>
  <c r="C1010" i="3"/>
  <c r="C1111" i="3"/>
  <c r="E1111" i="3" s="1"/>
  <c r="B631" i="3"/>
  <c r="C1196" i="3"/>
  <c r="B213" i="3"/>
  <c r="B335" i="3"/>
  <c r="B142" i="3"/>
  <c r="B575" i="3"/>
  <c r="C30" i="3"/>
  <c r="E30" i="3" s="1"/>
  <c r="C988" i="3"/>
  <c r="E988" i="3" s="1"/>
  <c r="B1067" i="3"/>
  <c r="B544" i="3"/>
  <c r="C48" i="3"/>
  <c r="D48" i="3" s="1"/>
  <c r="B771" i="3"/>
  <c r="C1368" i="3"/>
  <c r="E1368" i="3" s="1"/>
  <c r="B154" i="3"/>
  <c r="C1065" i="3"/>
  <c r="E1065" i="3" s="1"/>
  <c r="C954" i="3"/>
  <c r="E954" i="3" s="1"/>
  <c r="B1241" i="3"/>
  <c r="B1347" i="3"/>
  <c r="C978" i="3"/>
  <c r="D978" i="3" s="1"/>
  <c r="C1360" i="3"/>
  <c r="D1360" i="3" s="1"/>
  <c r="B956" i="3"/>
  <c r="C188" i="3"/>
  <c r="C402" i="3"/>
  <c r="B769" i="3"/>
  <c r="B661" i="3"/>
  <c r="C430" i="3"/>
  <c r="E430" i="3" s="1"/>
  <c r="C1125" i="3"/>
  <c r="D1125" i="3" s="1"/>
  <c r="B972" i="3"/>
  <c r="C1321" i="3"/>
  <c r="D1321" i="3" s="1"/>
  <c r="B991" i="3"/>
  <c r="B1223" i="3"/>
  <c r="B1327" i="3"/>
  <c r="B419" i="3"/>
  <c r="B930" i="3"/>
  <c r="B46" i="3"/>
  <c r="B83" i="3"/>
  <c r="C424" i="3"/>
  <c r="D424" i="3" s="1"/>
  <c r="B1330" i="3"/>
  <c r="B979" i="3"/>
  <c r="B514" i="3"/>
  <c r="B478" i="3"/>
  <c r="B50" i="3"/>
  <c r="B1334" i="3"/>
  <c r="C1317" i="3"/>
  <c r="B701" i="3"/>
  <c r="B1196" i="3"/>
  <c r="C655" i="3"/>
  <c r="D655" i="3" s="1"/>
  <c r="C1266" i="3"/>
  <c r="D1266" i="3" s="1"/>
  <c r="C171" i="3"/>
  <c r="C681" i="3"/>
  <c r="C423" i="3"/>
  <c r="D423" i="3" s="1"/>
  <c r="B916" i="3"/>
  <c r="C792" i="3"/>
  <c r="E792" i="3" s="1"/>
  <c r="B184" i="3"/>
  <c r="C781" i="3"/>
  <c r="E781" i="3" s="1"/>
  <c r="B781" i="3"/>
  <c r="B1293" i="3"/>
  <c r="B362" i="3"/>
  <c r="C523" i="3"/>
  <c r="C321" i="3"/>
  <c r="E321" i="3" s="1"/>
  <c r="B869" i="3"/>
  <c r="C905" i="3"/>
  <c r="C1358" i="3"/>
  <c r="C771" i="3"/>
  <c r="C1185" i="3"/>
  <c r="C580" i="3"/>
  <c r="D580" i="3" s="1"/>
  <c r="B338" i="3"/>
  <c r="B275" i="3"/>
  <c r="B94" i="3"/>
  <c r="C924" i="3"/>
  <c r="C346" i="3"/>
  <c r="E346" i="3" s="1"/>
  <c r="C886" i="3"/>
  <c r="D886" i="3" s="1"/>
  <c r="C310" i="3"/>
  <c r="C940" i="3"/>
  <c r="E940" i="3" s="1"/>
  <c r="B818" i="3"/>
  <c r="C826" i="3"/>
  <c r="E826" i="3" s="1"/>
  <c r="C963" i="3"/>
  <c r="E963" i="3" s="1"/>
  <c r="C698" i="3"/>
  <c r="E698" i="3" s="1"/>
  <c r="B482" i="3"/>
  <c r="B857" i="3"/>
  <c r="B951" i="3"/>
  <c r="C477" i="3"/>
  <c r="D477" i="3" s="1"/>
  <c r="B766" i="3"/>
  <c r="C180" i="3"/>
  <c r="B111" i="3"/>
  <c r="C1314" i="3"/>
  <c r="E1314" i="3" s="1"/>
  <c r="B1342" i="3"/>
  <c r="C1209" i="3"/>
  <c r="D1209" i="3" s="1"/>
  <c r="B137" i="3"/>
  <c r="C238" i="3"/>
  <c r="E238" i="3" s="1"/>
  <c r="C742" i="3"/>
  <c r="E742" i="3" s="1"/>
  <c r="C966" i="3"/>
  <c r="E966" i="3" s="1"/>
  <c r="C1344" i="3"/>
  <c r="E1344" i="3" s="1"/>
  <c r="B758" i="3"/>
  <c r="C1240" i="3"/>
  <c r="D1240" i="3" s="1"/>
  <c r="C293" i="3"/>
  <c r="D293" i="3" s="1"/>
  <c r="B820" i="3"/>
  <c r="B980" i="3"/>
  <c r="B423" i="3"/>
  <c r="B785" i="3"/>
  <c r="C1092" i="3"/>
  <c r="E1092" i="3" s="1"/>
  <c r="C455" i="3"/>
  <c r="C577" i="3"/>
  <c r="C1337" i="3"/>
  <c r="C289" i="3"/>
  <c r="B1366" i="3"/>
  <c r="C890" i="3"/>
  <c r="D890" i="3" s="1"/>
  <c r="C665" i="3"/>
  <c r="E665" i="3" s="1"/>
  <c r="B1285" i="3"/>
  <c r="C1273" i="3"/>
  <c r="C294" i="3"/>
  <c r="E294" i="3" s="1"/>
  <c r="C1390" i="3"/>
  <c r="E1390" i="3" s="1"/>
  <c r="B906" i="3"/>
  <c r="C298" i="3"/>
  <c r="E298" i="3" s="1"/>
  <c r="C167" i="3"/>
  <c r="E167" i="3" s="1"/>
  <c r="C751" i="3"/>
  <c r="E751" i="3" s="1"/>
  <c r="C814" i="3"/>
  <c r="D814" i="3" s="1"/>
  <c r="C1375" i="3"/>
  <c r="B1031" i="3"/>
  <c r="C161" i="3"/>
  <c r="E161" i="3" s="1"/>
  <c r="B1184" i="3"/>
  <c r="C856" i="3"/>
  <c r="B412" i="3"/>
  <c r="B604" i="3"/>
  <c r="B1212" i="3"/>
  <c r="C1336" i="3"/>
  <c r="E1336" i="3" s="1"/>
  <c r="C1004" i="3"/>
  <c r="D1004" i="3" s="1"/>
  <c r="C1310" i="3"/>
  <c r="D1310" i="3" s="1"/>
  <c r="C1041" i="3"/>
  <c r="E1041" i="3" s="1"/>
  <c r="C318" i="3"/>
  <c r="D318" i="3" s="1"/>
  <c r="B301" i="3"/>
  <c r="B1141" i="3"/>
  <c r="C36" i="3"/>
  <c r="B1383" i="3"/>
  <c r="B283" i="3"/>
  <c r="B99" i="3"/>
  <c r="C444" i="3"/>
  <c r="B255" i="3"/>
  <c r="C1330" i="3"/>
  <c r="B1058" i="3"/>
  <c r="B741" i="3"/>
  <c r="C641" i="3"/>
  <c r="B1273" i="3"/>
  <c r="C514" i="3"/>
  <c r="B540" i="3"/>
  <c r="B297" i="3"/>
  <c r="B784" i="3"/>
  <c r="B230" i="3"/>
  <c r="C35" i="3"/>
  <c r="E35" i="3" s="1"/>
  <c r="B629" i="3"/>
  <c r="B806" i="3"/>
  <c r="B22" i="3"/>
  <c r="B124" i="3"/>
  <c r="B106" i="3"/>
  <c r="C483" i="3"/>
  <c r="E483" i="3" s="1"/>
  <c r="C657" i="3"/>
  <c r="B882" i="3"/>
  <c r="B42" i="3"/>
  <c r="C1060" i="3"/>
  <c r="D1060" i="3" s="1"/>
  <c r="C367" i="3"/>
  <c r="C821" i="3"/>
  <c r="B316" i="3"/>
  <c r="B957" i="3"/>
  <c r="C1102" i="3"/>
  <c r="B421" i="3"/>
  <c r="C799" i="3"/>
  <c r="D799" i="3" s="1"/>
  <c r="B1286" i="3"/>
  <c r="B432" i="3"/>
  <c r="C716" i="3"/>
  <c r="C540" i="3"/>
  <c r="D540" i="3" s="1"/>
  <c r="C848" i="3"/>
  <c r="E848" i="3" s="1"/>
  <c r="C829" i="3"/>
  <c r="C1120" i="3"/>
  <c r="D1120" i="3" s="1"/>
  <c r="C237" i="3"/>
  <c r="E237" i="3" s="1"/>
  <c r="B110" i="3"/>
  <c r="B380" i="3"/>
  <c r="C243" i="3"/>
  <c r="E243" i="3" s="1"/>
  <c r="B709" i="3"/>
  <c r="C8" i="3"/>
  <c r="C833" i="3"/>
  <c r="E833" i="3" s="1"/>
  <c r="C610" i="3"/>
  <c r="D610" i="3" s="1"/>
  <c r="B710" i="3"/>
  <c r="C231" i="3"/>
  <c r="C150" i="3"/>
  <c r="D150" i="3" s="1"/>
  <c r="C926" i="3"/>
  <c r="C225" i="3"/>
  <c r="C931" i="3"/>
  <c r="E931" i="3" s="1"/>
  <c r="C1248" i="3"/>
  <c r="E1248" i="3" s="1"/>
  <c r="C620" i="3"/>
  <c r="E620" i="3" s="1"/>
  <c r="C935" i="3"/>
  <c r="C784" i="3"/>
  <c r="E784" i="3" s="1"/>
  <c r="C254" i="3"/>
  <c r="E254" i="3" s="1"/>
  <c r="C820" i="3"/>
  <c r="B119" i="3"/>
  <c r="C492" i="3"/>
  <c r="E492" i="3" s="1"/>
  <c r="C429" i="3"/>
  <c r="E429" i="3" s="1"/>
  <c r="C544" i="3"/>
  <c r="D544" i="3" s="1"/>
  <c r="C473" i="3"/>
  <c r="C880" i="3"/>
  <c r="C922" i="3"/>
  <c r="E922" i="3" s="1"/>
  <c r="C1114" i="3"/>
  <c r="C566" i="3"/>
  <c r="C1074" i="3"/>
  <c r="C849" i="3"/>
  <c r="B92" i="3"/>
  <c r="B345" i="3"/>
  <c r="B873" i="3"/>
  <c r="B926" i="3"/>
  <c r="B646" i="3"/>
  <c r="B358" i="3"/>
  <c r="C502" i="3"/>
  <c r="D502" i="3" s="1"/>
  <c r="B1104" i="3"/>
  <c r="C1385" i="3"/>
  <c r="D1385" i="3" s="1"/>
  <c r="B131" i="3"/>
  <c r="C16" i="3"/>
  <c r="E16" i="3" s="1"/>
  <c r="C24" i="3"/>
  <c r="D24" i="3" s="1"/>
  <c r="C876" i="3"/>
  <c r="D876" i="3" s="1"/>
  <c r="C871" i="3"/>
  <c r="C3" i="3"/>
  <c r="C912" i="3"/>
  <c r="C62" i="3"/>
  <c r="B981" i="3"/>
  <c r="B1214" i="3"/>
  <c r="C137" i="3"/>
  <c r="C246" i="3"/>
  <c r="B905" i="3"/>
  <c r="C69" i="3"/>
  <c r="D69" i="3" s="1"/>
  <c r="C63" i="3"/>
  <c r="D63" i="3" s="1"/>
  <c r="C875" i="3"/>
  <c r="E875" i="3" s="1"/>
  <c r="B1081" i="3"/>
  <c r="B653" i="3"/>
  <c r="C287" i="3"/>
  <c r="C381" i="3"/>
  <c r="D381" i="3" s="1"/>
  <c r="B566" i="3"/>
  <c r="C965" i="3"/>
  <c r="D965" i="3" s="1"/>
  <c r="B1198" i="3"/>
  <c r="C469" i="3"/>
  <c r="D469" i="3" s="1"/>
  <c r="B134" i="3"/>
  <c r="C1194" i="3"/>
  <c r="B591" i="3"/>
  <c r="C864" i="3"/>
  <c r="D864" i="3" s="1"/>
  <c r="C376" i="3"/>
  <c r="C418" i="3"/>
  <c r="C1076" i="3"/>
  <c r="D1076" i="3" s="1"/>
  <c r="C919" i="3"/>
  <c r="B485" i="3"/>
  <c r="C1011" i="3"/>
  <c r="E1011" i="3" s="1"/>
  <c r="C459" i="3"/>
  <c r="E459" i="3" s="1"/>
  <c r="B259" i="3"/>
  <c r="B1321" i="3"/>
  <c r="C972" i="3"/>
  <c r="D972" i="3" s="1"/>
  <c r="B1351" i="3"/>
  <c r="C515" i="3"/>
  <c r="D515" i="3" s="1"/>
  <c r="C1250" i="3"/>
  <c r="E1250" i="3" s="1"/>
  <c r="C1320" i="3"/>
  <c r="D1320" i="3" s="1"/>
  <c r="B1197" i="3"/>
  <c r="B51" i="3"/>
  <c r="C526" i="3"/>
  <c r="B798" i="3"/>
  <c r="B15" i="3"/>
  <c r="B1345" i="3"/>
  <c r="C485" i="3"/>
  <c r="B949" i="3"/>
  <c r="B351" i="3"/>
  <c r="B878" i="3"/>
  <c r="C49" i="3"/>
  <c r="D49" i="3" s="1"/>
  <c r="C75" i="3"/>
  <c r="E75" i="3" s="1"/>
  <c r="B43" i="3"/>
  <c r="C1280" i="3"/>
  <c r="D1280" i="3" s="1"/>
  <c r="B413" i="3"/>
  <c r="B1105" i="3"/>
  <c r="B729" i="3"/>
  <c r="B1332" i="3"/>
  <c r="C25" i="3"/>
  <c r="E25" i="3" s="1"/>
  <c r="B302" i="3"/>
  <c r="B637" i="3"/>
  <c r="B148" i="3"/>
  <c r="B1254" i="3"/>
  <c r="B162" i="3"/>
  <c r="B1211" i="3"/>
  <c r="C230" i="3"/>
  <c r="B460" i="3"/>
  <c r="B1107" i="3"/>
  <c r="B47" i="3"/>
  <c r="C438" i="3"/>
  <c r="B180" i="3"/>
  <c r="B381" i="3"/>
  <c r="B91" i="3"/>
  <c r="B45" i="3"/>
  <c r="C387" i="3"/>
  <c r="B501" i="3"/>
  <c r="C1332" i="3"/>
  <c r="E1332" i="3" s="1"/>
  <c r="B811" i="3"/>
  <c r="B435" i="3"/>
  <c r="C651" i="3"/>
  <c r="E651" i="3" s="1"/>
  <c r="C1100" i="3"/>
  <c r="E1100" i="3" s="1"/>
  <c r="C1343" i="3"/>
  <c r="E1343" i="3" s="1"/>
  <c r="C1123" i="3"/>
  <c r="B715" i="3"/>
  <c r="B244" i="3"/>
  <c r="C1016" i="3"/>
  <c r="C61" i="3"/>
  <c r="E61" i="3" s="1"/>
  <c r="B475" i="3"/>
  <c r="C1295" i="3"/>
  <c r="B215" i="3"/>
  <c r="B723" i="3"/>
  <c r="B636" i="3"/>
  <c r="C891" i="3"/>
  <c r="D891" i="3" s="1"/>
  <c r="C1354" i="3"/>
  <c r="E1354" i="3" s="1"/>
  <c r="B445" i="3"/>
  <c r="B1231" i="3"/>
  <c r="B805" i="3"/>
  <c r="B772" i="3"/>
  <c r="B816" i="3"/>
  <c r="B1356" i="3"/>
  <c r="B1091" i="3"/>
  <c r="C194" i="3"/>
  <c r="D194" i="3" s="1"/>
  <c r="B562" i="3"/>
  <c r="C1061" i="3"/>
  <c r="C1078" i="3"/>
  <c r="D1078" i="3" s="1"/>
  <c r="B101" i="3"/>
  <c r="B587" i="3"/>
  <c r="B1205" i="3"/>
  <c r="B26" i="3"/>
  <c r="C1047" i="3"/>
  <c r="B490" i="3"/>
  <c r="B667" i="3"/>
  <c r="C683" i="3"/>
  <c r="E683" i="3" s="1"/>
  <c r="B670" i="3"/>
  <c r="C693" i="3"/>
  <c r="E693" i="3" s="1"/>
  <c r="B1157" i="3"/>
  <c r="C735" i="3"/>
  <c r="C1296" i="3"/>
  <c r="E1296" i="3" s="1"/>
  <c r="C97" i="3"/>
  <c r="C791" i="3"/>
  <c r="E791" i="3" s="1"/>
  <c r="C1021" i="3"/>
  <c r="E1021" i="3" s="1"/>
  <c r="B85" i="3"/>
  <c r="C700" i="3"/>
  <c r="C1081" i="3"/>
  <c r="B835" i="3"/>
  <c r="C366" i="3"/>
  <c r="C191" i="3"/>
  <c r="B726" i="3"/>
  <c r="B343" i="3"/>
  <c r="C471" i="3"/>
  <c r="B918" i="3"/>
  <c r="C445" i="3"/>
  <c r="E445" i="3" s="1"/>
  <c r="B728" i="3"/>
  <c r="C1311" i="3"/>
  <c r="E1311" i="3" s="1"/>
  <c r="C20" i="3"/>
  <c r="E20" i="3" s="1"/>
  <c r="B166" i="3"/>
  <c r="C111" i="3"/>
  <c r="C313" i="3"/>
  <c r="E313" i="3" s="1"/>
  <c r="C608" i="3"/>
  <c r="E608" i="3" s="1"/>
  <c r="C661" i="3"/>
  <c r="E661" i="3" s="1"/>
  <c r="C1257" i="3"/>
  <c r="D1257" i="3" s="1"/>
  <c r="C34" i="3"/>
  <c r="E34" i="3" s="1"/>
  <c r="C581" i="3"/>
  <c r="C1283" i="3"/>
  <c r="E1283" i="3" s="1"/>
  <c r="C760" i="3"/>
  <c r="B1177" i="3"/>
  <c r="C1324" i="3"/>
  <c r="C635" i="3"/>
  <c r="B654" i="3"/>
  <c r="C737" i="3"/>
  <c r="E737" i="3" s="1"/>
  <c r="C1139" i="3"/>
  <c r="D1139" i="3" s="1"/>
  <c r="B1008" i="3"/>
  <c r="B1246" i="3"/>
  <c r="C384" i="3"/>
  <c r="E384" i="3" s="1"/>
  <c r="B594" i="3"/>
  <c r="C868" i="3"/>
  <c r="E868" i="3" s="1"/>
  <c r="C353" i="3"/>
  <c r="E353" i="3" s="1"/>
  <c r="C479" i="3"/>
  <c r="E479" i="3" s="1"/>
  <c r="B1043" i="3"/>
  <c r="B1187" i="3"/>
  <c r="B120" i="3"/>
  <c r="B395" i="3"/>
  <c r="C145" i="3"/>
  <c r="D145" i="3" s="1"/>
  <c r="B1204" i="3"/>
  <c r="B1233" i="3"/>
  <c r="B52" i="1"/>
  <c r="B1381" i="3"/>
  <c r="C1133" i="3"/>
  <c r="C1362" i="3"/>
  <c r="C759" i="3"/>
  <c r="C1048" i="3"/>
  <c r="D1048" i="3" s="1"/>
  <c r="B473" i="3"/>
  <c r="B532" i="3"/>
  <c r="B1160" i="3"/>
  <c r="C701" i="3"/>
  <c r="D701" i="3" s="1"/>
  <c r="B1194" i="3"/>
  <c r="C517" i="3"/>
  <c r="B1243" i="3"/>
  <c r="B1000" i="3"/>
  <c r="B727" i="3"/>
  <c r="B93" i="3"/>
  <c r="C738" i="3"/>
  <c r="B243" i="3"/>
  <c r="B620" i="3"/>
  <c r="B498" i="3"/>
  <c r="B542" i="3"/>
  <c r="B1079" i="3"/>
  <c r="B1012" i="3"/>
  <c r="B890" i="3"/>
  <c r="C846" i="3"/>
  <c r="B1200" i="3"/>
  <c r="B767" i="3"/>
  <c r="B1312" i="3"/>
  <c r="B7" i="3"/>
  <c r="B417" i="3"/>
  <c r="C858" i="3"/>
  <c r="E858" i="3" s="1"/>
  <c r="B1326" i="3"/>
  <c r="B292" i="3"/>
  <c r="C1164" i="3"/>
  <c r="E1164" i="3" s="1"/>
  <c r="B1144" i="3"/>
  <c r="B593" i="3"/>
  <c r="C474" i="3"/>
  <c r="E474" i="3" s="1"/>
  <c r="C1210" i="3"/>
  <c r="C600" i="3"/>
  <c r="B698" i="3"/>
  <c r="B448" i="3"/>
  <c r="C1241" i="3"/>
  <c r="C1056" i="3"/>
  <c r="B879" i="3"/>
  <c r="C764" i="3"/>
  <c r="B645" i="3"/>
  <c r="B481" i="3"/>
  <c r="C399" i="3"/>
  <c r="D399" i="3" s="1"/>
  <c r="C361" i="3"/>
  <c r="E361" i="3" s="1"/>
  <c r="C169" i="3"/>
  <c r="E169" i="3" s="1"/>
  <c r="B10" i="3"/>
  <c r="B1238" i="3"/>
  <c r="B611" i="3"/>
  <c r="B1224" i="3"/>
  <c r="B41" i="3"/>
  <c r="B1014" i="3"/>
  <c r="B14" i="3"/>
  <c r="B239" i="3"/>
  <c r="B1151" i="3"/>
  <c r="B782" i="3"/>
  <c r="B602" i="3"/>
  <c r="B1227" i="3"/>
  <c r="B1359" i="3"/>
  <c r="C1252" i="3"/>
  <c r="B899" i="3"/>
  <c r="C702" i="3"/>
  <c r="E702" i="3" s="1"/>
  <c r="B643" i="3"/>
  <c r="B1262" i="3"/>
  <c r="B1033" i="3"/>
  <c r="B1346" i="3"/>
  <c r="B779" i="3"/>
  <c r="C509" i="3"/>
  <c r="E509" i="3" s="1"/>
  <c r="B126" i="3"/>
  <c r="C1318" i="3"/>
  <c r="E1318" i="3" s="1"/>
  <c r="B531" i="3"/>
  <c r="C26" i="3"/>
  <c r="E26" i="3" s="1"/>
  <c r="C221" i="3"/>
  <c r="D221" i="3" s="1"/>
  <c r="C21" i="3"/>
  <c r="B1210" i="3"/>
  <c r="C391" i="3"/>
  <c r="B183" i="3"/>
  <c r="B932" i="3"/>
  <c r="C531" i="3"/>
  <c r="B1176" i="3"/>
  <c r="B1004" i="3"/>
  <c r="C496" i="3"/>
  <c r="B917" i="3"/>
  <c r="C682" i="3"/>
  <c r="E682" i="3" s="1"/>
  <c r="B1373" i="3"/>
  <c r="C1134" i="3"/>
  <c r="D1134" i="3" s="1"/>
  <c r="C217" i="3"/>
  <c r="D217" i="3" s="1"/>
  <c r="B948" i="3"/>
  <c r="C206" i="3"/>
  <c r="E206" i="3" s="1"/>
  <c r="B1062" i="3"/>
  <c r="C102" i="3"/>
  <c r="E102" i="3" s="1"/>
  <c r="B1138" i="3"/>
  <c r="B312" i="3"/>
  <c r="C437" i="3"/>
  <c r="C998" i="3"/>
  <c r="B898" i="3"/>
  <c r="B941" i="3"/>
  <c r="B429" i="3"/>
  <c r="B826" i="3"/>
  <c r="C678" i="3"/>
  <c r="B824" i="3"/>
  <c r="B1267" i="3"/>
  <c r="B832" i="3"/>
  <c r="C404" i="3"/>
  <c r="E404" i="3" s="1"/>
  <c r="B103" i="3"/>
  <c r="B346" i="3"/>
  <c r="B20" i="3"/>
  <c r="B1362" i="3"/>
  <c r="B733" i="3"/>
  <c r="B1322" i="3"/>
  <c r="B1370" i="3"/>
  <c r="B5" i="3"/>
  <c r="C773" i="3"/>
  <c r="E773" i="3" s="1"/>
  <c r="B974" i="3"/>
  <c r="B1217" i="3"/>
  <c r="B846" i="3"/>
  <c r="C944" i="3"/>
  <c r="E944" i="3" s="1"/>
  <c r="C253" i="3"/>
  <c r="B849" i="3"/>
  <c r="B207" i="3"/>
  <c r="B151" i="3"/>
  <c r="B1083" i="3"/>
  <c r="C343" i="3"/>
  <c r="D343" i="3" s="1"/>
  <c r="C1014" i="3"/>
  <c r="E1014" i="3" s="1"/>
  <c r="B1167" i="3"/>
  <c r="B861" i="3"/>
  <c r="C1037" i="3"/>
  <c r="E1037" i="3" s="1"/>
  <c r="B428" i="3"/>
  <c r="B225" i="3"/>
  <c r="B935" i="3"/>
  <c r="B434" i="3"/>
  <c r="B272" i="3"/>
  <c r="B341" i="3"/>
  <c r="B75" i="3"/>
  <c r="B456" i="3"/>
  <c r="C17" i="3"/>
  <c r="D17" i="3" s="1"/>
  <c r="B705" i="3"/>
  <c r="B396" i="3"/>
  <c r="B48" i="3"/>
  <c r="B135" i="3"/>
  <c r="B712" i="3"/>
  <c r="B376" i="3"/>
  <c r="C73" i="3"/>
  <c r="E73" i="3" s="1"/>
  <c r="B664" i="3"/>
  <c r="B910" i="3"/>
  <c r="C1005" i="3"/>
  <c r="E1005" i="3" s="1"/>
  <c r="C557" i="3"/>
  <c r="D557" i="3" s="1"/>
  <c r="B1161" i="3"/>
  <c r="B333" i="3"/>
  <c r="B327" i="3"/>
  <c r="C990" i="3"/>
  <c r="E990" i="3" s="1"/>
  <c r="C869" i="3"/>
  <c r="E869" i="3" s="1"/>
  <c r="B160" i="3"/>
  <c r="B513" i="3"/>
  <c r="C1017" i="3"/>
  <c r="E1017" i="3" s="1"/>
  <c r="B559" i="3"/>
  <c r="B1032" i="3"/>
  <c r="B538" i="3"/>
  <c r="B1390" i="3"/>
  <c r="B924" i="3"/>
  <c r="B314" i="3"/>
  <c r="B973" i="3"/>
  <c r="B284" i="3"/>
  <c r="C1220" i="3"/>
  <c r="D1220" i="3" s="1"/>
  <c r="B657" i="3"/>
  <c r="B1252" i="3"/>
  <c r="B934" i="3"/>
  <c r="C414" i="3"/>
  <c r="B1150" i="3"/>
  <c r="B1155" i="3"/>
  <c r="B996" i="3"/>
  <c r="B668" i="3"/>
  <c r="B1270" i="3"/>
  <c r="C794" i="3"/>
  <c r="B1317" i="3"/>
  <c r="C337" i="3"/>
  <c r="E337" i="3" s="1"/>
  <c r="B1041" i="3"/>
  <c r="B761" i="3"/>
  <c r="C1335" i="3"/>
  <c r="C109" i="3"/>
  <c r="C363" i="3"/>
  <c r="E363" i="3" s="1"/>
  <c r="C1315" i="3"/>
  <c r="E1315" i="3" s="1"/>
  <c r="C283" i="3"/>
  <c r="D283" i="3" s="1"/>
  <c r="C1262" i="3"/>
  <c r="D1262" i="3" s="1"/>
  <c r="C587" i="3"/>
  <c r="D587" i="3" s="1"/>
  <c r="C179" i="3"/>
  <c r="E179" i="3" s="1"/>
  <c r="C861" i="3"/>
  <c r="E861" i="3" s="1"/>
  <c r="B807" i="3"/>
  <c r="C1391" i="3"/>
  <c r="B663" i="3"/>
  <c r="C378" i="3"/>
  <c r="D378" i="3" s="1"/>
  <c r="C323" i="3"/>
  <c r="C1022" i="3"/>
  <c r="D1022" i="3" s="1"/>
  <c r="B817" i="3"/>
  <c r="B1357" i="3"/>
  <c r="C1299" i="3"/>
  <c r="C270" i="3"/>
  <c r="B96" i="3"/>
  <c r="C925" i="3"/>
  <c r="C497" i="3"/>
  <c r="B276" i="3"/>
  <c r="B683" i="3"/>
  <c r="C1277" i="3"/>
  <c r="B451" i="3"/>
  <c r="C101" i="3"/>
  <c r="D101" i="3" s="1"/>
  <c r="B270" i="3"/>
  <c r="C904" i="3"/>
  <c r="E904" i="3" s="1"/>
  <c r="C163" i="3"/>
  <c r="C626" i="3"/>
  <c r="E626" i="3" s="1"/>
  <c r="B319" i="3"/>
  <c r="B743" i="3"/>
  <c r="B801" i="3"/>
  <c r="B1283" i="3"/>
  <c r="C476" i="3"/>
  <c r="C449" i="3"/>
  <c r="E449" i="3" s="1"/>
  <c r="C1361" i="3"/>
  <c r="B310" i="3"/>
  <c r="B44" i="3"/>
  <c r="B152" i="3"/>
  <c r="C643" i="3"/>
  <c r="B651" i="3"/>
  <c r="C625" i="3"/>
  <c r="E625" i="3" s="1"/>
  <c r="C915" i="3"/>
  <c r="E915" i="3" s="1"/>
  <c r="C398" i="3"/>
  <c r="D398" i="3" s="1"/>
  <c r="C1270" i="3"/>
  <c r="E1270" i="3" s="1"/>
  <c r="C144" i="3"/>
  <c r="D144" i="3" s="1"/>
  <c r="B87" i="3"/>
  <c r="B874" i="3"/>
  <c r="C297" i="3"/>
  <c r="D297" i="3" s="1"/>
  <c r="B84" i="3"/>
  <c r="C1379" i="3"/>
  <c r="D1379" i="3" s="1"/>
  <c r="C245" i="3"/>
  <c r="E245" i="3" s="1"/>
  <c r="B760" i="3"/>
  <c r="B118" i="3"/>
  <c r="B305" i="3"/>
  <c r="C18" i="3"/>
  <c r="B961" i="3"/>
  <c r="C350" i="3"/>
  <c r="E350" i="3" s="1"/>
  <c r="C1309" i="3"/>
  <c r="B136" i="3"/>
  <c r="C824" i="3"/>
  <c r="E824" i="3" s="1"/>
  <c r="B185" i="3"/>
  <c r="B200" i="3"/>
  <c r="C417" i="3"/>
  <c r="E417" i="3" s="1"/>
  <c r="B1336" i="3"/>
  <c r="C962" i="3"/>
  <c r="D962" i="3" s="1"/>
  <c r="B599" i="3"/>
  <c r="B277" i="3"/>
  <c r="C505" i="3"/>
  <c r="E505" i="3" s="1"/>
  <c r="B1388" i="3"/>
  <c r="C604" i="3"/>
  <c r="E604" i="3" s="1"/>
  <c r="B399" i="3"/>
  <c r="B1376" i="3"/>
  <c r="C216" i="3"/>
  <c r="C862" i="3"/>
  <c r="B1277" i="3"/>
  <c r="B1020" i="3"/>
  <c r="B777" i="3"/>
  <c r="B1035" i="3"/>
  <c r="B1187" i="1"/>
  <c r="B246" i="3"/>
  <c r="B95" i="3"/>
  <c r="B1026" i="3"/>
  <c r="B254" i="3"/>
  <c r="B507" i="3"/>
  <c r="B81" i="3"/>
  <c r="C679" i="3"/>
  <c r="D679" i="3" s="1"/>
  <c r="C66" i="3"/>
  <c r="B901" i="3"/>
  <c r="B597" i="3"/>
  <c r="B300" i="3"/>
  <c r="C1007" i="3"/>
  <c r="E1007" i="3" s="1"/>
  <c r="C744" i="3"/>
  <c r="E744" i="3" s="1"/>
  <c r="B526" i="3"/>
  <c r="B685" i="3"/>
  <c r="B202" i="3"/>
  <c r="B311" i="3"/>
  <c r="B783" i="3"/>
  <c r="C224" i="3"/>
  <c r="B708" i="3"/>
  <c r="B73" i="3"/>
  <c r="B441" i="3"/>
  <c r="C478" i="3"/>
  <c r="D478" i="3" s="1"/>
  <c r="B431" i="3"/>
  <c r="B304" i="3"/>
  <c r="C1346" i="3"/>
  <c r="B130" i="3"/>
  <c r="B1092" i="3"/>
  <c r="B455" i="3"/>
  <c r="B38" i="3"/>
  <c r="C1146" i="3"/>
  <c r="D1146" i="3" s="1"/>
  <c r="B929" i="3"/>
  <c r="B339" i="3"/>
  <c r="B55" i="3"/>
  <c r="C790" i="3"/>
  <c r="B1149" i="3"/>
  <c r="C836" i="3"/>
  <c r="E836" i="3" s="1"/>
  <c r="C788" i="3"/>
  <c r="B804" i="3"/>
  <c r="B1165" i="3"/>
  <c r="B615" i="3"/>
  <c r="B378" i="3"/>
  <c r="B834" i="3"/>
  <c r="C561" i="3"/>
  <c r="D561" i="3" s="1"/>
  <c r="B1110" i="3"/>
  <c r="B139" i="3"/>
  <c r="B1073" i="3"/>
  <c r="C575" i="3"/>
  <c r="E575" i="3" s="1"/>
  <c r="C147" i="3"/>
  <c r="E147" i="3" s="1"/>
  <c r="C1355" i="3"/>
  <c r="D1355" i="3" s="1"/>
  <c r="B744" i="3"/>
  <c r="B950" i="3"/>
  <c r="B82" i="3"/>
  <c r="B1169" i="3"/>
  <c r="B21" i="3"/>
  <c r="C757" i="3"/>
  <c r="D757" i="3" s="1"/>
  <c r="B872" i="3"/>
  <c r="B999" i="3"/>
  <c r="B578" i="3"/>
  <c r="B307" i="3"/>
  <c r="B1367" i="3"/>
  <c r="C927" i="3"/>
  <c r="E927" i="3" s="1"/>
  <c r="B322" i="3"/>
  <c r="C1191" i="3"/>
  <c r="B74" i="3"/>
  <c r="B1006" i="3"/>
  <c r="B385" i="3"/>
  <c r="C1372" i="3"/>
  <c r="B265" i="3"/>
  <c r="B1329" i="3"/>
  <c r="B401" i="3"/>
  <c r="B1089" i="3"/>
  <c r="B280" i="3"/>
  <c r="C543" i="3"/>
  <c r="C1349" i="3"/>
  <c r="B290" i="3"/>
  <c r="C1085" i="3"/>
  <c r="B459" i="3"/>
  <c r="B208" i="3"/>
  <c r="B1098" i="3"/>
  <c r="C432" i="3"/>
  <c r="B660" i="3"/>
  <c r="B496" i="3"/>
  <c r="B454" i="3"/>
  <c r="B1159" i="3"/>
  <c r="B1278" i="3"/>
  <c r="C832" i="3"/>
  <c r="D832" i="3" s="1"/>
  <c r="B586" i="3"/>
  <c r="C565" i="3"/>
  <c r="B249" i="3"/>
  <c r="B1171" i="3"/>
  <c r="B161" i="3"/>
  <c r="C652" i="3"/>
  <c r="D652" i="3" s="1"/>
  <c r="B745" i="3"/>
  <c r="C704" i="3"/>
  <c r="D704" i="3" s="1"/>
  <c r="B634" i="3"/>
  <c r="B155" i="3"/>
  <c r="B554" i="3"/>
  <c r="B384" i="3"/>
  <c r="B1154" i="3"/>
  <c r="C979" i="3"/>
  <c r="B390" i="3"/>
  <c r="C448" i="3"/>
  <c r="E448" i="3" s="1"/>
  <c r="B1306" i="3"/>
  <c r="C1339" i="3"/>
  <c r="E1339" i="3" s="1"/>
  <c r="C1187" i="3"/>
  <c r="E1187" i="3" s="1"/>
  <c r="C311" i="3"/>
  <c r="E311" i="3" s="1"/>
  <c r="B1253" i="3"/>
  <c r="B837" i="3"/>
  <c r="C248" i="3"/>
  <c r="E248" i="3" s="1"/>
  <c r="B266" i="3"/>
  <c r="B410" i="3"/>
  <c r="B1164" i="3"/>
  <c r="C1180" i="3"/>
  <c r="D1180" i="3" s="1"/>
  <c r="C451" i="3"/>
  <c r="D451" i="3" s="1"/>
  <c r="B127" i="3"/>
  <c r="B954" i="3"/>
  <c r="B1022" i="3"/>
  <c r="C756" i="3"/>
  <c r="C640" i="3"/>
  <c r="C1043" i="3"/>
  <c r="B398" i="3"/>
  <c r="C1214" i="3"/>
  <c r="D1214" i="3" s="1"/>
  <c r="C77" i="3"/>
  <c r="D77" i="3" s="1"/>
  <c r="B1147" i="3"/>
  <c r="B253" i="3"/>
  <c r="B1087" i="3"/>
  <c r="C617" i="3"/>
  <c r="C72" i="3"/>
  <c r="E72" i="3" s="1"/>
  <c r="C379" i="3"/>
  <c r="E379" i="3" s="1"/>
  <c r="C1274" i="3"/>
  <c r="E1274" i="3" s="1"/>
  <c r="B105" i="3"/>
  <c r="C961" i="3"/>
  <c r="E961" i="3" s="1"/>
  <c r="C480" i="3"/>
  <c r="C333" i="3"/>
  <c r="B958" i="3"/>
  <c r="C374" i="3"/>
  <c r="C1301" i="3"/>
  <c r="C1298" i="3"/>
  <c r="C614" i="3"/>
  <c r="C816" i="3"/>
  <c r="B271" i="3"/>
  <c r="B821" i="3"/>
  <c r="C636" i="3"/>
  <c r="D636" i="3" s="1"/>
  <c r="C126" i="3"/>
  <c r="D126" i="3" s="1"/>
  <c r="C663" i="3"/>
  <c r="E663" i="3" s="1"/>
  <c r="B379" i="3"/>
  <c r="C778" i="3"/>
  <c r="E778" i="3" s="1"/>
  <c r="B802" i="3"/>
  <c r="C1104" i="3"/>
  <c r="E1104" i="3" s="1"/>
  <c r="C1067" i="3"/>
  <c r="E1067" i="3" s="1"/>
  <c r="C185" i="3"/>
  <c r="E185" i="3" s="1"/>
  <c r="B221" i="3"/>
  <c r="B88" i="3"/>
  <c r="B1360" i="3"/>
  <c r="C87" i="3"/>
  <c r="B404" i="3"/>
  <c r="C336" i="3"/>
  <c r="C269" i="3"/>
  <c r="C291" i="3"/>
  <c r="B1374" i="3"/>
  <c r="B610" i="3"/>
  <c r="B150" i="3"/>
  <c r="B171" i="3"/>
  <c r="B860" i="3"/>
  <c r="B1382" i="3"/>
  <c r="C1090" i="3"/>
  <c r="E1090" i="3" s="1"/>
  <c r="C770" i="3"/>
  <c r="D770" i="3" s="1"/>
  <c r="B1191" i="3"/>
  <c r="B997" i="3"/>
  <c r="B884" i="3"/>
  <c r="C433" i="3"/>
  <c r="E433" i="3" s="1"/>
  <c r="B555" i="3"/>
  <c r="C281" i="3"/>
  <c r="B1054" i="3"/>
  <c r="B167" i="3"/>
  <c r="B389" i="3"/>
  <c r="C872" i="3"/>
  <c r="D872" i="3" s="1"/>
  <c r="B450" i="3"/>
  <c r="B589" i="3"/>
  <c r="C834" i="3"/>
  <c r="C401" i="3"/>
  <c r="D401" i="3" s="1"/>
  <c r="C12" i="3"/>
  <c r="D12" i="3" s="1"/>
  <c r="C196" i="3"/>
  <c r="E196" i="3" s="1"/>
  <c r="B1163" i="3"/>
  <c r="B962" i="3"/>
  <c r="B1324" i="3"/>
  <c r="C576" i="3"/>
  <c r="C802" i="3"/>
  <c r="D802" i="3" s="1"/>
  <c r="B1281" i="3"/>
  <c r="B1158" i="3"/>
  <c r="B539" i="3"/>
  <c r="B262" i="3"/>
  <c r="B483" i="3"/>
  <c r="B268" i="3"/>
  <c r="B888" i="3"/>
  <c r="C396" i="3"/>
  <c r="E396" i="3" s="1"/>
  <c r="C803" i="3"/>
  <c r="B1007" i="3"/>
  <c r="B210" i="3"/>
  <c r="B797" i="3"/>
  <c r="C330" i="3"/>
  <c r="E330" i="3" s="1"/>
  <c r="B1239" i="3"/>
  <c r="B810" i="3"/>
  <c r="B422" i="3"/>
  <c r="B1195" i="3"/>
  <c r="C41" i="3"/>
  <c r="E41" i="3" s="1"/>
  <c r="B725" i="3"/>
  <c r="B11" i="3"/>
  <c r="B690" i="3"/>
  <c r="B347" i="3"/>
  <c r="B411" i="3"/>
  <c r="C1002" i="3"/>
  <c r="D1002" i="3" s="1"/>
  <c r="C1110" i="3"/>
  <c r="B121" i="3"/>
  <c r="B694" i="3"/>
  <c r="B1320" i="3"/>
  <c r="C843" i="3"/>
  <c r="D843" i="3" s="1"/>
  <c r="B34" i="3"/>
  <c r="C525" i="3"/>
  <c r="E525" i="3" s="1"/>
  <c r="C658" i="3"/>
  <c r="E658" i="3" s="1"/>
  <c r="C986" i="3"/>
  <c r="E986" i="3" s="1"/>
  <c r="C1131" i="3"/>
  <c r="E1131" i="3" s="1"/>
  <c r="B1201" i="3"/>
  <c r="C1264" i="3"/>
  <c r="D1264" i="3" s="1"/>
  <c r="B994" i="3"/>
  <c r="C123" i="3"/>
  <c r="D123" i="3" s="1"/>
  <c r="C308" i="3"/>
  <c r="E308" i="3" s="1"/>
  <c r="B714" i="3"/>
  <c r="C115" i="3"/>
  <c r="C928" i="3"/>
  <c r="E928" i="3" s="1"/>
  <c r="C859" i="3"/>
  <c r="E859" i="3" s="1"/>
  <c r="B36" i="3"/>
  <c r="C493" i="3"/>
  <c r="C303" i="3"/>
  <c r="E303" i="3" s="1"/>
  <c r="B1064" i="3"/>
  <c r="C1036" i="3"/>
  <c r="D1036" i="3" s="1"/>
  <c r="C677" i="3"/>
  <c r="B1066" i="3"/>
  <c r="B939" i="3"/>
  <c r="C870" i="3"/>
  <c r="C490" i="3"/>
  <c r="E490" i="3" s="1"/>
  <c r="B1364" i="3"/>
  <c r="B936" i="3"/>
  <c r="B734" i="3"/>
  <c r="B138" i="3"/>
  <c r="C1297" i="3"/>
  <c r="E1297" i="3" s="1"/>
  <c r="C151" i="3"/>
  <c r="B863" i="3"/>
  <c r="C857" i="3"/>
  <c r="E857" i="3" s="1"/>
  <c r="C706" i="3"/>
  <c r="E706" i="3" s="1"/>
  <c r="B1350" i="3"/>
  <c r="C1032" i="3"/>
  <c r="E1032" i="3" s="1"/>
  <c r="C393" i="3"/>
  <c r="C877" i="3"/>
  <c r="D877" i="3" s="1"/>
  <c r="B1172" i="3"/>
  <c r="C1087" i="3"/>
  <c r="E1087" i="3" s="1"/>
  <c r="C42" i="3"/>
  <c r="B770" i="3"/>
  <c r="C1203" i="3"/>
  <c r="B1003" i="3"/>
  <c r="C112" i="3"/>
  <c r="E112" i="3" s="1"/>
  <c r="B671" i="3"/>
  <c r="C33" i="3"/>
  <c r="D33" i="3" s="1"/>
  <c r="B510" i="3"/>
  <c r="B476" i="3"/>
  <c r="C1286" i="3"/>
  <c r="D1286" i="3" s="1"/>
  <c r="B231" i="3"/>
  <c r="C1162" i="3"/>
  <c r="E1162" i="3" s="1"/>
  <c r="B1145" i="3"/>
  <c r="B502" i="3"/>
  <c r="B392" i="3"/>
  <c r="B1309" i="3"/>
  <c r="C1359" i="3"/>
  <c r="C507" i="3"/>
  <c r="E507" i="3" s="1"/>
  <c r="B1106" i="3"/>
  <c r="C847" i="3"/>
  <c r="C1357" i="3"/>
  <c r="C1377" i="3"/>
  <c r="B1059" i="3"/>
  <c r="B1287" i="3"/>
  <c r="C1285" i="3"/>
  <c r="E1285" i="3" s="1"/>
  <c r="B13" i="3"/>
  <c r="C50" i="3"/>
  <c r="D50" i="3" s="1"/>
  <c r="C670" i="3"/>
  <c r="E670" i="3" s="1"/>
  <c r="B662" i="3"/>
  <c r="C1326" i="3"/>
  <c r="E1326" i="3" s="1"/>
  <c r="B461" i="3"/>
  <c r="C1024" i="3"/>
  <c r="E1024" i="3" s="1"/>
  <c r="B982" i="3"/>
  <c r="B1331" i="3"/>
  <c r="B31" i="3"/>
  <c r="B912" i="3"/>
  <c r="B182" i="3"/>
  <c r="C1382" i="3"/>
  <c r="D1382" i="3" s="1"/>
  <c r="B1369" i="3"/>
  <c r="C1371" i="3"/>
  <c r="E1371" i="3" s="1"/>
  <c r="B1349" i="3"/>
  <c r="C830" i="3"/>
  <c r="B1393" i="3"/>
  <c r="C909" i="3"/>
  <c r="C1316" i="3"/>
  <c r="B1363" i="3"/>
  <c r="B1142" i="3"/>
  <c r="C687" i="3"/>
  <c r="D687" i="3" s="1"/>
  <c r="B372" i="3"/>
  <c r="B1361" i="3"/>
  <c r="B1021" i="3"/>
  <c r="C38" i="3"/>
  <c r="E38" i="3" s="1"/>
  <c r="C1012" i="3"/>
  <c r="E1012" i="3" s="1"/>
  <c r="C711" i="3"/>
  <c r="E711" i="3" s="1"/>
  <c r="B285" i="3"/>
  <c r="B877" i="3"/>
  <c r="B1162" i="3"/>
  <c r="C331" i="3"/>
  <c r="D331" i="3" s="1"/>
  <c r="B299" i="3"/>
  <c r="B491" i="3"/>
  <c r="B903" i="3"/>
  <c r="B839" i="3"/>
  <c r="B768" i="3"/>
  <c r="B652" i="3"/>
  <c r="B1299" i="3"/>
  <c r="B1228" i="3"/>
  <c r="C319" i="3"/>
  <c r="E319" i="3" s="1"/>
  <c r="C324" i="3"/>
  <c r="E324" i="3" s="1"/>
  <c r="B123" i="3"/>
  <c r="B416" i="3"/>
  <c r="B1304" i="3"/>
  <c r="C1374" i="3"/>
  <c r="E1374" i="3" s="1"/>
  <c r="C153" i="3"/>
  <c r="D153" i="3" s="1"/>
  <c r="B1084" i="3"/>
  <c r="B1265" i="3"/>
  <c r="B612" i="3"/>
  <c r="C271" i="3"/>
  <c r="B64" i="3"/>
  <c r="C267" i="3"/>
  <c r="D267" i="3" s="1"/>
  <c r="B633" i="3"/>
  <c r="B328" i="3"/>
  <c r="B60" i="3"/>
  <c r="B624" i="3"/>
  <c r="B564" i="3"/>
  <c r="C1173" i="3"/>
  <c r="E1173" i="3" s="1"/>
  <c r="B1305" i="3"/>
  <c r="B1236" i="3"/>
  <c r="C530" i="3"/>
  <c r="E530" i="3" s="1"/>
  <c r="C529" i="3"/>
  <c r="D529" i="3" s="1"/>
  <c r="C783" i="3"/>
  <c r="E783" i="3" s="1"/>
  <c r="B1302" i="3"/>
  <c r="B875" i="3"/>
  <c r="C983" i="3"/>
  <c r="D983" i="3" s="1"/>
  <c r="B1307" i="3"/>
  <c r="B1335" i="3"/>
  <c r="C785" i="3"/>
  <c r="D785" i="3" s="1"/>
  <c r="C1259" i="3"/>
  <c r="C1145" i="3"/>
  <c r="E1145" i="3" s="1"/>
  <c r="B1378" i="3"/>
  <c r="B1078" i="3"/>
  <c r="B552" i="3"/>
  <c r="B584" i="3"/>
  <c r="C884" i="3"/>
  <c r="D884" i="3" s="1"/>
  <c r="B337" i="3"/>
  <c r="B1311" i="3"/>
  <c r="B1060" i="3"/>
  <c r="B870" i="3"/>
  <c r="B946" i="3"/>
  <c r="B269" i="3"/>
  <c r="B585" i="3"/>
  <c r="B699" i="3"/>
  <c r="B543" i="3"/>
  <c r="C538" i="3"/>
  <c r="D538" i="3" s="1"/>
  <c r="C272" i="3"/>
  <c r="E272" i="3" s="1"/>
  <c r="B1090" i="3"/>
  <c r="B223" i="3"/>
  <c r="B546" i="3"/>
  <c r="C27" i="3"/>
  <c r="B170" i="3"/>
  <c r="C763" i="3"/>
  <c r="E763" i="3" s="1"/>
  <c r="B1341" i="3"/>
  <c r="C140" i="3"/>
  <c r="C1381" i="3"/>
  <c r="D1381" i="3" s="1"/>
  <c r="B1100" i="3"/>
  <c r="C867" i="3"/>
  <c r="D867" i="3" s="1"/>
  <c r="C589" i="3"/>
  <c r="D589" i="3" s="1"/>
  <c r="B1181" i="3"/>
  <c r="C1313" i="3"/>
  <c r="E1313" i="3" s="1"/>
  <c r="C1068" i="3"/>
  <c r="E1068" i="3" s="1"/>
  <c r="B264" i="3"/>
  <c r="B976" i="3"/>
  <c r="C895" i="3"/>
  <c r="D895" i="3" s="1"/>
  <c r="B320" i="3"/>
  <c r="C813" i="3"/>
  <c r="E813" i="3" s="1"/>
  <c r="B464" i="3"/>
  <c r="C956" i="3"/>
  <c r="E956" i="3" s="1"/>
  <c r="C1226" i="3"/>
  <c r="C839" i="3"/>
  <c r="D839" i="3" s="1"/>
  <c r="B452" i="3"/>
  <c r="B606" i="3"/>
  <c r="C1217" i="3"/>
  <c r="C647" i="3"/>
  <c r="E647" i="3" s="1"/>
  <c r="C901" i="3"/>
  <c r="B336" i="3"/>
  <c r="C1086" i="3"/>
  <c r="D1086" i="3" s="1"/>
  <c r="B619" i="3"/>
  <c r="C807" i="3"/>
  <c r="E807" i="3" s="1"/>
  <c r="C841" i="3"/>
  <c r="E841" i="3" s="1"/>
  <c r="C389" i="3"/>
  <c r="E389" i="3" s="1"/>
  <c r="B263" i="3"/>
  <c r="C854" i="3"/>
  <c r="C220" i="3"/>
  <c r="E220" i="3" s="1"/>
  <c r="B256" i="3"/>
  <c r="C47" i="3"/>
  <c r="E47" i="3" s="1"/>
  <c r="B1310" i="3"/>
  <c r="C299" i="3"/>
  <c r="E299" i="3" s="1"/>
  <c r="C1069" i="3"/>
  <c r="C560" i="3"/>
  <c r="C189" i="3"/>
  <c r="C405" i="3"/>
  <c r="D405" i="3" s="1"/>
  <c r="C948" i="3"/>
  <c r="B605" i="3"/>
  <c r="C106" i="3"/>
  <c r="C247" i="3"/>
  <c r="E247" i="3" s="1"/>
  <c r="C170" i="3"/>
  <c r="D170" i="3" s="1"/>
  <c r="C1148" i="3"/>
  <c r="D1148" i="3" s="1"/>
  <c r="B472" i="3"/>
  <c r="C512" i="3"/>
  <c r="D512" i="3" s="1"/>
  <c r="C1098" i="3"/>
  <c r="E1098" i="3" s="1"/>
  <c r="C162" i="3"/>
  <c r="E162" i="3" s="1"/>
  <c r="B718" i="3"/>
  <c r="B471" i="3"/>
  <c r="C533" i="3"/>
  <c r="E533" i="3" s="1"/>
  <c r="C619" i="3"/>
  <c r="E619" i="3" s="1"/>
  <c r="B248" i="3"/>
  <c r="C90" i="3"/>
  <c r="E90" i="3" s="1"/>
  <c r="C1028" i="3"/>
  <c r="B145" i="3"/>
  <c r="B855" i="3"/>
  <c r="C372" i="3"/>
  <c r="D372" i="3" s="1"/>
  <c r="B442" i="3"/>
  <c r="B845" i="3"/>
  <c r="B565" i="3"/>
  <c r="C1109" i="3"/>
  <c r="E1109" i="3" s="1"/>
  <c r="C409" i="3"/>
  <c r="D409" i="3" s="1"/>
  <c r="B776" i="3"/>
  <c r="B1258" i="3"/>
  <c r="B447" i="3"/>
  <c r="B1253" i="1"/>
  <c r="B1325" i="3"/>
  <c r="C1116" i="3"/>
  <c r="D1116" i="3" s="1"/>
  <c r="B1377" i="3"/>
  <c r="B669" i="3"/>
  <c r="C1080" i="3"/>
  <c r="E1080" i="3" s="1"/>
  <c r="B920" i="3"/>
  <c r="B613" i="3"/>
  <c r="B1379" i="3"/>
  <c r="B561" i="3"/>
  <c r="C1245" i="3"/>
  <c r="E1245" i="3" s="1"/>
  <c r="C1378" i="3"/>
  <c r="E1378" i="3" s="1"/>
  <c r="C667" i="3"/>
  <c r="B570" i="3"/>
  <c r="B600" i="3"/>
  <c r="B676" i="3"/>
  <c r="B865" i="3"/>
  <c r="B368" i="3"/>
  <c r="C734" i="3"/>
  <c r="D734" i="3" s="1"/>
  <c r="B933" i="3"/>
  <c r="B757" i="3"/>
  <c r="B535" i="3"/>
  <c r="B387" i="3"/>
  <c r="B1240" i="3"/>
  <c r="B1166" i="3"/>
  <c r="C789" i="3"/>
  <c r="E789" i="3" s="1"/>
  <c r="C976" i="3"/>
  <c r="E976" i="3" s="1"/>
  <c r="C212" i="3"/>
  <c r="D212" i="3" s="1"/>
  <c r="B885" i="3"/>
  <c r="B943" i="3"/>
  <c r="B795" i="3"/>
  <c r="C585" i="3"/>
  <c r="D585" i="3" s="1"/>
  <c r="B1290" i="3"/>
  <c r="B1206" i="3"/>
  <c r="B596" i="3"/>
  <c r="B953" i="3"/>
  <c r="B1279" i="3"/>
  <c r="B219" i="3"/>
  <c r="B1072" i="3"/>
  <c r="B730" i="3"/>
  <c r="B220" i="3"/>
  <c r="B1250" i="3"/>
  <c r="C341" i="3"/>
  <c r="D341" i="3" s="1"/>
  <c r="C564" i="3"/>
  <c r="E564" i="3" s="1"/>
  <c r="B1077" i="3"/>
  <c r="B1061" i="3"/>
  <c r="B537" i="3"/>
  <c r="B1242" i="3"/>
  <c r="B608" i="3"/>
  <c r="C653" i="3"/>
  <c r="B218" i="3"/>
  <c r="C208" i="3"/>
  <c r="D208" i="3" s="1"/>
  <c r="C260" i="3"/>
  <c r="B853" i="3"/>
  <c r="B700" i="3"/>
  <c r="B1216" i="3"/>
  <c r="B891" i="3"/>
  <c r="C893" i="3"/>
  <c r="E893" i="3" s="1"/>
  <c r="B518" i="3"/>
  <c r="B577" i="3"/>
  <c r="C1213" i="3"/>
  <c r="E1213" i="3" s="1"/>
  <c r="B391" i="3"/>
  <c r="C59" i="3"/>
  <c r="E59" i="3" s="1"/>
  <c r="B852" i="3"/>
  <c r="B313" i="3"/>
  <c r="B325" i="3"/>
  <c r="C1233" i="3"/>
  <c r="E1233" i="3" s="1"/>
  <c r="C1079" i="3"/>
  <c r="D1079" i="3" s="1"/>
  <c r="B1248" i="3"/>
  <c r="B641" i="3"/>
  <c r="B356" i="3"/>
  <c r="B1088" i="3"/>
  <c r="B913" i="3"/>
  <c r="C15" i="3"/>
  <c r="C578" i="3"/>
  <c r="B842" i="3"/>
  <c r="B717" i="3"/>
  <c r="B747" i="3"/>
  <c r="B616" i="3"/>
  <c r="B446" i="3"/>
  <c r="B61" i="3"/>
  <c r="C46" i="3"/>
  <c r="D46" i="3" s="1"/>
  <c r="B1068" i="3"/>
  <c r="C720" i="3"/>
  <c r="D720" i="3" s="1"/>
  <c r="B557" i="3"/>
  <c r="B850" i="3"/>
  <c r="B1220" i="3"/>
  <c r="B1071" i="3"/>
  <c r="B469" i="3"/>
  <c r="B251" i="3"/>
  <c r="B640" i="3"/>
  <c r="B186" i="3"/>
  <c r="B315" i="3"/>
  <c r="B204" i="3"/>
  <c r="B1386" i="3"/>
  <c r="C574" i="3"/>
  <c r="B1034" i="3"/>
  <c r="B813" i="3"/>
  <c r="C825" i="3"/>
  <c r="E825" i="3" s="1"/>
  <c r="C717" i="3"/>
  <c r="E717" i="3" s="1"/>
  <c r="B519" i="3"/>
  <c r="B703" i="3"/>
  <c r="B1226" i="3"/>
  <c r="E554" i="3"/>
  <c r="E593" i="3"/>
  <c r="E1256" i="3"/>
  <c r="E440" i="3"/>
  <c r="D244" i="3"/>
  <c r="E1003" i="3"/>
  <c r="D1063" i="3"/>
  <c r="D784" i="3"/>
  <c r="E1060" i="3"/>
  <c r="E1048" i="3"/>
  <c r="E135" i="3"/>
  <c r="D135" i="3"/>
  <c r="D1126" i="3"/>
  <c r="E1126" i="3"/>
  <c r="E71" i="3"/>
  <c r="D924" i="3"/>
  <c r="E924" i="3"/>
  <c r="E95" i="3"/>
  <c r="D95" i="3"/>
  <c r="E387" i="3"/>
  <c r="D387" i="3"/>
  <c r="D346" i="3"/>
  <c r="E595" i="3"/>
  <c r="D1250" i="3"/>
  <c r="E274" i="3"/>
  <c r="D489" i="3"/>
  <c r="E958" i="3"/>
  <c r="E695" i="3"/>
  <c r="E799" i="3"/>
  <c r="D1174" i="3"/>
  <c r="D601" i="3"/>
  <c r="E655" i="3"/>
  <c r="E144" i="3"/>
  <c r="D99" i="3"/>
  <c r="D430" i="3"/>
  <c r="D903" i="3"/>
  <c r="D1075" i="3"/>
  <c r="E628" i="3"/>
  <c r="D1160" i="3"/>
  <c r="D808" i="3"/>
  <c r="D118" i="3"/>
  <c r="E190" i="3"/>
  <c r="D969" i="3"/>
  <c r="D739" i="3"/>
  <c r="D885" i="3"/>
  <c r="D449" i="3"/>
  <c r="D479" i="3"/>
  <c r="E39" i="3"/>
  <c r="E1302" i="3"/>
  <c r="D897" i="3"/>
  <c r="D1287" i="3"/>
  <c r="E881" i="3"/>
  <c r="D444" i="3"/>
  <c r="E444" i="3"/>
  <c r="E36" i="3"/>
  <c r="D36" i="3"/>
  <c r="E1207" i="3"/>
  <c r="D638" i="3"/>
  <c r="E638" i="3"/>
  <c r="E649" i="3"/>
  <c r="D325" i="3"/>
  <c r="E579" i="3"/>
  <c r="D579" i="3"/>
  <c r="D957" i="3"/>
  <c r="E805" i="3"/>
  <c r="D805" i="3"/>
  <c r="E1346" i="3"/>
  <c r="D1346" i="3"/>
  <c r="E967" i="3"/>
  <c r="D1341" i="3"/>
  <c r="E1341" i="3"/>
  <c r="D607" i="3"/>
  <c r="E1042" i="3"/>
  <c r="D806" i="3"/>
  <c r="D490" i="3"/>
  <c r="E1038" i="3"/>
  <c r="D1038" i="3"/>
  <c r="E951" i="3"/>
  <c r="D951" i="3"/>
  <c r="D1006" i="3"/>
  <c r="E297" i="3"/>
  <c r="D584" i="3"/>
  <c r="D688" i="3"/>
  <c r="D166" i="3"/>
  <c r="E1171" i="3"/>
  <c r="D1171" i="3"/>
  <c r="D282" i="3"/>
  <c r="D259" i="3"/>
  <c r="E69" i="3"/>
  <c r="D397" i="3"/>
  <c r="D329" i="3"/>
  <c r="E1319" i="3"/>
  <c r="D1319" i="3"/>
  <c r="D1015" i="3"/>
  <c r="E1015" i="3"/>
  <c r="E549" i="3"/>
  <c r="D549" i="3"/>
  <c r="D565" i="3"/>
  <c r="E565" i="3"/>
  <c r="E153" i="3"/>
  <c r="D1316" i="3"/>
  <c r="E1316" i="3"/>
  <c r="D25" i="3"/>
  <c r="D1322" i="3"/>
  <c r="E1322" i="3"/>
  <c r="D1144" i="3"/>
  <c r="D749" i="3"/>
  <c r="E749" i="3"/>
  <c r="D657" i="3"/>
  <c r="E657" i="3"/>
  <c r="E528" i="3"/>
  <c r="D528" i="3"/>
  <c r="D702" i="3"/>
  <c r="E758" i="3"/>
  <c r="E442" i="3"/>
  <c r="D442" i="3"/>
  <c r="D1373" i="3"/>
  <c r="E618" i="3"/>
  <c r="D618" i="3"/>
  <c r="E209" i="3"/>
  <c r="E1027" i="3"/>
  <c r="D1027" i="3"/>
  <c r="E1026" i="3"/>
  <c r="D458" i="3"/>
  <c r="E302" i="3"/>
  <c r="D302" i="3"/>
  <c r="D327" i="3"/>
  <c r="E327" i="3"/>
  <c r="E687" i="3"/>
  <c r="E1286" i="3"/>
  <c r="D859" i="3"/>
  <c r="D928" i="3"/>
  <c r="E547" i="3"/>
  <c r="D1386" i="3"/>
  <c r="E1386" i="3"/>
  <c r="E101" i="3"/>
  <c r="E14" i="3"/>
  <c r="D14" i="3"/>
  <c r="E556" i="3"/>
  <c r="E91" i="3"/>
  <c r="E1125" i="3"/>
  <c r="E49" i="3"/>
  <c r="E48" i="3"/>
  <c r="E157" i="3"/>
  <c r="D157" i="3"/>
  <c r="D1142" i="3"/>
  <c r="E370" i="3"/>
  <c r="D370" i="3"/>
  <c r="D239" i="3"/>
  <c r="E349" i="3"/>
  <c r="D1040" i="3"/>
  <c r="E1040" i="3"/>
  <c r="D848" i="3"/>
  <c r="E1031" i="3"/>
  <c r="D563" i="3"/>
  <c r="E978" i="3"/>
  <c r="D599" i="3"/>
  <c r="E913" i="3"/>
  <c r="D453" i="3"/>
  <c r="D64" i="3"/>
  <c r="E1214" i="3"/>
  <c r="D837" i="3"/>
  <c r="D332" i="3"/>
  <c r="E995" i="3"/>
  <c r="E221" i="3"/>
  <c r="E1179" i="3"/>
  <c r="D114" i="3"/>
  <c r="D716" i="3"/>
  <c r="E716" i="3"/>
  <c r="D310" i="3"/>
  <c r="E310" i="3"/>
  <c r="D445" i="3"/>
  <c r="E705" i="3"/>
  <c r="D705" i="3"/>
  <c r="D252" i="3"/>
  <c r="E252" i="3"/>
  <c r="E273" i="3"/>
  <c r="E1115" i="3"/>
  <c r="E887" i="3"/>
  <c r="D887" i="3"/>
  <c r="E820" i="3"/>
  <c r="D820" i="3"/>
  <c r="D729" i="3"/>
  <c r="D927" i="3"/>
  <c r="E681" i="3"/>
  <c r="D681" i="3"/>
  <c r="D1121" i="3"/>
  <c r="E1121" i="3"/>
  <c r="D1186" i="3"/>
  <c r="D665" i="3"/>
  <c r="D1238" i="3"/>
  <c r="E812" i="3"/>
  <c r="E896" i="3"/>
  <c r="E765" i="3"/>
  <c r="D171" i="3"/>
  <c r="E171" i="3"/>
  <c r="D100" i="3"/>
  <c r="D666" i="3"/>
  <c r="E666" i="3"/>
  <c r="E935" i="3"/>
  <c r="D935" i="3"/>
  <c r="E421" i="3"/>
  <c r="D280" i="3"/>
  <c r="D875" i="3"/>
  <c r="D955" i="3"/>
  <c r="D900" i="3"/>
  <c r="D16" i="3"/>
  <c r="D1348" i="3"/>
  <c r="D1243" i="3"/>
  <c r="D974" i="3"/>
  <c r="D73" i="3"/>
  <c r="D184" i="3"/>
  <c r="E747" i="3"/>
  <c r="E290" i="3"/>
  <c r="D673" i="3"/>
  <c r="D936" i="3"/>
  <c r="D339" i="3"/>
  <c r="D1392" i="3"/>
  <c r="E401" i="3"/>
  <c r="E12" i="3"/>
  <c r="D161" i="3"/>
  <c r="D1162" i="3"/>
  <c r="E1052" i="3"/>
  <c r="D1005" i="3"/>
  <c r="E855" i="3"/>
  <c r="E74" i="3"/>
  <c r="E1379" i="3"/>
  <c r="D228" i="3"/>
  <c r="D825" i="3"/>
  <c r="D198" i="3"/>
  <c r="D41" i="3"/>
  <c r="D801" i="3"/>
  <c r="D1150" i="3"/>
  <c r="E352" i="3"/>
  <c r="D314" i="3"/>
  <c r="E318" i="3"/>
  <c r="D1055" i="3"/>
  <c r="D1290" i="3"/>
  <c r="E929" i="3"/>
  <c r="E1096" i="3"/>
  <c r="E551" i="3"/>
  <c r="D940" i="3"/>
  <c r="E1325" i="3"/>
  <c r="D120" i="3"/>
  <c r="E1046" i="3"/>
  <c r="E540" i="3"/>
  <c r="D22" i="3"/>
  <c r="D1368" i="3"/>
  <c r="E121" i="3"/>
  <c r="D121" i="3"/>
  <c r="E1158" i="3"/>
  <c r="D1158" i="3"/>
  <c r="E780" i="3"/>
  <c r="E627" i="3"/>
  <c r="D627" i="3"/>
  <c r="E431" i="3"/>
  <c r="D431" i="3"/>
  <c r="E1303" i="3"/>
  <c r="D1303" i="3"/>
  <c r="E390" i="3"/>
  <c r="D390" i="3"/>
  <c r="D1059" i="3"/>
  <c r="D676" i="3"/>
  <c r="D1198" i="3"/>
  <c r="E142" i="3"/>
  <c r="D142" i="3"/>
  <c r="E1293" i="3"/>
  <c r="D1293" i="3"/>
  <c r="E938" i="3"/>
  <c r="D938" i="3"/>
  <c r="E1365" i="3"/>
  <c r="D1365" i="3"/>
  <c r="E496" i="3"/>
  <c r="D496" i="3"/>
  <c r="E1229" i="3"/>
  <c r="D1229" i="3"/>
  <c r="E1273" i="3"/>
  <c r="D1273" i="3"/>
  <c r="D97" i="3"/>
  <c r="E97" i="3"/>
  <c r="E425" i="3"/>
  <c r="D425" i="3"/>
  <c r="D1314" i="3"/>
  <c r="E980" i="3"/>
  <c r="D980" i="3"/>
  <c r="E1195" i="3"/>
  <c r="E672" i="3"/>
  <c r="D672" i="3"/>
  <c r="E512" i="3"/>
  <c r="D727" i="3"/>
  <c r="D1098" i="3"/>
  <c r="E1148" i="3"/>
  <c r="E170" i="3"/>
  <c r="D299" i="3"/>
  <c r="D47" i="3"/>
  <c r="E378" i="3"/>
  <c r="D842" i="3"/>
  <c r="D562" i="3"/>
  <c r="E562" i="3"/>
  <c r="E983" i="3"/>
  <c r="E1191" i="3"/>
  <c r="D1191" i="3"/>
  <c r="E258" i="3"/>
  <c r="E1129" i="3"/>
  <c r="D1129" i="3"/>
  <c r="D1001" i="3"/>
  <c r="D1327" i="3"/>
  <c r="E932" i="3"/>
  <c r="D932" i="3"/>
  <c r="D466" i="3"/>
  <c r="D1305" i="3"/>
  <c r="D899" i="3"/>
  <c r="E899" i="3"/>
  <c r="E738" i="3"/>
  <c r="D738" i="3"/>
  <c r="E845" i="3"/>
  <c r="D845" i="3"/>
  <c r="E1216" i="3"/>
  <c r="D1216" i="3"/>
  <c r="E793" i="3"/>
  <c r="D793" i="3"/>
  <c r="D96" i="3"/>
  <c r="E96" i="3"/>
  <c r="D982" i="3"/>
  <c r="E982" i="3"/>
  <c r="E1294" i="3"/>
  <c r="E715" i="3"/>
  <c r="D715" i="3"/>
  <c r="D1318" i="3"/>
  <c r="E890" i="3"/>
  <c r="D564" i="3"/>
  <c r="D89" i="3"/>
  <c r="E63" i="3"/>
  <c r="D569" i="3"/>
  <c r="E822" i="3"/>
  <c r="D154" i="3"/>
  <c r="E895" i="3"/>
  <c r="D288" i="3"/>
  <c r="D394" i="3"/>
  <c r="D1068" i="3"/>
  <c r="D1176" i="3"/>
  <c r="D1082" i="3"/>
  <c r="D169" i="3"/>
  <c r="E943" i="3"/>
  <c r="D307" i="3"/>
  <c r="E1232" i="3"/>
  <c r="E1134" i="3"/>
  <c r="B939" i="1"/>
  <c r="B876" i="1"/>
  <c r="B761" i="1"/>
  <c r="B202" i="1"/>
  <c r="B1277" i="1"/>
  <c r="B1213" i="1"/>
  <c r="B118" i="1"/>
  <c r="B305" i="1"/>
  <c r="B108" i="1"/>
  <c r="B386" i="1"/>
  <c r="B929" i="1"/>
  <c r="B1183" i="1"/>
  <c r="B718" i="1"/>
  <c r="B216" i="1"/>
  <c r="B745" i="1"/>
  <c r="B799" i="1"/>
  <c r="B1298" i="1"/>
  <c r="B237" i="1"/>
  <c r="B480" i="1"/>
  <c r="B28" i="1"/>
  <c r="B1032" i="1"/>
  <c r="B441" i="1"/>
  <c r="B725" i="1"/>
  <c r="B638" i="1"/>
  <c r="B808" i="1"/>
  <c r="B232" i="1"/>
  <c r="B169" i="1"/>
  <c r="B747" i="1"/>
  <c r="B2" i="1"/>
  <c r="B682" i="1"/>
  <c r="B1334" i="1"/>
  <c r="B475" i="1"/>
  <c r="B116" i="1"/>
  <c r="B673" i="1"/>
  <c r="B398" i="1"/>
  <c r="B931" i="1"/>
  <c r="B117" i="1"/>
  <c r="B1216" i="1"/>
  <c r="B1279" i="1"/>
  <c r="B212" i="1"/>
  <c r="B1305" i="1"/>
  <c r="B206" i="1"/>
  <c r="B48" i="1"/>
  <c r="B354" i="1"/>
  <c r="B370" i="1"/>
  <c r="B16" i="1"/>
  <c r="B878" i="1"/>
  <c r="B26" i="1"/>
  <c r="B776" i="1"/>
  <c r="B986" i="1"/>
  <c r="B257" i="1"/>
  <c r="B866" i="1"/>
  <c r="B995" i="1"/>
  <c r="B120" i="1"/>
  <c r="B54" i="1"/>
  <c r="B218" i="1"/>
  <c r="B1107" i="1"/>
  <c r="B888" i="1"/>
  <c r="B670" i="1"/>
  <c r="B388" i="1"/>
  <c r="B599" i="1"/>
  <c r="B1205" i="1"/>
  <c r="B341" i="1"/>
  <c r="B1261" i="1"/>
  <c r="B1322" i="1"/>
  <c r="B793" i="1"/>
  <c r="B268" i="1"/>
  <c r="B380" i="1"/>
  <c r="B1260" i="1"/>
  <c r="B927" i="1"/>
  <c r="B107" i="1"/>
  <c r="B497" i="1"/>
  <c r="B126" i="1"/>
  <c r="B1146" i="1"/>
  <c r="B1211" i="1"/>
  <c r="B470" i="1"/>
  <c r="B649" i="1"/>
  <c r="B439" i="1"/>
  <c r="B829" i="1"/>
  <c r="B696" i="1"/>
  <c r="B576" i="1"/>
  <c r="B1025" i="1"/>
  <c r="B189" i="1"/>
  <c r="B355" i="1"/>
  <c r="B653" i="1"/>
  <c r="B437" i="1"/>
  <c r="B270" i="1"/>
  <c r="B59" i="1"/>
  <c r="B180" i="1"/>
  <c r="B1068" i="1"/>
  <c r="B434" i="1"/>
  <c r="B275" i="1"/>
  <c r="B494" i="1"/>
  <c r="B192" i="1"/>
  <c r="B935" i="1"/>
  <c r="B1241" i="1"/>
  <c r="B417" i="1"/>
  <c r="B971" i="1"/>
  <c r="B589" i="1"/>
  <c r="B353" i="1"/>
  <c r="B1299" i="1"/>
  <c r="B471" i="1"/>
  <c r="B68" i="1"/>
  <c r="B953" i="1"/>
  <c r="B871" i="1"/>
  <c r="B1080" i="1"/>
  <c r="B909" i="1"/>
  <c r="B399" i="1"/>
  <c r="B1233" i="1"/>
  <c r="B4" i="1"/>
  <c r="B384" i="1"/>
  <c r="B774" i="1"/>
  <c r="B838" i="1"/>
  <c r="B1281" i="1"/>
  <c r="B672" i="1"/>
  <c r="B1235" i="1"/>
  <c r="B1095" i="1"/>
  <c r="B1203" i="1"/>
  <c r="B176" i="1"/>
  <c r="B845" i="1"/>
  <c r="B531" i="1"/>
  <c r="B1000" i="1"/>
  <c r="B258" i="1"/>
  <c r="B448" i="1"/>
  <c r="B749" i="1"/>
  <c r="B942" i="1"/>
  <c r="B529" i="1"/>
  <c r="B732" i="1"/>
  <c r="B194" i="1"/>
  <c r="B768" i="1"/>
  <c r="B1357" i="1"/>
  <c r="B514" i="1"/>
  <c r="B1152" i="1"/>
  <c r="B981" i="1"/>
  <c r="B881" i="1"/>
  <c r="B1217" i="1"/>
  <c r="B1181" i="1"/>
  <c r="B572" i="1"/>
  <c r="B601" i="1"/>
  <c r="B245" i="1"/>
  <c r="B229" i="1"/>
  <c r="B1014" i="1"/>
  <c r="B221" i="1"/>
  <c r="B453" i="1"/>
  <c r="B904" i="1"/>
  <c r="B630" i="1"/>
  <c r="B921" i="1"/>
  <c r="B946" i="1"/>
  <c r="B1382" i="1"/>
  <c r="B659" i="1"/>
  <c r="B1050" i="1"/>
  <c r="B759" i="1"/>
  <c r="B738" i="1"/>
  <c r="B815" i="1"/>
  <c r="B1352" i="1"/>
  <c r="B110" i="1"/>
  <c r="B401" i="1"/>
  <c r="B1311" i="1"/>
  <c r="B611" i="1"/>
  <c r="B223" i="1"/>
  <c r="B1156" i="1"/>
  <c r="B756" i="1"/>
  <c r="B847" i="1"/>
  <c r="B1087" i="1"/>
  <c r="B752" i="1"/>
  <c r="B938" i="1"/>
  <c r="B1327" i="1"/>
  <c r="B217" i="1"/>
  <c r="B1339" i="1"/>
  <c r="B23" i="1"/>
  <c r="B10" i="1"/>
  <c r="B27" i="1"/>
  <c r="B103" i="1"/>
  <c r="B869" i="1"/>
  <c r="B500" i="1"/>
  <c r="B214" i="1"/>
  <c r="B436" i="1"/>
  <c r="B1318" i="1"/>
  <c r="B1166" i="1"/>
  <c r="B155" i="1"/>
  <c r="B418" i="1"/>
  <c r="B383" i="1"/>
  <c r="B818" i="1"/>
  <c r="B405" i="1"/>
  <c r="B450" i="1"/>
  <c r="B69" i="1"/>
  <c r="B618" i="1"/>
  <c r="B1387" i="1"/>
  <c r="B1274" i="1"/>
  <c r="B1027" i="1"/>
  <c r="B18" i="1"/>
  <c r="B413" i="1"/>
  <c r="B708" i="1"/>
  <c r="B90" i="1"/>
  <c r="B323" i="1"/>
  <c r="B1175" i="1"/>
  <c r="B857" i="1"/>
  <c r="B289" i="1"/>
  <c r="B1328" i="1"/>
  <c r="B1375" i="1"/>
  <c r="B544" i="1"/>
  <c r="B95" i="1"/>
  <c r="B207" i="1"/>
  <c r="B875" i="1"/>
  <c r="B12" i="1"/>
  <c r="B328" i="1"/>
  <c r="B489" i="1"/>
  <c r="B235" i="1"/>
  <c r="B148" i="1"/>
  <c r="B1284" i="1"/>
  <c r="B273" i="1"/>
  <c r="B528" i="1"/>
  <c r="B779" i="1"/>
  <c r="B451" i="1"/>
  <c r="B209" i="1"/>
  <c r="B1291" i="1"/>
  <c r="B1005" i="1"/>
  <c r="B903" i="1"/>
  <c r="B899" i="1"/>
  <c r="B1239" i="1"/>
  <c r="B1267" i="1"/>
  <c r="B1081" i="1"/>
  <c r="B510" i="1"/>
  <c r="B586" i="1"/>
  <c r="B980" i="1"/>
  <c r="B1164" i="1"/>
  <c r="B84" i="1"/>
  <c r="B1016" i="1"/>
  <c r="B1007" i="1"/>
  <c r="B1185" i="1"/>
  <c r="B346" i="1"/>
  <c r="B632" i="1"/>
  <c r="B839" i="1"/>
  <c r="B230" i="1"/>
  <c r="B279" i="1"/>
  <c r="B1296" i="1"/>
  <c r="B848" i="1"/>
  <c r="B197" i="1"/>
  <c r="B520" i="1"/>
  <c r="B582" i="1"/>
  <c r="B222" i="1"/>
  <c r="B220" i="1"/>
  <c r="B1160" i="1"/>
  <c r="B74" i="1"/>
  <c r="B833" i="1"/>
  <c r="B1051" i="1"/>
  <c r="B265" i="1"/>
  <c r="B966" i="1"/>
  <c r="B812" i="1"/>
  <c r="B650" i="1"/>
  <c r="B1040" i="1"/>
  <c r="B975" i="1"/>
  <c r="B182" i="1"/>
  <c r="B45" i="1"/>
  <c r="B626" i="1"/>
  <c r="B1385" i="1"/>
  <c r="B238" i="1"/>
  <c r="B556" i="1"/>
  <c r="B79" i="1"/>
  <c r="B537" i="1"/>
  <c r="B668" i="1"/>
  <c r="B20" i="1"/>
  <c r="B557" i="1"/>
  <c r="B1147" i="1"/>
  <c r="B1309" i="1"/>
  <c r="B851" i="1"/>
  <c r="B1308" i="1"/>
  <c r="B58" i="1"/>
  <c r="B994" i="1"/>
  <c r="B286" i="1"/>
  <c r="B543" i="1"/>
  <c r="B378" i="1"/>
  <c r="B112" i="1"/>
  <c r="B1228" i="1"/>
  <c r="B199" i="1"/>
  <c r="B600" i="1"/>
  <c r="B387" i="1"/>
  <c r="B256" i="1"/>
  <c r="B440" i="1"/>
  <c r="B834" i="1"/>
  <c r="B1293" i="1"/>
  <c r="B1024" i="1"/>
  <c r="B1358" i="1"/>
  <c r="B1061" i="1"/>
  <c r="B843" i="1"/>
  <c r="B459" i="1"/>
  <c r="B1003" i="1"/>
  <c r="B224" i="1"/>
  <c r="B166" i="1"/>
  <c r="B1111" i="1"/>
  <c r="B156" i="1"/>
  <c r="B1150" i="1"/>
  <c r="B249" i="1"/>
  <c r="B1074" i="1"/>
  <c r="B937" i="1"/>
  <c r="B477" i="1"/>
  <c r="B461" i="1"/>
  <c r="B743" i="1"/>
  <c r="B89" i="1"/>
  <c r="B863" i="1"/>
  <c r="B361" i="1"/>
  <c r="B558" i="1"/>
  <c r="B1232" i="1"/>
  <c r="B1071" i="1"/>
  <c r="B879" i="1"/>
  <c r="B1377" i="1"/>
  <c r="B666" i="1"/>
  <c r="B515" i="1"/>
  <c r="B592" i="1"/>
  <c r="B332" i="1"/>
  <c r="B1303" i="1"/>
  <c r="B564" i="1"/>
  <c r="B1222" i="1"/>
  <c r="B765" i="1"/>
  <c r="B1320" i="1"/>
  <c r="B1155" i="1"/>
  <c r="B396" i="1"/>
  <c r="B374" i="1"/>
  <c r="B1247" i="1"/>
  <c r="B377" i="1"/>
  <c r="B674" i="1"/>
  <c r="B612" i="1"/>
  <c r="B575" i="1"/>
  <c r="B873" i="1"/>
  <c r="B1140" i="1"/>
  <c r="B300" i="1"/>
  <c r="B717" i="1"/>
  <c r="B485" i="1"/>
  <c r="B1262" i="1"/>
  <c r="B1316" i="1"/>
  <c r="B1065" i="1"/>
  <c r="B414" i="1"/>
  <c r="B1391" i="1"/>
  <c r="B72" i="1"/>
  <c r="B1245" i="1"/>
  <c r="B479" i="1"/>
  <c r="B1041" i="1"/>
  <c r="B296" i="1"/>
  <c r="B882" i="1"/>
  <c r="B960" i="1"/>
  <c r="B864" i="1"/>
  <c r="B277" i="1"/>
  <c r="B30" i="1"/>
  <c r="B1389" i="1"/>
  <c r="B1364" i="1"/>
  <c r="B884" i="1"/>
  <c r="B1242" i="1"/>
  <c r="B1033" i="1"/>
  <c r="B789" i="1"/>
  <c r="B1326" i="1"/>
  <c r="B962" i="1"/>
  <c r="B1360" i="1"/>
  <c r="B1337" i="1"/>
  <c r="B478" i="1"/>
  <c r="B535" i="1"/>
  <c r="B1106" i="1"/>
  <c r="B1176" i="1"/>
  <c r="B363" i="1"/>
  <c r="B255" i="1"/>
  <c r="B1168" i="1"/>
  <c r="B294" i="1"/>
  <c r="B39" i="1"/>
  <c r="B702" i="1"/>
  <c r="B345" i="1"/>
  <c r="B934" i="1"/>
  <c r="B130" i="1"/>
  <c r="B569" i="1"/>
  <c r="B1259" i="1"/>
  <c r="B55" i="1"/>
  <c r="B1214" i="1"/>
  <c r="B397" i="1"/>
  <c r="B639" i="1"/>
  <c r="B1045" i="1"/>
  <c r="B571" i="1"/>
  <c r="B607" i="1"/>
  <c r="B66" i="1"/>
  <c r="B760" i="1"/>
  <c r="B427" i="1"/>
  <c r="B1234" i="1"/>
  <c r="B698" i="1"/>
  <c r="B826" i="1"/>
  <c r="B162" i="1"/>
  <c r="B573" i="1"/>
  <c r="B972" i="1"/>
  <c r="B200" i="1"/>
  <c r="B488" i="1"/>
  <c r="B1271" i="1"/>
  <c r="B1157" i="1"/>
  <c r="B907" i="1"/>
  <c r="B269" i="1"/>
  <c r="B329" i="1"/>
  <c r="B1227" i="1"/>
  <c r="B1179" i="1"/>
  <c r="B916" i="1"/>
  <c r="B71" i="1"/>
  <c r="B184" i="1"/>
  <c r="B11" i="1"/>
  <c r="B1037" i="1"/>
  <c r="B552" i="1"/>
  <c r="B8" i="1"/>
  <c r="B228" i="1"/>
  <c r="B1188" i="1"/>
  <c r="B805" i="1"/>
  <c r="B298" i="1"/>
  <c r="B201" i="1"/>
  <c r="B750" i="1"/>
  <c r="B849" i="1"/>
  <c r="B92" i="1"/>
  <c r="B574" i="1"/>
  <c r="B679" i="1"/>
  <c r="B773" i="1"/>
  <c r="B1349" i="1"/>
  <c r="B170" i="1"/>
  <c r="B1226" i="1"/>
  <c r="B1306" i="1"/>
  <c r="B993" i="1"/>
  <c r="B365" i="1"/>
  <c r="B240" i="1"/>
  <c r="B432" i="1"/>
  <c r="B1353" i="1"/>
  <c r="B703" i="1"/>
  <c r="B861" i="1"/>
  <c r="B862" i="1"/>
  <c r="B868" i="1"/>
  <c r="B138" i="1"/>
  <c r="B724" i="1"/>
  <c r="B865" i="1"/>
  <c r="B1332" i="1"/>
  <c r="B635" i="1"/>
  <c r="B476" i="1"/>
  <c r="B797" i="1"/>
  <c r="B684" i="1"/>
  <c r="B51" i="1"/>
  <c r="B1201" i="1"/>
  <c r="B1246" i="1"/>
  <c r="B1092" i="1"/>
  <c r="B136" i="1"/>
  <c r="B900" i="1"/>
  <c r="B1264" i="1"/>
  <c r="B1330" i="1"/>
  <c r="B1270" i="1"/>
  <c r="B911" i="1"/>
  <c r="B263" i="1"/>
  <c r="B830" i="1"/>
  <c r="B503" i="1"/>
  <c r="B319" i="1"/>
  <c r="B766" i="1"/>
  <c r="B430" i="1"/>
  <c r="B1338" i="1"/>
  <c r="B723" i="1"/>
  <c r="B302" i="1"/>
  <c r="B587" i="1"/>
  <c r="B466" i="1"/>
  <c r="B889" i="1"/>
  <c r="B356" i="1"/>
  <c r="B644" i="1"/>
  <c r="B689" i="1"/>
  <c r="B1278" i="1"/>
  <c r="B1223" i="1"/>
  <c r="B254" i="1"/>
  <c r="B350" i="1"/>
  <c r="B1314" i="1"/>
  <c r="B730" i="1"/>
  <c r="B874" i="1"/>
  <c r="B358" i="1"/>
  <c r="B317" i="1"/>
  <c r="B1383" i="1"/>
  <c r="B1170" i="1"/>
  <c r="B898" i="1"/>
  <c r="B1321" i="1"/>
  <c r="B102" i="1"/>
  <c r="B1153" i="1"/>
  <c r="B778" i="1"/>
  <c r="B787" i="1"/>
  <c r="B141" i="1"/>
  <c r="B362" i="1"/>
  <c r="B1108" i="1"/>
  <c r="B1067" i="1"/>
  <c r="B880" i="1"/>
  <c r="B1052" i="1"/>
  <c r="B710" i="1"/>
  <c r="B691" i="1"/>
  <c r="B244" i="1"/>
  <c r="B982" i="1"/>
  <c r="B424" i="1"/>
  <c r="B236" i="1"/>
  <c r="B688" i="1"/>
  <c r="B967" i="1"/>
  <c r="B144" i="1"/>
  <c r="B357" i="1"/>
  <c r="B231" i="1"/>
  <c r="B645" i="1"/>
  <c r="B1324" i="1"/>
  <c r="B751" i="1"/>
  <c r="B1283" i="1"/>
  <c r="B754" i="1"/>
  <c r="B285" i="1"/>
  <c r="B455" i="1"/>
  <c r="B198" i="1"/>
  <c r="B944" i="1"/>
  <c r="B940" i="1"/>
  <c r="B516" i="1"/>
  <c r="B1265" i="1"/>
  <c r="B637" i="1"/>
  <c r="B629" i="1"/>
  <c r="B1248" i="1"/>
  <c r="B1341" i="1"/>
  <c r="B1221" i="1"/>
  <c r="B1392" i="1"/>
  <c r="B1178" i="1"/>
  <c r="B37" i="1"/>
  <c r="B546" i="1"/>
  <c r="B1379" i="1"/>
  <c r="B1252" i="1"/>
  <c r="B98" i="1"/>
  <c r="B548" i="1"/>
  <c r="B446" i="1"/>
  <c r="B989" i="1"/>
  <c r="B570" i="1"/>
  <c r="B746" i="1"/>
  <c r="B1186" i="1"/>
  <c r="B87" i="1"/>
  <c r="B242" i="1"/>
  <c r="B1343" i="1"/>
  <c r="B106" i="1"/>
  <c r="B22" i="1"/>
  <c r="B541" i="1"/>
  <c r="B32" i="1"/>
  <c r="B706" i="1"/>
  <c r="B744" i="1"/>
  <c r="B474" i="1"/>
  <c r="B872" i="1"/>
  <c r="B1029" i="1"/>
  <c r="B422" i="1"/>
  <c r="B1367" i="1"/>
  <c r="B56" i="1"/>
  <c r="B1142" i="1"/>
  <c r="B1280" i="1"/>
  <c r="B1017" i="1"/>
  <c r="B1206" i="1"/>
  <c r="B522" i="1"/>
  <c r="B509" i="1"/>
  <c r="B253" i="1"/>
  <c r="B1263" i="1"/>
  <c r="B465" i="1"/>
  <c r="B1109" i="1"/>
  <c r="B890" i="1"/>
  <c r="B908" i="1"/>
  <c r="B1331" i="1"/>
  <c r="B1009" i="1"/>
  <c r="B1035" i="1"/>
  <c r="B1011" i="1"/>
  <c r="B495" i="1"/>
  <c r="B83" i="1"/>
  <c r="B513" i="1"/>
  <c r="B1096" i="1"/>
  <c r="B46" i="1"/>
  <c r="B615" i="1"/>
  <c r="B772" i="1"/>
  <c r="B1054" i="1"/>
  <c r="B835" i="1"/>
  <c r="B507" i="1"/>
  <c r="B1269" i="1"/>
  <c r="B677" i="1"/>
  <c r="B1302" i="1"/>
  <c r="B1250" i="1"/>
  <c r="B248" i="1"/>
  <c r="B1209" i="1"/>
  <c r="B1008" i="1"/>
  <c r="B454" i="1"/>
  <c r="B391" i="1"/>
  <c r="B129" i="1"/>
  <c r="B525" i="1"/>
  <c r="B526" i="1"/>
  <c r="B1362" i="1"/>
  <c r="B1097" i="1"/>
  <c r="B62" i="1"/>
  <c r="B14" i="1"/>
  <c r="B905" i="1"/>
  <c r="B1110" i="1"/>
  <c r="B1083" i="1"/>
  <c r="B393" i="1"/>
  <c r="B181" i="1"/>
  <c r="B1010" i="1"/>
  <c r="B310" i="1"/>
  <c r="B913" i="1"/>
  <c r="B284" i="1"/>
  <c r="B767" i="1"/>
  <c r="B1075" i="1"/>
  <c r="B336" i="1"/>
  <c r="B763" i="1"/>
  <c r="B1113" i="1"/>
  <c r="B945" i="1"/>
  <c r="B1268" i="1"/>
  <c r="B433" i="1"/>
  <c r="B88" i="1"/>
  <c r="B894" i="1"/>
  <c r="B65" i="1"/>
  <c r="B40" i="1"/>
  <c r="B1315" i="1"/>
  <c r="B1169" i="1"/>
  <c r="B1384" i="1"/>
  <c r="B1374" i="1"/>
  <c r="B183" i="1"/>
  <c r="B410" i="1"/>
  <c r="B852" i="1"/>
  <c r="B304" i="1"/>
  <c r="B1236" i="1"/>
  <c r="B128" i="1"/>
  <c r="B1249" i="1"/>
  <c r="B954" i="1"/>
  <c r="B1100" i="1"/>
  <c r="B282" i="1"/>
  <c r="B415" i="1"/>
  <c r="B840" i="1"/>
  <c r="B25" i="1"/>
  <c r="B124" i="1"/>
  <c r="B1048" i="1"/>
  <c r="B920" i="1"/>
  <c r="B919" i="1"/>
  <c r="B1073" i="1"/>
  <c r="B7" i="1"/>
  <c r="B1198" i="1"/>
  <c r="B820" i="1"/>
  <c r="B348" i="1"/>
  <c r="B1251" i="1"/>
  <c r="B739" i="1"/>
  <c r="B736" i="1"/>
  <c r="B375" i="1"/>
  <c r="B850" i="1"/>
  <c r="B1336" i="1"/>
  <c r="B782" i="1"/>
  <c r="B1103" i="1"/>
  <c r="B1115" i="1"/>
  <c r="B844" i="1"/>
  <c r="B1325" i="1"/>
  <c r="B140" i="1"/>
  <c r="B260" i="1"/>
  <c r="B1099" i="1"/>
  <c r="B444" i="1"/>
  <c r="B1114" i="1"/>
  <c r="B1053" i="1"/>
  <c r="B337" i="1"/>
  <c r="B1030" i="1"/>
  <c r="B983" i="1"/>
  <c r="B771" i="1"/>
  <c r="B955" i="1"/>
  <c r="B770" i="1"/>
  <c r="B1151" i="1"/>
  <c r="B1141" i="1"/>
  <c r="B1026" i="1"/>
  <c r="B227" i="1"/>
  <c r="B1196" i="1"/>
  <c r="B188" i="1"/>
  <c r="B549" i="1"/>
  <c r="B234" i="1"/>
  <c r="B281" i="1"/>
  <c r="B443" i="1"/>
  <c r="B597" i="1"/>
  <c r="B964" i="1"/>
  <c r="B324" i="1"/>
  <c r="B351" i="1"/>
  <c r="B901" i="1"/>
  <c r="B1193" i="1"/>
  <c r="B334" i="1"/>
  <c r="B831" i="1"/>
  <c r="B320" i="1"/>
  <c r="B762" i="1"/>
  <c r="B239" i="1"/>
  <c r="B421" i="1"/>
  <c r="B1174" i="1"/>
  <c r="B303" i="1"/>
  <c r="B343" i="1"/>
  <c r="B559" i="1"/>
  <c r="B1276" i="1"/>
  <c r="B539" i="1"/>
  <c r="B96" i="1"/>
  <c r="B519" i="1"/>
  <c r="B82" i="1"/>
  <c r="B1020" i="1"/>
  <c r="B15" i="1"/>
  <c r="B163" i="1"/>
  <c r="B828" i="1"/>
  <c r="B327" i="1"/>
  <c r="B579" i="1"/>
  <c r="B930" i="1"/>
  <c r="B917" i="1"/>
  <c r="B652" i="1"/>
  <c r="B63" i="1"/>
  <c r="B775" i="1"/>
  <c r="B809" i="1"/>
  <c r="B226" i="1"/>
  <c r="B464" i="1"/>
  <c r="B109" i="1"/>
  <c r="B608" i="1"/>
  <c r="B1013" i="1"/>
  <c r="B841" i="1"/>
  <c r="B1158" i="1"/>
  <c r="B445" i="1"/>
  <c r="B452" i="1"/>
  <c r="B21" i="1"/>
  <c r="B795" i="1"/>
  <c r="B524" i="1"/>
  <c r="B585" i="1"/>
  <c r="B924" i="1"/>
  <c r="B1381" i="1"/>
  <c r="B594" i="1"/>
  <c r="B208" i="1"/>
  <c r="B501" i="1"/>
  <c r="B271" i="1"/>
  <c r="B646" i="1"/>
  <c r="B620" i="1"/>
  <c r="B1365" i="1"/>
  <c r="B627" i="1"/>
  <c r="B1089" i="1"/>
  <c r="B693" i="1"/>
  <c r="B1021" i="1"/>
  <c r="B315" i="1"/>
  <c r="B1093" i="1"/>
  <c r="B1043" i="1"/>
  <c r="B598" i="1"/>
  <c r="B246" i="1"/>
  <c r="B681" i="1"/>
  <c r="B314" i="1"/>
  <c r="B407" i="1"/>
  <c r="B617" i="1"/>
  <c r="B1143" i="1"/>
  <c r="B456" i="1"/>
  <c r="B663" i="1"/>
  <c r="B892" i="1"/>
  <c r="B997" i="1"/>
  <c r="B1310" i="1"/>
  <c r="B624" i="1"/>
  <c r="B1300" i="1"/>
  <c r="B293" i="1"/>
  <c r="B347" i="1"/>
  <c r="B369" i="1"/>
  <c r="B656" i="1"/>
  <c r="B137" i="1"/>
  <c r="B1288" i="1"/>
  <c r="B814" i="1"/>
  <c r="B64" i="1"/>
  <c r="B211" i="1"/>
  <c r="B382" i="1"/>
  <c r="B821" i="1"/>
  <c r="B373" i="1"/>
  <c r="B1346" i="1"/>
  <c r="B154" i="1"/>
  <c r="B158" i="1"/>
  <c r="B950" i="1"/>
  <c r="B225" i="1"/>
  <c r="B299" i="1"/>
  <c r="B1224" i="1"/>
  <c r="B264" i="1"/>
  <c r="B1307" i="1"/>
  <c r="B1342" i="1"/>
  <c r="B584" i="1"/>
  <c r="B658" i="1"/>
  <c r="B792" i="1"/>
  <c r="B517" i="1"/>
  <c r="B969" i="1"/>
  <c r="B1056" i="1"/>
  <c r="B561" i="1"/>
  <c r="B692" i="1"/>
  <c r="B435" i="1"/>
  <c r="B912" i="1"/>
  <c r="B322" i="1"/>
  <c r="B648" i="1"/>
  <c r="B1359" i="1"/>
  <c r="B926" i="1"/>
  <c r="B1088" i="1"/>
  <c r="B662" i="1"/>
  <c r="B1173" i="1"/>
  <c r="B560" i="1"/>
  <c r="B1163" i="1"/>
  <c r="B99" i="1"/>
  <c r="B340" i="1"/>
  <c r="B1028" i="1"/>
  <c r="B534" i="1"/>
  <c r="B643" i="1"/>
  <c r="B499" i="1"/>
  <c r="B941" i="1"/>
  <c r="B93" i="1"/>
  <c r="B758" i="1"/>
  <c r="B402" i="1"/>
  <c r="B974" i="1"/>
  <c r="B553" i="1"/>
  <c r="B1361" i="1"/>
  <c r="B811" i="1"/>
  <c r="B1189" i="1"/>
  <c r="B979" i="1"/>
  <c r="B160" i="1"/>
  <c r="B165" i="1"/>
  <c r="B1294" i="1"/>
  <c r="B1312" i="1"/>
  <c r="B567" i="1"/>
  <c r="B491" i="1"/>
  <c r="B943" i="1"/>
  <c r="B100" i="1"/>
  <c r="B1373" i="1"/>
  <c r="B755" i="1"/>
  <c r="B1195" i="1"/>
  <c r="B891" i="1"/>
  <c r="B720" i="1"/>
  <c r="B364" i="1"/>
  <c r="B178" i="1"/>
  <c r="B858" i="1"/>
  <c r="B804" i="1"/>
  <c r="B123" i="1"/>
  <c r="B105" i="1"/>
  <c r="B542" i="1"/>
  <c r="B735" i="1"/>
  <c r="B1289" i="1"/>
  <c r="B360" i="1"/>
  <c r="B764" i="1"/>
  <c r="B447" i="1"/>
  <c r="B1297" i="1"/>
  <c r="B636" i="1"/>
  <c r="B660" i="1"/>
  <c r="B295" i="1"/>
  <c r="B1388" i="1"/>
  <c r="B186" i="1"/>
  <c r="B568" i="1"/>
  <c r="B1180" i="1"/>
  <c r="B1369" i="1"/>
  <c r="B895" i="1"/>
  <c r="B1076" i="1"/>
  <c r="B385" i="1"/>
  <c r="B860" i="1"/>
  <c r="B366" i="1"/>
  <c r="B1058" i="1"/>
  <c r="B1254" i="1"/>
  <c r="B823" i="1"/>
  <c r="B473" i="1"/>
  <c r="B1317" i="1"/>
  <c r="B1078" i="1"/>
  <c r="B267" i="1"/>
  <c r="B978" i="1"/>
  <c r="B81" i="1"/>
  <c r="B707" i="1"/>
  <c r="B1042" i="1"/>
  <c r="B554" i="1"/>
  <c r="B714" i="1"/>
  <c r="B171" i="1"/>
  <c r="B131" i="1"/>
  <c r="B727" i="1"/>
  <c r="B344" i="1"/>
  <c r="B390" i="1"/>
  <c r="B392" i="1"/>
  <c r="B1006" i="1"/>
  <c r="B114" i="1"/>
  <c r="B1335" i="1"/>
  <c r="B1378" i="1"/>
  <c r="B492" i="1"/>
  <c r="B101" i="1"/>
  <c r="B359" i="1"/>
  <c r="B259" i="1"/>
  <c r="B1057" i="1"/>
  <c r="B532" i="1"/>
  <c r="B352" i="1"/>
  <c r="B521" i="1"/>
  <c r="B1290" i="1"/>
  <c r="B536" i="1"/>
  <c r="B36" i="1"/>
  <c r="B565" i="1"/>
  <c r="B936" i="1"/>
  <c r="B694" i="1"/>
  <c r="B856" i="1"/>
  <c r="B161" i="1"/>
  <c r="B647" i="1"/>
  <c r="B423" i="1"/>
  <c r="B3" i="1"/>
  <c r="B113" i="1"/>
  <c r="B318" i="1"/>
  <c r="B411" i="1"/>
  <c r="B333" i="1"/>
  <c r="B1069" i="1"/>
  <c r="B290" i="1"/>
  <c r="B897" i="1"/>
  <c r="B1084" i="1"/>
  <c r="B562" i="1"/>
  <c r="B1285" i="1"/>
  <c r="B1272" i="1"/>
  <c r="B883" i="1"/>
  <c r="B177" i="1"/>
  <c r="B1390" i="1"/>
  <c r="B807" i="1"/>
  <c r="B17" i="1"/>
  <c r="B420" i="1"/>
  <c r="B339" i="1"/>
  <c r="B335" i="1"/>
  <c r="B928" i="1"/>
  <c r="B506" i="1"/>
  <c r="B1149" i="1"/>
  <c r="B669" i="1"/>
  <c r="B1240" i="1"/>
  <c r="B502" i="1"/>
  <c r="B1064" i="1"/>
  <c r="B970" i="1"/>
  <c r="B61" i="1"/>
  <c r="B67" i="1"/>
  <c r="B431" i="1"/>
  <c r="B1202" i="1"/>
  <c r="B251" i="1"/>
  <c r="B468" i="1"/>
  <c r="B671" i="1"/>
  <c r="B933" i="1"/>
  <c r="B262" i="1"/>
  <c r="B1190" i="1"/>
  <c r="B992" i="1"/>
  <c r="B998" i="1"/>
  <c r="B716" i="1"/>
  <c r="B1301" i="1"/>
  <c r="B836" i="1"/>
  <c r="B419" i="1"/>
  <c r="B1220" i="1"/>
  <c r="B508" i="1"/>
  <c r="B711" i="1"/>
  <c r="B595" i="1"/>
  <c r="B1244" i="1"/>
  <c r="B1049" i="1"/>
  <c r="B139" i="1"/>
  <c r="B1340" i="1"/>
  <c r="B1273" i="1"/>
  <c r="B923" i="1"/>
  <c r="B633" i="1"/>
  <c r="B1368" i="1"/>
  <c r="B272" i="1"/>
  <c r="B1144" i="1"/>
  <c r="B167" i="1"/>
  <c r="B583" i="1"/>
  <c r="B1344" i="1"/>
  <c r="B395" i="1"/>
  <c r="B1072" i="1"/>
  <c r="B1200" i="1"/>
  <c r="B918" i="1"/>
  <c r="B683" i="1"/>
  <c r="B947" i="1"/>
  <c r="B134" i="1"/>
  <c r="B1386" i="1"/>
  <c r="B785" i="1"/>
  <c r="B331" i="1"/>
  <c r="B1255" i="1"/>
  <c r="B33" i="1"/>
  <c r="B175" i="1"/>
  <c r="B988" i="1"/>
  <c r="B614" i="1"/>
  <c r="B977" i="1"/>
  <c r="B1004" i="1"/>
  <c r="B1258" i="1"/>
  <c r="B1171" i="1"/>
  <c r="B152" i="1"/>
  <c r="B147" i="1"/>
  <c r="B215" i="1"/>
  <c r="B196" i="1"/>
  <c r="B609" i="1"/>
  <c r="B316" i="1"/>
  <c r="B5" i="1"/>
  <c r="B76" i="1"/>
  <c r="B715" i="1"/>
  <c r="B577" i="1"/>
  <c r="B135" i="1"/>
  <c r="B57" i="1"/>
  <c r="B654" i="1"/>
  <c r="B1194" i="1"/>
  <c r="B247" i="1"/>
  <c r="B325" i="1"/>
  <c r="B301" i="1"/>
  <c r="B122" i="1"/>
  <c r="B297" i="1"/>
  <c r="B687" i="1"/>
  <c r="B922" i="1"/>
  <c r="B146" i="1"/>
  <c r="B786" i="1"/>
  <c r="B925" i="1"/>
  <c r="B1112" i="1"/>
  <c r="B462" i="1"/>
  <c r="B1231" i="1"/>
  <c r="B1393" i="1"/>
  <c r="B349" i="1"/>
  <c r="B722" i="1"/>
  <c r="B13" i="1"/>
  <c r="B280" i="1"/>
  <c r="B1238" i="1"/>
  <c r="B78" i="1"/>
  <c r="B1044" i="1"/>
  <c r="B854" i="1"/>
  <c r="B70" i="1"/>
  <c r="B1199" i="1"/>
  <c r="B1038" i="1"/>
  <c r="B777" i="1"/>
  <c r="B91" i="1"/>
  <c r="B1060" i="1"/>
  <c r="B616" i="1"/>
  <c r="B588" i="1"/>
  <c r="B796" i="1"/>
  <c r="B204" i="1"/>
  <c r="B1001" i="1"/>
  <c r="B1085" i="1"/>
  <c r="B705" i="1"/>
  <c r="B563" i="1"/>
  <c r="B261" i="1"/>
  <c r="B195" i="1"/>
  <c r="B886" i="1"/>
  <c r="B463" i="1"/>
  <c r="B538" i="1"/>
  <c r="B1366" i="1"/>
  <c r="B1218" i="1"/>
  <c r="B1012" i="1"/>
  <c r="B511" i="1"/>
  <c r="B906" i="1"/>
  <c r="B1066" i="1"/>
  <c r="B426" i="1"/>
  <c r="B400" i="1"/>
  <c r="B1162" i="1"/>
  <c r="B111" i="1"/>
  <c r="B210" i="1"/>
  <c r="B661" i="1"/>
  <c r="B547" i="1"/>
  <c r="B1019" i="1"/>
  <c r="B85" i="1"/>
  <c r="B104" i="1"/>
  <c r="B187" i="1"/>
  <c r="B1177" i="1"/>
  <c r="B193" i="1"/>
  <c r="B416" i="1"/>
  <c r="B94" i="1"/>
  <c r="B733" i="1"/>
  <c r="B824" i="1"/>
  <c r="B885" i="1"/>
  <c r="B372" i="1"/>
  <c r="B610" i="1"/>
  <c r="B438" i="1"/>
  <c r="B961" i="1"/>
  <c r="B640" i="1"/>
  <c r="B1182" i="1"/>
  <c r="B1070" i="1"/>
  <c r="B1304" i="1"/>
  <c r="B1172" i="1"/>
  <c r="B1059" i="1"/>
  <c r="B728" i="1"/>
  <c r="B959" i="1"/>
  <c r="B769" i="1"/>
  <c r="B1394" i="1"/>
  <c r="B1229" i="1"/>
  <c r="I4" i="2"/>
  <c r="H4" i="2"/>
  <c r="B86" i="1"/>
  <c r="B42" i="1"/>
  <c r="B168" i="1"/>
  <c r="B678" i="1"/>
  <c r="B1094" i="1"/>
  <c r="B695" i="1"/>
  <c r="B486" i="1"/>
  <c r="B1354" i="1"/>
  <c r="B566" i="1"/>
  <c r="B798" i="1"/>
  <c r="B910" i="1"/>
  <c r="B19" i="1"/>
  <c r="B73" i="1"/>
  <c r="B47" i="1"/>
  <c r="B655" i="1"/>
  <c r="B1313" i="1"/>
  <c r="B827" i="1"/>
  <c r="B680" i="1"/>
  <c r="B623" i="1"/>
  <c r="B832" i="1"/>
  <c r="B41" i="1"/>
  <c r="B748" i="1"/>
  <c r="B1282" i="1"/>
  <c r="B449" i="1"/>
  <c r="B1275" i="1"/>
  <c r="B734" i="1"/>
  <c r="B342" i="1"/>
  <c r="B1091" i="1"/>
  <c r="B512" i="1"/>
  <c r="B1138" i="1"/>
  <c r="B1287" i="1"/>
  <c r="B496" i="1"/>
  <c r="B1295" i="1"/>
  <c r="B97" i="1"/>
  <c r="B794" i="1"/>
  <c r="B791" i="1"/>
  <c r="B958" i="1"/>
  <c r="B49" i="1"/>
  <c r="B1192" i="1"/>
  <c r="B1329" i="1"/>
  <c r="B685" i="1"/>
  <c r="B605" i="1"/>
  <c r="B527" i="1"/>
  <c r="B376" i="1"/>
  <c r="B31" i="1"/>
  <c r="B602" i="1"/>
  <c r="B1148" i="1"/>
  <c r="B278" i="1"/>
  <c r="B389" i="1"/>
  <c r="B326" i="1"/>
  <c r="B846" i="1"/>
  <c r="B790" i="1"/>
  <c r="B458" i="1"/>
  <c r="B241" i="1"/>
  <c r="B150" i="1"/>
  <c r="B1237" i="1"/>
  <c r="B580" i="1"/>
  <c r="B306" i="1"/>
  <c r="B518" i="1"/>
  <c r="B987" i="1"/>
  <c r="B578" i="1"/>
  <c r="B999" i="1"/>
  <c r="B38" i="1"/>
  <c r="B283" i="1"/>
  <c r="B287" i="1"/>
  <c r="B149" i="1"/>
  <c r="B308" i="1"/>
  <c r="B641" i="1"/>
  <c r="B651" i="1"/>
  <c r="B481" i="1"/>
  <c r="B1145" i="1"/>
  <c r="B893" i="1"/>
  <c r="B368" i="1"/>
  <c r="B484" i="1"/>
  <c r="B581" i="1"/>
  <c r="B810" i="1"/>
  <c r="B428" i="1"/>
  <c r="B704" i="1"/>
  <c r="B1159" i="1"/>
  <c r="B173" i="1"/>
  <c r="B803" i="1"/>
  <c r="B533" i="1"/>
  <c r="B1197" i="1"/>
  <c r="B125" i="1"/>
  <c r="B877" i="1"/>
  <c r="B1210" i="1"/>
  <c r="B133" i="1"/>
  <c r="B642" i="1"/>
  <c r="B665" i="1"/>
  <c r="B313" i="1"/>
  <c r="B75" i="1"/>
  <c r="B321" i="1"/>
  <c r="B914" i="1"/>
  <c r="B1055" i="1"/>
  <c r="B1018" i="1"/>
  <c r="B551" i="1"/>
  <c r="B968" i="1"/>
  <c r="B288" i="1"/>
  <c r="B404" i="1"/>
  <c r="B243" i="1"/>
  <c r="B819" i="1"/>
  <c r="B1207" i="1"/>
  <c r="B1023" i="1"/>
  <c r="B1090" i="1"/>
  <c r="B625" i="1"/>
  <c r="B142" i="1"/>
  <c r="B1363" i="1"/>
  <c r="B806" i="1"/>
  <c r="B482" i="1"/>
  <c r="B990" i="1"/>
  <c r="B1082" i="1"/>
  <c r="B1371" i="1"/>
  <c r="B1347" i="1"/>
  <c r="B457" i="1"/>
  <c r="B172" i="1"/>
  <c r="B813" i="1"/>
  <c r="B1079" i="1"/>
  <c r="B190" i="1"/>
  <c r="B472" i="1"/>
  <c r="B1256" i="1"/>
  <c r="B487" i="1"/>
  <c r="B185" i="1"/>
  <c r="B1002" i="1"/>
  <c r="B613" i="1"/>
  <c r="B1063" i="1"/>
  <c r="B191" i="1"/>
  <c r="B493" i="1"/>
  <c r="B996" i="1"/>
  <c r="B1165" i="1"/>
  <c r="B948" i="1"/>
  <c r="B153" i="1"/>
  <c r="B721" i="1"/>
  <c r="B483" i="1"/>
  <c r="B697" i="1"/>
  <c r="B963" i="1"/>
  <c r="B753" i="1"/>
  <c r="B9" i="1"/>
  <c r="B802" i="1"/>
  <c r="B952" i="1"/>
  <c r="B179" i="1"/>
  <c r="B1086" i="1"/>
  <c r="B1372" i="1"/>
  <c r="B590" i="1"/>
  <c r="B973" i="1"/>
  <c r="B250" i="1"/>
  <c r="B43" i="1"/>
  <c r="B1212" i="1"/>
  <c r="B837" i="1"/>
  <c r="B1047" i="1"/>
  <c r="B460" i="1"/>
  <c r="B1323" i="1"/>
  <c r="B712" i="1"/>
  <c r="B132" i="1"/>
  <c r="B504" i="1"/>
  <c r="B523" i="1"/>
  <c r="B1370" i="1"/>
  <c r="B1204" i="1"/>
  <c r="B842" i="1"/>
  <c r="B784" i="1"/>
  <c r="B312" i="1"/>
  <c r="B1101" i="1"/>
  <c r="B292" i="1"/>
  <c r="B741" i="1"/>
  <c r="B853" i="1"/>
  <c r="B53" i="1"/>
  <c r="B788" i="1"/>
  <c r="B1345" i="1"/>
  <c r="B664" i="1"/>
  <c r="B80" i="1"/>
  <c r="B1139" i="1"/>
  <c r="B24" i="1"/>
  <c r="B1292" i="1"/>
  <c r="B274" i="1"/>
  <c r="B1348" i="1"/>
  <c r="B1046" i="1"/>
  <c r="B825" i="1"/>
  <c r="B6" i="1"/>
  <c r="B603" i="1"/>
  <c r="B115" i="1"/>
  <c r="B371" i="1"/>
  <c r="B34" i="1"/>
  <c r="B60" i="1"/>
  <c r="B991" i="1"/>
  <c r="B1356" i="1"/>
  <c r="B1167" i="1"/>
  <c r="B164" i="1"/>
  <c r="B409" i="1"/>
  <c r="B740" i="1"/>
  <c r="B915" i="1"/>
  <c r="B425" i="1"/>
  <c r="B145" i="1"/>
  <c r="B530" i="1"/>
  <c r="B412" i="1"/>
  <c r="B127" i="1"/>
  <c r="B1161" i="1"/>
  <c r="B870" i="1"/>
  <c r="B44" i="1"/>
  <c r="B887" i="1"/>
  <c r="B631" i="1"/>
  <c r="B951" i="1"/>
  <c r="B143" i="1"/>
  <c r="B902" i="1"/>
  <c r="B1022" i="1"/>
  <c r="B1098" i="1"/>
  <c r="B119" i="1"/>
  <c r="B956" i="1"/>
  <c r="B719" i="1"/>
  <c r="B498" i="1"/>
  <c r="B1286" i="1"/>
  <c r="B667" i="1"/>
  <c r="B276" i="1"/>
  <c r="B233" i="1"/>
  <c r="B1230" i="1"/>
  <c r="B675" i="1"/>
  <c r="B859" i="1"/>
  <c r="B442" i="1"/>
  <c r="B379" i="1"/>
  <c r="B867" i="1"/>
  <c r="B686" i="1"/>
  <c r="B622" i="1"/>
  <c r="B1036" i="1"/>
  <c r="B174" i="1"/>
  <c r="B957" i="1"/>
  <c r="B266" i="1"/>
  <c r="B701" i="1"/>
  <c r="B731" i="1"/>
  <c r="B291" i="1"/>
  <c r="B699" i="1"/>
  <c r="B1031" i="1"/>
  <c r="B896" i="1"/>
  <c r="B381" i="1"/>
  <c r="B713" i="1"/>
  <c r="B406" i="1"/>
  <c r="B855" i="1"/>
  <c r="B606" i="1"/>
  <c r="B307" i="1"/>
  <c r="B619" i="1"/>
  <c r="B932" i="1"/>
  <c r="B800" i="1"/>
  <c r="B1105" i="1"/>
  <c r="B822" i="1"/>
  <c r="B330" i="1"/>
  <c r="B1319" i="1"/>
  <c r="B505" i="1"/>
  <c r="B1104" i="1"/>
  <c r="B309" i="1"/>
  <c r="B159" i="1"/>
  <c r="B121" i="1"/>
  <c r="B203" i="1"/>
  <c r="B781" i="1"/>
  <c r="B621" i="1"/>
  <c r="B1351" i="1"/>
  <c r="B729" i="1"/>
  <c r="B628" i="1"/>
  <c r="B252" i="1"/>
  <c r="B1376" i="1"/>
  <c r="B1333" i="1"/>
  <c r="B737" i="1"/>
  <c r="B467" i="1"/>
  <c r="B367" i="1"/>
  <c r="B1184" i="1"/>
  <c r="B540" i="1"/>
  <c r="B657" i="1"/>
  <c r="B490" i="1"/>
  <c r="B591" i="1"/>
  <c r="B1102" i="1"/>
  <c r="B29" i="1"/>
  <c r="B311" i="1"/>
  <c r="B742" i="1"/>
  <c r="B817" i="1"/>
  <c r="B50" i="1"/>
  <c r="B700" i="1"/>
  <c r="B604" i="1"/>
  <c r="B338" i="1"/>
  <c r="B1225" i="1"/>
  <c r="B596" i="1"/>
  <c r="B157" i="1"/>
  <c r="B1191" i="1"/>
  <c r="B205" i="1"/>
  <c r="B1215" i="1"/>
  <c r="B550" i="1"/>
  <c r="B403" i="1"/>
  <c r="B593" i="1"/>
  <c r="B555" i="1"/>
  <c r="B1350" i="1"/>
  <c r="B726" i="1"/>
  <c r="B219" i="1"/>
  <c r="B469" i="1"/>
  <c r="B1039" i="1"/>
  <c r="B1355" i="1"/>
  <c r="B151" i="1"/>
  <c r="B408" i="1"/>
  <c r="B1015" i="1"/>
  <c r="B634" i="1"/>
  <c r="B35" i="1"/>
  <c r="B1257" i="1"/>
  <c r="B709" i="1"/>
  <c r="B1077" i="1"/>
  <c r="B1208" i="1"/>
  <c r="B757" i="1"/>
  <c r="B1034" i="1"/>
  <c r="B1266" i="1"/>
  <c r="B690" i="1"/>
  <c r="B801" i="1"/>
  <c r="B676" i="1"/>
  <c r="B949" i="1"/>
  <c r="B394" i="1"/>
  <c r="B1243" i="1"/>
  <c r="B545" i="1"/>
  <c r="B429" i="1"/>
  <c r="B1062" i="1"/>
  <c r="B77" i="1"/>
  <c r="B213" i="1"/>
  <c r="B1380" i="1"/>
  <c r="B780" i="1"/>
  <c r="B965" i="1"/>
  <c r="B783" i="1"/>
  <c r="B1219" i="1"/>
  <c r="B976" i="1"/>
  <c r="I1128" i="3" a="1"/>
  <c r="I1135" i="3" a="1"/>
  <c r="B1128" i="3" a="1"/>
  <c r="I1129" i="3" a="1"/>
  <c r="B1130" i="3" a="1"/>
  <c r="B985" i="3" a="1"/>
  <c r="I1131" i="3" a="1"/>
  <c r="I1134" i="3" a="1"/>
  <c r="B1125" i="3" a="1"/>
  <c r="I1130" i="3" a="1"/>
  <c r="B1131" i="3" a="1"/>
  <c r="B1134" i="3" a="1"/>
  <c r="I985" i="3" a="1"/>
  <c r="B1122" i="3" a="1"/>
  <c r="I1120" i="3" a="1"/>
  <c r="I1125" i="3" a="1"/>
  <c r="B1118" i="3" a="1"/>
  <c r="B1129" i="3" a="1"/>
  <c r="I1122" i="3" a="1"/>
  <c r="B1120" i="3" a="1"/>
  <c r="B1123" i="1" a="1"/>
  <c r="B1125" i="1" a="1"/>
  <c r="B1134" i="1" a="1"/>
  <c r="B1118" i="1" a="1"/>
  <c r="B1122" i="1" a="1"/>
  <c r="B1121" i="1" a="1"/>
  <c r="B1129" i="1" a="1"/>
  <c r="B1135" i="1" a="1"/>
  <c r="B1126" i="1" a="1"/>
  <c r="B985" i="1" a="1"/>
  <c r="B1117" i="1" a="1"/>
  <c r="B1131" i="1" a="1"/>
  <c r="B1116" i="1" a="1"/>
  <c r="B1120" i="1" a="1"/>
  <c r="B1133" i="1" a="1"/>
  <c r="B1119" i="1" a="1"/>
  <c r="B984" i="1" a="1"/>
  <c r="B1128" i="1" a="1"/>
  <c r="B1124" i="1" a="1"/>
  <c r="B1137" i="1" a="1"/>
  <c r="B1132" i="1" a="1"/>
  <c r="B1136" i="1" a="1"/>
  <c r="B1127" i="1" a="1"/>
  <c r="B1130" i="1" a="1"/>
  <c r="E214" i="3" l="1"/>
  <c r="D1237" i="3"/>
  <c r="E1236" i="3"/>
  <c r="D786" i="3"/>
  <c r="D175" i="3"/>
  <c r="E328" i="3"/>
  <c r="D233" i="3"/>
  <c r="E457" i="3"/>
  <c r="D148" i="3"/>
  <c r="D988" i="3"/>
  <c r="E866" i="3"/>
  <c r="E891" i="3"/>
  <c r="E199" i="3"/>
  <c r="D555" i="3"/>
  <c r="E1387" i="3"/>
  <c r="D355" i="3"/>
  <c r="D621" i="3"/>
  <c r="E1304" i="3"/>
  <c r="E1101" i="3"/>
  <c r="D1222" i="3"/>
  <c r="E1086" i="3"/>
  <c r="E424" i="3"/>
  <c r="E265" i="3"/>
  <c r="D754" i="3"/>
  <c r="D542" i="3"/>
  <c r="D841" i="3"/>
  <c r="D879" i="3"/>
  <c r="E882" i="3"/>
  <c r="D1285" i="3"/>
  <c r="D1311" i="3"/>
  <c r="D1014" i="3"/>
  <c r="D620" i="3"/>
  <c r="E1138" i="3"/>
  <c r="E752" i="3"/>
  <c r="D200" i="3"/>
  <c r="E1053" i="3"/>
  <c r="E587" i="3"/>
  <c r="E1147" i="3"/>
  <c r="E832" i="3"/>
  <c r="E29" i="3"/>
  <c r="E55" i="3"/>
  <c r="D713" i="3"/>
  <c r="D1017" i="3"/>
  <c r="D861" i="3"/>
  <c r="E873" i="3"/>
  <c r="D1230" i="3"/>
  <c r="E947" i="3"/>
  <c r="D751" i="3"/>
  <c r="E1151" i="3"/>
  <c r="E212" i="3"/>
  <c r="D30" i="3"/>
  <c r="D530" i="3"/>
  <c r="E952" i="3"/>
  <c r="D1374" i="3"/>
  <c r="E1280" i="3"/>
  <c r="D520" i="3"/>
  <c r="E650" i="3"/>
  <c r="D999" i="3"/>
  <c r="D1364" i="3"/>
  <c r="D840" i="3"/>
  <c r="E1329" i="3"/>
  <c r="D361" i="3"/>
  <c r="D1199" i="3"/>
  <c r="D403" i="3"/>
  <c r="D1041" i="3"/>
  <c r="E561" i="3"/>
  <c r="D922" i="3"/>
  <c r="D524" i="3"/>
  <c r="E785" i="3"/>
  <c r="E1356" i="3"/>
  <c r="E1367" i="3"/>
  <c r="E662" i="3"/>
  <c r="E515" i="3"/>
  <c r="D1044" i="3"/>
  <c r="D682" i="3"/>
  <c r="E1385" i="3"/>
  <c r="E996" i="3"/>
  <c r="E1143" i="3"/>
  <c r="D1248" i="3"/>
  <c r="D1233" i="3"/>
  <c r="E482" i="3"/>
  <c r="D81" i="3"/>
  <c r="E1184" i="3"/>
  <c r="D1353" i="3"/>
  <c r="D1168" i="3"/>
  <c r="D545" i="3"/>
  <c r="E1178" i="3"/>
  <c r="E427" i="3"/>
  <c r="E56" i="3"/>
  <c r="E538" i="3"/>
  <c r="D1390" i="3"/>
  <c r="D1188" i="3"/>
  <c r="D946" i="3"/>
  <c r="D72" i="3"/>
  <c r="E1120" i="3"/>
  <c r="D535" i="3"/>
  <c r="D206" i="3"/>
  <c r="E1342" i="3"/>
  <c r="E50" i="3"/>
  <c r="D670" i="3"/>
  <c r="D1104" i="3"/>
  <c r="D750" i="3"/>
  <c r="D319" i="3"/>
  <c r="E1155" i="3"/>
  <c r="D415" i="3"/>
  <c r="D1268" i="3"/>
  <c r="E839" i="3"/>
  <c r="D910" i="3"/>
  <c r="E451" i="3"/>
  <c r="D38" i="3"/>
  <c r="E1209" i="3"/>
  <c r="E283" i="3"/>
  <c r="D807" i="3"/>
  <c r="D254" i="3"/>
  <c r="E343" i="3"/>
  <c r="D1339" i="3"/>
  <c r="D417" i="3"/>
  <c r="D1315" i="3"/>
  <c r="D20" i="3"/>
  <c r="D986" i="3"/>
  <c r="D303" i="3"/>
  <c r="D915" i="3"/>
  <c r="D220" i="3"/>
  <c r="D330" i="3"/>
  <c r="D961" i="3"/>
  <c r="D1012" i="3"/>
  <c r="E1140" i="3"/>
  <c r="D1296" i="3"/>
  <c r="E469" i="3"/>
  <c r="D1007" i="3"/>
  <c r="D991" i="3"/>
  <c r="E529" i="3"/>
  <c r="D1284" i="3"/>
  <c r="D439" i="3"/>
  <c r="D236" i="3"/>
  <c r="D1187" i="3"/>
  <c r="E701" i="3"/>
  <c r="D102" i="3"/>
  <c r="D5" i="3"/>
  <c r="E235" i="3"/>
  <c r="D388" i="3"/>
  <c r="D931" i="3"/>
  <c r="D384" i="3"/>
  <c r="D1103" i="3"/>
  <c r="E203" i="3"/>
  <c r="E398" i="3"/>
  <c r="D406" i="3"/>
  <c r="D1291" i="3"/>
  <c r="D342" i="3"/>
  <c r="D338" i="3"/>
  <c r="D691" i="3"/>
  <c r="D251" i="3"/>
  <c r="D956" i="3"/>
  <c r="D541" i="3"/>
  <c r="E181" i="3"/>
  <c r="E1321" i="3"/>
  <c r="E468" i="3"/>
  <c r="D1271" i="3"/>
  <c r="D966" i="3"/>
  <c r="D766" i="3"/>
  <c r="D450" i="3"/>
  <c r="E609" i="3"/>
  <c r="E306" i="3"/>
  <c r="D326" i="3"/>
  <c r="D261" i="3"/>
  <c r="D1100" i="3"/>
  <c r="E867" i="3"/>
  <c r="D131" i="3"/>
  <c r="D1282" i="3"/>
  <c r="D80" i="3"/>
  <c r="E720" i="3"/>
  <c r="D53" i="3"/>
  <c r="E1079" i="3"/>
  <c r="D1054" i="3"/>
  <c r="D226" i="3"/>
  <c r="D744" i="3"/>
  <c r="D1258" i="3"/>
  <c r="E802" i="3"/>
  <c r="E178" i="3"/>
  <c r="D548" i="3"/>
  <c r="E478" i="3"/>
  <c r="D298" i="3"/>
  <c r="D626" i="3"/>
  <c r="D1343" i="3"/>
  <c r="D1045" i="3"/>
  <c r="E364" i="3"/>
  <c r="D162" i="3"/>
  <c r="D586" i="3"/>
  <c r="E1165" i="3"/>
  <c r="E1257" i="3"/>
  <c r="D639" i="3"/>
  <c r="D724" i="3"/>
  <c r="D527" i="3"/>
  <c r="D860" i="3"/>
  <c r="D1274" i="3"/>
  <c r="E1347" i="3"/>
  <c r="D1289" i="3"/>
  <c r="D317" i="3"/>
  <c r="E399" i="3"/>
  <c r="E1246" i="3"/>
  <c r="D857" i="3"/>
  <c r="E876" i="3"/>
  <c r="D792" i="3"/>
  <c r="D954" i="3"/>
  <c r="D1344" i="3"/>
  <c r="D410" i="3"/>
  <c r="D1164" i="3"/>
  <c r="D703" i="3"/>
  <c r="D434" i="3"/>
  <c r="D917" i="3"/>
  <c r="D625" i="3"/>
  <c r="D692" i="3"/>
  <c r="E664" i="3"/>
  <c r="E1004" i="3"/>
  <c r="D474" i="3"/>
  <c r="E580" i="3"/>
  <c r="D730" i="3"/>
  <c r="E1023" i="3"/>
  <c r="E589" i="3"/>
  <c r="D1270" i="3"/>
  <c r="D1084" i="3"/>
  <c r="D622" i="3"/>
  <c r="D660" i="3"/>
  <c r="D914" i="3"/>
  <c r="D852" i="3"/>
  <c r="D472" i="3"/>
  <c r="D313" i="3"/>
  <c r="D1131" i="3"/>
  <c r="D1352" i="3"/>
  <c r="D447" i="3"/>
  <c r="E33" i="3"/>
  <c r="D1354" i="3"/>
  <c r="D6" i="3"/>
  <c r="D769" i="3"/>
  <c r="D722" i="3"/>
  <c r="E878" i="3"/>
  <c r="D1205" i="3"/>
  <c r="D263" i="3"/>
  <c r="D174" i="3"/>
  <c r="D1181" i="3"/>
  <c r="D693" i="3"/>
  <c r="E88" i="3"/>
  <c r="D1011" i="3"/>
  <c r="E1225" i="3"/>
  <c r="D1145" i="3"/>
  <c r="D85" i="3"/>
  <c r="D592" i="3"/>
  <c r="D1384" i="3"/>
  <c r="D377" i="3"/>
  <c r="D223" i="3"/>
  <c r="D112" i="3"/>
  <c r="E631" i="3"/>
  <c r="D893" i="3"/>
  <c r="D382" i="3"/>
  <c r="D229" i="3"/>
  <c r="E636" i="3"/>
  <c r="E232" i="3"/>
  <c r="D594" i="3"/>
  <c r="D923" i="3"/>
  <c r="D1065" i="3"/>
  <c r="D1024" i="3"/>
  <c r="E962" i="3"/>
  <c r="E320" i="3"/>
  <c r="E950" i="3"/>
  <c r="D240" i="3"/>
  <c r="E37" i="3"/>
  <c r="E301" i="3"/>
  <c r="E1334" i="3"/>
  <c r="E782" i="3"/>
  <c r="D448" i="3"/>
  <c r="E1167" i="3"/>
  <c r="E815" i="3"/>
  <c r="D992" i="3"/>
  <c r="D197" i="3"/>
  <c r="D272" i="3"/>
  <c r="D904" i="3"/>
  <c r="D1336" i="3"/>
  <c r="D1073" i="3"/>
  <c r="E152" i="3"/>
  <c r="D1313" i="3"/>
  <c r="D755" i="3"/>
  <c r="D787" i="3"/>
  <c r="E278" i="3"/>
  <c r="D110" i="3"/>
  <c r="E126" i="3"/>
  <c r="D433" i="3"/>
  <c r="D238" i="3"/>
  <c r="E139" i="3"/>
  <c r="D103" i="3"/>
  <c r="D663" i="3"/>
  <c r="E511" i="3"/>
  <c r="D684" i="3"/>
  <c r="E1264" i="3"/>
  <c r="E381" i="3"/>
  <c r="D1051" i="3"/>
  <c r="D57" i="3"/>
  <c r="E1310" i="3"/>
  <c r="D608" i="3"/>
  <c r="E1220" i="3"/>
  <c r="D745" i="3"/>
  <c r="D973" i="3"/>
  <c r="D1113" i="3"/>
  <c r="E1266" i="3"/>
  <c r="E768" i="3"/>
  <c r="D1153" i="3"/>
  <c r="E734" i="3"/>
  <c r="D147" i="3"/>
  <c r="D94" i="3"/>
  <c r="E510" i="3"/>
  <c r="D575" i="3"/>
  <c r="E215" i="3"/>
  <c r="E1002" i="3"/>
  <c r="D711" i="3"/>
  <c r="E612" i="3"/>
  <c r="D379" i="3"/>
  <c r="D699" i="3"/>
  <c r="D348" i="3"/>
  <c r="E544" i="3"/>
  <c r="D761" i="3"/>
  <c r="D179" i="3"/>
  <c r="D505" i="3"/>
  <c r="D7" i="3"/>
  <c r="D35" i="3"/>
  <c r="E795" i="3"/>
  <c r="D683" i="3"/>
  <c r="E843" i="3"/>
  <c r="D944" i="3"/>
  <c r="D836" i="3"/>
  <c r="D1283" i="3"/>
  <c r="D773" i="3"/>
  <c r="D624" i="3"/>
  <c r="E610" i="3"/>
  <c r="D185" i="3"/>
  <c r="D661" i="3"/>
  <c r="E704" i="3"/>
  <c r="D1244" i="3"/>
  <c r="E293" i="3"/>
  <c r="E994" i="3"/>
  <c r="D389" i="3"/>
  <c r="E1022" i="3"/>
  <c r="D324" i="3"/>
  <c r="E77" i="3"/>
  <c r="E1240" i="3"/>
  <c r="E24" i="3"/>
  <c r="D245" i="3"/>
  <c r="D1245" i="3"/>
  <c r="D1032" i="3"/>
  <c r="E652" i="3"/>
  <c r="D507" i="3"/>
  <c r="D243" i="3"/>
  <c r="E757" i="3"/>
  <c r="D1204" i="3"/>
  <c r="D763" i="3"/>
  <c r="D719" i="3"/>
  <c r="D90" i="3"/>
  <c r="E208" i="3"/>
  <c r="D167" i="3"/>
  <c r="E877" i="3"/>
  <c r="D248" i="3"/>
  <c r="D483" i="3"/>
  <c r="D791" i="3"/>
  <c r="E194" i="3"/>
  <c r="E405" i="3"/>
  <c r="D651" i="3"/>
  <c r="D869" i="3"/>
  <c r="D868" i="3"/>
  <c r="D698" i="3"/>
  <c r="D783" i="3"/>
  <c r="D34" i="3"/>
  <c r="E814" i="3"/>
  <c r="D1067" i="3"/>
  <c r="E1382" i="3"/>
  <c r="D132" i="3"/>
  <c r="E1320" i="3"/>
  <c r="E331" i="3"/>
  <c r="D353" i="3"/>
  <c r="D813" i="3"/>
  <c r="D789" i="3"/>
  <c r="E965" i="3"/>
  <c r="D237" i="3"/>
  <c r="E17" i="3"/>
  <c r="D963" i="3"/>
  <c r="D54" i="3"/>
  <c r="D1111" i="3"/>
  <c r="D826" i="3"/>
  <c r="D429" i="3"/>
  <c r="E972" i="3"/>
  <c r="D533" i="3"/>
  <c r="D706" i="3"/>
  <c r="E267" i="3"/>
  <c r="D75" i="3"/>
  <c r="E1355" i="3"/>
  <c r="E557" i="3"/>
  <c r="D613" i="3"/>
  <c r="E740" i="3"/>
  <c r="D347" i="3"/>
  <c r="D1159" i="3"/>
  <c r="D1157" i="3"/>
  <c r="D949" i="3"/>
  <c r="E630" i="3"/>
  <c r="E386" i="3"/>
  <c r="E1077" i="3"/>
  <c r="D360" i="3"/>
  <c r="E1128" i="3"/>
  <c r="E1050" i="3"/>
  <c r="E597" i="3"/>
  <c r="D1263" i="3"/>
  <c r="E295" i="3"/>
  <c r="E668" i="3"/>
  <c r="D1269" i="3"/>
  <c r="D1071" i="3"/>
  <c r="D412" i="3"/>
  <c r="D1351" i="3"/>
  <c r="D1242" i="3"/>
  <c r="E827" i="3"/>
  <c r="D146" i="3"/>
  <c r="E603" i="3"/>
  <c r="D975" i="3"/>
  <c r="D487" i="3"/>
  <c r="D888" i="3"/>
  <c r="D1383" i="3"/>
  <c r="E373" i="3"/>
  <c r="D1175" i="3"/>
  <c r="E1333" i="3"/>
  <c r="D534" i="3"/>
  <c r="D464" i="3"/>
  <c r="D863" i="3"/>
  <c r="D177" i="3"/>
  <c r="D117" i="3"/>
  <c r="E1130" i="3"/>
  <c r="E1331" i="3"/>
  <c r="E256" i="3"/>
  <c r="E219" i="3"/>
  <c r="E733" i="3"/>
  <c r="D156" i="3"/>
  <c r="D918" i="3"/>
  <c r="D629" i="3"/>
  <c r="D883" i="3"/>
  <c r="D262" i="3"/>
  <c r="D616" i="3"/>
  <c r="D1212" i="3"/>
  <c r="E1057" i="3"/>
  <c r="D811" i="3"/>
  <c r="E1265" i="3"/>
  <c r="E28" i="3"/>
  <c r="D718" i="3"/>
  <c r="D138" i="3"/>
  <c r="E130" i="3"/>
  <c r="E552" i="3"/>
  <c r="D1177" i="3"/>
  <c r="D1034" i="3"/>
  <c r="D697" i="3"/>
  <c r="D1251" i="3"/>
  <c r="E435" i="3"/>
  <c r="D1193" i="3"/>
  <c r="D4" i="3"/>
  <c r="E598" i="3"/>
  <c r="D1394" i="3"/>
  <c r="D707" i="3"/>
  <c r="E1306" i="3"/>
  <c r="E443" i="3"/>
  <c r="E558" i="3"/>
  <c r="D119" i="3"/>
  <c r="E104" i="3"/>
  <c r="D76" i="3"/>
  <c r="D501" i="3"/>
  <c r="D987" i="3"/>
  <c r="E553" i="3"/>
  <c r="E84" i="3"/>
  <c r="E656" i="3"/>
  <c r="D694" i="3"/>
  <c r="D182" i="3"/>
  <c r="E1255" i="3"/>
  <c r="D494" i="3"/>
  <c r="E937" i="3"/>
  <c r="D1106" i="3"/>
  <c r="D241" i="3"/>
  <c r="D1072" i="3"/>
  <c r="E809" i="3"/>
  <c r="E513" i="3"/>
  <c r="E470" i="3"/>
  <c r="D498" i="3"/>
  <c r="D460" i="3"/>
  <c r="D82" i="3"/>
  <c r="D1328" i="3"/>
  <c r="D1388" i="3"/>
  <c r="E411" i="3"/>
  <c r="D573" i="3"/>
  <c r="D632" i="3"/>
  <c r="D465" i="3"/>
  <c r="E960" i="3"/>
  <c r="E365" i="3"/>
  <c r="E1389" i="3"/>
  <c r="D1025" i="3"/>
  <c r="E249" i="3"/>
  <c r="D536" i="3"/>
  <c r="D141" i="3"/>
  <c r="D953" i="3"/>
  <c r="E810" i="3"/>
  <c r="E1366" i="3"/>
  <c r="D823" i="3"/>
  <c r="E205" i="3"/>
  <c r="D1202" i="3"/>
  <c r="D1169" i="3"/>
  <c r="D408" i="3"/>
  <c r="E92" i="3"/>
  <c r="E1070" i="3"/>
  <c r="E850" i="3"/>
  <c r="D583" i="3"/>
  <c r="D596" i="3"/>
  <c r="B1128" i="3"/>
  <c r="I1129" i="3"/>
  <c r="E908" i="3"/>
  <c r="D908" i="3"/>
  <c r="E767" i="3"/>
  <c r="D767" i="3"/>
  <c r="D1276" i="3"/>
  <c r="E1276" i="3"/>
  <c r="D276" i="3"/>
  <c r="E276" i="3"/>
  <c r="D1136" i="3"/>
  <c r="E1136" i="3"/>
  <c r="E116" i="3"/>
  <c r="D116" i="3"/>
  <c r="D68" i="3"/>
  <c r="E68" i="3"/>
  <c r="D550" i="3"/>
  <c r="E550" i="3"/>
  <c r="D901" i="3"/>
  <c r="E901" i="3"/>
  <c r="E640" i="3"/>
  <c r="D640" i="3"/>
  <c r="D643" i="3"/>
  <c r="E643" i="3"/>
  <c r="D180" i="3"/>
  <c r="E180" i="3"/>
  <c r="D945" i="3"/>
  <c r="E945" i="3"/>
  <c r="D168" i="3"/>
  <c r="E168" i="3"/>
  <c r="E218" i="3"/>
  <c r="D218" i="3"/>
  <c r="E416" i="3"/>
  <c r="D416" i="3"/>
  <c r="D546" i="3"/>
  <c r="E546" i="3"/>
  <c r="E277" i="3"/>
  <c r="D277" i="3"/>
  <c r="D357" i="3"/>
  <c r="E357" i="3"/>
  <c r="D756" i="3"/>
  <c r="E756" i="3"/>
  <c r="D531" i="3"/>
  <c r="E531" i="3"/>
  <c r="D1056" i="3"/>
  <c r="E1056" i="3"/>
  <c r="E1133" i="3"/>
  <c r="E231" i="3"/>
  <c r="D231" i="3"/>
  <c r="E402" i="3"/>
  <c r="D402" i="3"/>
  <c r="E51" i="3"/>
  <c r="D51" i="3"/>
  <c r="E1020" i="3"/>
  <c r="D1020" i="3"/>
  <c r="E775" i="3"/>
  <c r="D775" i="3"/>
  <c r="D1170" i="3"/>
  <c r="E1170" i="3"/>
  <c r="E921" i="3"/>
  <c r="D921" i="3"/>
  <c r="E1108" i="3"/>
  <c r="D1108" i="3"/>
  <c r="D385" i="3"/>
  <c r="E385" i="3"/>
  <c r="E1154" i="3"/>
  <c r="D1154" i="3"/>
  <c r="E648" i="3"/>
  <c r="D648" i="3"/>
  <c r="E743" i="3"/>
  <c r="D743" i="3"/>
  <c r="D488" i="3"/>
  <c r="E488" i="3"/>
  <c r="E260" i="3"/>
  <c r="D260" i="3"/>
  <c r="D948" i="3"/>
  <c r="E948" i="3"/>
  <c r="D677" i="3"/>
  <c r="E677" i="3"/>
  <c r="E253" i="3"/>
  <c r="D253" i="3"/>
  <c r="E191" i="3"/>
  <c r="D191" i="3"/>
  <c r="D856" i="3"/>
  <c r="E856" i="3"/>
  <c r="E905" i="3"/>
  <c r="D905" i="3"/>
  <c r="D1211" i="3"/>
  <c r="E1211" i="3"/>
  <c r="E1219" i="3"/>
  <c r="D1219" i="3"/>
  <c r="D674" i="3"/>
  <c r="E674" i="3"/>
  <c r="E304" i="3"/>
  <c r="D304" i="3"/>
  <c r="D1105" i="3"/>
  <c r="E1105" i="3"/>
  <c r="E461" i="3"/>
  <c r="D461" i="3"/>
  <c r="D1278" i="3"/>
  <c r="E1278" i="3"/>
  <c r="E591" i="3"/>
  <c r="D591" i="3"/>
  <c r="E872" i="3"/>
  <c r="D647" i="3"/>
  <c r="D499" i="3"/>
  <c r="E1028" i="3"/>
  <c r="D1028" i="3"/>
  <c r="E271" i="3"/>
  <c r="D271" i="3"/>
  <c r="E393" i="3"/>
  <c r="D393" i="3"/>
  <c r="D543" i="3"/>
  <c r="E543" i="3"/>
  <c r="E476" i="3"/>
  <c r="D476" i="3"/>
  <c r="D1123" i="3"/>
  <c r="E1123" i="3"/>
  <c r="E473" i="3"/>
  <c r="D473" i="3"/>
  <c r="D819" i="3"/>
  <c r="E819" i="3"/>
  <c r="E753" i="3"/>
  <c r="D753" i="3"/>
  <c r="E835" i="3"/>
  <c r="D835" i="3"/>
  <c r="E686" i="3"/>
  <c r="D686" i="3"/>
  <c r="E774" i="3"/>
  <c r="D774" i="3"/>
  <c r="E997" i="3"/>
  <c r="D997" i="3"/>
  <c r="E1323" i="3"/>
  <c r="D1323" i="3"/>
  <c r="D300" i="3"/>
  <c r="E300" i="3"/>
  <c r="E1018" i="3"/>
  <c r="D1018" i="3"/>
  <c r="E1381" i="3"/>
  <c r="E159" i="3"/>
  <c r="E150" i="3"/>
  <c r="E909" i="3"/>
  <c r="D909" i="3"/>
  <c r="E834" i="3"/>
  <c r="D834" i="3"/>
  <c r="E764" i="3"/>
  <c r="D764" i="3"/>
  <c r="D926" i="3"/>
  <c r="E926" i="3"/>
  <c r="E1185" i="3"/>
  <c r="D1185" i="3"/>
  <c r="E44" i="3"/>
  <c r="D44" i="3"/>
  <c r="D1279" i="3"/>
  <c r="E1279" i="3"/>
  <c r="E746" i="3"/>
  <c r="D746" i="3"/>
  <c r="E106" i="3"/>
  <c r="D106" i="3"/>
  <c r="D109" i="3"/>
  <c r="E109" i="3"/>
  <c r="D1362" i="3"/>
  <c r="E1362" i="3"/>
  <c r="E137" i="3"/>
  <c r="D137" i="3"/>
  <c r="E1102" i="3"/>
  <c r="D1102" i="3"/>
  <c r="E1337" i="3"/>
  <c r="D1337" i="3"/>
  <c r="E771" i="3"/>
  <c r="D771" i="3"/>
  <c r="E345" i="3"/>
  <c r="D345" i="3"/>
  <c r="D777" i="3"/>
  <c r="E777" i="3"/>
  <c r="D539" i="3"/>
  <c r="E539" i="3"/>
  <c r="E1254" i="3"/>
  <c r="D1254" i="3"/>
  <c r="E1172" i="3"/>
  <c r="D1172" i="3"/>
  <c r="E395" i="3"/>
  <c r="D395" i="3"/>
  <c r="E43" i="3"/>
  <c r="D43" i="3"/>
  <c r="E67" i="3"/>
  <c r="D67" i="3"/>
  <c r="D1107" i="3"/>
  <c r="E1107" i="3"/>
  <c r="E284" i="3"/>
  <c r="D284" i="3"/>
  <c r="E108" i="3"/>
  <c r="D108" i="3"/>
  <c r="E800" i="3"/>
  <c r="D800" i="3"/>
  <c r="D15" i="3"/>
  <c r="E15" i="3"/>
  <c r="E140" i="3"/>
  <c r="D140" i="3"/>
  <c r="E1335" i="3"/>
  <c r="D1335" i="3"/>
  <c r="E418" i="3"/>
  <c r="D418" i="3"/>
  <c r="D1008" i="3"/>
  <c r="E1008" i="3"/>
  <c r="E1239" i="3"/>
  <c r="D1239" i="3"/>
  <c r="E31" i="3"/>
  <c r="D31" i="3"/>
  <c r="E305" i="3"/>
  <c r="D305" i="3"/>
  <c r="E376" i="3"/>
  <c r="D376" i="3"/>
  <c r="D566" i="3"/>
  <c r="E566" i="3"/>
  <c r="E641" i="3"/>
  <c r="D641" i="3"/>
  <c r="E455" i="3"/>
  <c r="D455" i="3"/>
  <c r="D375" i="3"/>
  <c r="E375" i="3"/>
  <c r="E659" i="3"/>
  <c r="D659" i="3"/>
  <c r="D1267" i="3"/>
  <c r="E1267" i="3"/>
  <c r="E1231" i="3"/>
  <c r="D1231" i="3"/>
  <c r="E1292" i="3"/>
  <c r="D1292" i="3"/>
  <c r="E1235" i="3"/>
  <c r="D1235" i="3"/>
  <c r="D210" i="3"/>
  <c r="E210" i="3"/>
  <c r="E772" i="3"/>
  <c r="D772" i="3"/>
  <c r="D611" i="3"/>
  <c r="E611" i="3"/>
  <c r="D1253" i="3"/>
  <c r="E1253" i="3"/>
  <c r="D1307" i="3"/>
  <c r="E1307" i="3"/>
  <c r="D1049" i="3"/>
  <c r="E1049" i="3"/>
  <c r="E86" i="3"/>
  <c r="D86" i="3"/>
  <c r="D250" i="3"/>
  <c r="E250" i="3"/>
  <c r="E1013" i="3"/>
  <c r="D1013" i="3"/>
  <c r="E1033" i="3"/>
  <c r="D1033" i="3"/>
  <c r="E380" i="3"/>
  <c r="D380" i="3"/>
  <c r="E413" i="3"/>
  <c r="D413" i="3"/>
  <c r="E516" i="3"/>
  <c r="D516" i="3"/>
  <c r="D567" i="3"/>
  <c r="E567" i="3"/>
  <c r="D1227" i="3"/>
  <c r="E1227" i="3"/>
  <c r="D710" i="3"/>
  <c r="E710" i="3"/>
  <c r="E315" i="3"/>
  <c r="D315" i="3"/>
  <c r="E292" i="3"/>
  <c r="D292" i="3"/>
  <c r="D762" i="3"/>
  <c r="E762" i="3"/>
  <c r="D525" i="3"/>
  <c r="D1226" i="3"/>
  <c r="E1226" i="3"/>
  <c r="E1359" i="3"/>
  <c r="D1359" i="3"/>
  <c r="E281" i="3"/>
  <c r="D281" i="3"/>
  <c r="E216" i="3"/>
  <c r="D216" i="3"/>
  <c r="E21" i="3"/>
  <c r="D21" i="3"/>
  <c r="E700" i="3"/>
  <c r="D700" i="3"/>
  <c r="D871" i="3"/>
  <c r="E871" i="3"/>
  <c r="E1375" i="3"/>
  <c r="D1375" i="3"/>
  <c r="E521" i="3"/>
  <c r="D521" i="3"/>
  <c r="E1089" i="3"/>
  <c r="D1089" i="3"/>
  <c r="D467" i="3"/>
  <c r="E467" i="3"/>
  <c r="D255" i="3"/>
  <c r="E255" i="3"/>
  <c r="D165" i="3"/>
  <c r="E165" i="3"/>
  <c r="E275" i="3"/>
  <c r="D275" i="3"/>
  <c r="D508" i="3"/>
  <c r="E508" i="3"/>
  <c r="E1288" i="3"/>
  <c r="D1288" i="3"/>
  <c r="E268" i="3"/>
  <c r="D268" i="3"/>
  <c r="E968" i="3"/>
  <c r="D968" i="3"/>
  <c r="D436" i="3"/>
  <c r="E436" i="3"/>
  <c r="D368" i="3"/>
  <c r="E52" i="3"/>
  <c r="D456" i="3"/>
  <c r="E143" i="3"/>
  <c r="D1133" i="3"/>
  <c r="D363" i="3"/>
  <c r="E145" i="3"/>
  <c r="E359" i="3"/>
  <c r="D350" i="3"/>
  <c r="D1112" i="3"/>
  <c r="E1097" i="3"/>
  <c r="E1260" i="3"/>
  <c r="E98" i="3"/>
  <c r="D98" i="3"/>
  <c r="E776" i="3"/>
  <c r="D420" i="3"/>
  <c r="D1062" i="3"/>
  <c r="D828" i="3"/>
  <c r="E854" i="3"/>
  <c r="D854" i="3"/>
  <c r="E736" i="3"/>
  <c r="D736" i="3"/>
  <c r="D183" i="3"/>
  <c r="E234" i="3"/>
  <c r="D322" i="3"/>
  <c r="E452" i="3"/>
  <c r="D452" i="3"/>
  <c r="D614" i="3"/>
  <c r="E614" i="3"/>
  <c r="D1308" i="3"/>
  <c r="E1308" i="3"/>
  <c r="D1109" i="3"/>
  <c r="E1091" i="3"/>
  <c r="D737" i="3"/>
  <c r="D979" i="3"/>
  <c r="E979" i="3"/>
  <c r="D1047" i="3"/>
  <c r="E1047" i="3"/>
  <c r="D289" i="3"/>
  <c r="E289" i="3"/>
  <c r="D454" i="3"/>
  <c r="E454" i="3"/>
  <c r="D211" i="3"/>
  <c r="E211" i="3"/>
  <c r="E1099" i="3"/>
  <c r="D1099" i="3"/>
  <c r="D369" i="3"/>
  <c r="E369" i="3"/>
  <c r="E654" i="3"/>
  <c r="D654" i="3"/>
  <c r="E920" i="3"/>
  <c r="E497" i="3"/>
  <c r="D497" i="3"/>
  <c r="D1252" i="3"/>
  <c r="E1252" i="3"/>
  <c r="E1295" i="3"/>
  <c r="D1295" i="3"/>
  <c r="E514" i="3"/>
  <c r="D514" i="3"/>
  <c r="E804" i="3"/>
  <c r="D804" i="3"/>
  <c r="E830" i="3"/>
  <c r="D830" i="3"/>
  <c r="E269" i="3"/>
  <c r="D269" i="3"/>
  <c r="D224" i="3"/>
  <c r="E224" i="3"/>
  <c r="E635" i="3"/>
  <c r="D635" i="3"/>
  <c r="E1074" i="3"/>
  <c r="D1074" i="3"/>
  <c r="D1358" i="3"/>
  <c r="E1358" i="3"/>
  <c r="E1183" i="3"/>
  <c r="D1183" i="3"/>
  <c r="E1166" i="3"/>
  <c r="D1166" i="3"/>
  <c r="D70" i="3"/>
  <c r="E70" i="3"/>
  <c r="D1152" i="3"/>
  <c r="E1152" i="3"/>
  <c r="E441" i="3"/>
  <c r="D441" i="3"/>
  <c r="E1224" i="3"/>
  <c r="D1224" i="3"/>
  <c r="E207" i="3"/>
  <c r="D207" i="3"/>
  <c r="D971" i="3"/>
  <c r="E971" i="3"/>
  <c r="D340" i="3"/>
  <c r="E340" i="3"/>
  <c r="E667" i="3"/>
  <c r="D667" i="3"/>
  <c r="E1357" i="3"/>
  <c r="D1357" i="3"/>
  <c r="E336" i="3"/>
  <c r="D336" i="3"/>
  <c r="E1324" i="3"/>
  <c r="D1324" i="3"/>
  <c r="E188" i="3"/>
  <c r="D188" i="3"/>
  <c r="E160" i="3"/>
  <c r="D160" i="3"/>
  <c r="D1137" i="3"/>
  <c r="E1137" i="3"/>
  <c r="E519" i="3"/>
  <c r="D519" i="3"/>
  <c r="D193" i="3"/>
  <c r="D247" i="3"/>
  <c r="D407" i="3"/>
  <c r="E477" i="3"/>
  <c r="E1069" i="3"/>
  <c r="D1069" i="3"/>
  <c r="D1259" i="3"/>
  <c r="E1259" i="3"/>
  <c r="E493" i="3"/>
  <c r="D493" i="3"/>
  <c r="E480" i="3"/>
  <c r="D480" i="3"/>
  <c r="D437" i="3"/>
  <c r="E437" i="3"/>
  <c r="D581" i="3"/>
  <c r="E581" i="3"/>
  <c r="D344" i="3"/>
  <c r="E344" i="3"/>
  <c r="E690" i="3"/>
  <c r="D690" i="3"/>
  <c r="E503" i="3"/>
  <c r="D503" i="3"/>
  <c r="D1228" i="3"/>
  <c r="E874" i="3"/>
  <c r="E83" i="3"/>
  <c r="D432" i="3"/>
  <c r="E432" i="3"/>
  <c r="E438" i="3"/>
  <c r="D438" i="3"/>
  <c r="E134" i="3"/>
  <c r="D134" i="3"/>
  <c r="D906" i="3"/>
  <c r="E906" i="3"/>
  <c r="E122" i="3"/>
  <c r="D122" i="3"/>
  <c r="D658" i="3"/>
  <c r="D291" i="3"/>
  <c r="E291" i="3"/>
  <c r="E518" i="3"/>
  <c r="D518" i="3"/>
  <c r="E133" i="3"/>
  <c r="D133" i="3"/>
  <c r="E1208" i="3"/>
  <c r="D1208" i="3"/>
  <c r="E1377" i="3"/>
  <c r="D1377" i="3"/>
  <c r="D1298" i="3"/>
  <c r="E1298" i="3"/>
  <c r="E1309" i="3"/>
  <c r="D1309" i="3"/>
  <c r="E392" i="3"/>
  <c r="D392" i="3"/>
  <c r="D419" i="3"/>
  <c r="E419" i="3"/>
  <c r="E495" i="3"/>
  <c r="D495" i="3"/>
  <c r="D939" i="3"/>
  <c r="E939" i="3"/>
  <c r="E1301" i="3"/>
  <c r="D1301" i="3"/>
  <c r="D574" i="3"/>
  <c r="E574" i="3"/>
  <c r="E816" i="3"/>
  <c r="D816" i="3"/>
  <c r="E846" i="3"/>
  <c r="D846" i="3"/>
  <c r="D471" i="3"/>
  <c r="E471" i="3"/>
  <c r="D919" i="3"/>
  <c r="E919" i="3"/>
  <c r="E127" i="3"/>
  <c r="D127" i="3"/>
  <c r="E1093" i="3"/>
  <c r="D1093" i="3"/>
  <c r="D725" i="3"/>
  <c r="E725" i="3"/>
  <c r="E532" i="3"/>
  <c r="D532" i="3"/>
  <c r="E113" i="3"/>
  <c r="D113" i="3"/>
  <c r="E79" i="3"/>
  <c r="D79" i="3"/>
  <c r="E500" i="3"/>
  <c r="D500" i="3"/>
  <c r="E1182" i="3"/>
  <c r="D1182" i="3"/>
  <c r="E577" i="3"/>
  <c r="D577" i="3"/>
  <c r="E645" i="3"/>
  <c r="D645" i="3"/>
  <c r="D709" i="3"/>
  <c r="E709" i="3"/>
  <c r="D1156" i="3"/>
  <c r="D1217" i="3"/>
  <c r="E1217" i="3"/>
  <c r="E803" i="3"/>
  <c r="D803" i="3"/>
  <c r="E788" i="3"/>
  <c r="D788" i="3"/>
  <c r="D1241" i="3"/>
  <c r="E1241" i="3"/>
  <c r="D485" i="3"/>
  <c r="E485" i="3"/>
  <c r="E164" i="3"/>
  <c r="D164" i="3"/>
  <c r="D726" i="3"/>
  <c r="E726" i="3"/>
  <c r="E354" i="3"/>
  <c r="D354" i="3"/>
  <c r="D1088" i="3"/>
  <c r="D176" i="3"/>
  <c r="D61" i="3"/>
  <c r="D1201" i="3"/>
  <c r="D1110" i="3"/>
  <c r="E1110" i="3"/>
  <c r="E794" i="3"/>
  <c r="D794" i="3"/>
  <c r="E526" i="3"/>
  <c r="D526" i="3"/>
  <c r="D463" i="3"/>
  <c r="E463" i="3"/>
  <c r="E136" i="3"/>
  <c r="D136" i="3"/>
  <c r="D723" i="3"/>
  <c r="E723" i="3"/>
  <c r="E1261" i="3"/>
  <c r="D1261" i="3"/>
  <c r="E1192" i="3"/>
  <c r="D1192" i="3"/>
  <c r="D1275" i="3"/>
  <c r="E884" i="3"/>
  <c r="E1180" i="3"/>
  <c r="E571" i="3"/>
  <c r="D602" i="3"/>
  <c r="D1363" i="3"/>
  <c r="D65" i="3"/>
  <c r="E646" i="3"/>
  <c r="E870" i="3"/>
  <c r="D870" i="3"/>
  <c r="E1043" i="3"/>
  <c r="D1043" i="3"/>
  <c r="D759" i="3"/>
  <c r="E759" i="3"/>
  <c r="E246" i="3"/>
  <c r="D246" i="3"/>
  <c r="D1083" i="3"/>
  <c r="E1083" i="3"/>
  <c r="E486" i="3"/>
  <c r="D486" i="3"/>
  <c r="D898" i="3"/>
  <c r="E898" i="3"/>
  <c r="E578" i="3"/>
  <c r="D578" i="3"/>
  <c r="E1203" i="3"/>
  <c r="D1203" i="3"/>
  <c r="E678" i="3"/>
  <c r="D678" i="3"/>
  <c r="D849" i="3"/>
  <c r="E849" i="3"/>
  <c r="E1317" i="3"/>
  <c r="D1317" i="3"/>
  <c r="D428" i="3"/>
  <c r="E428" i="3"/>
  <c r="D45" i="3"/>
  <c r="E45" i="3"/>
  <c r="E1234" i="3"/>
  <c r="D1234" i="3"/>
  <c r="E916" i="3"/>
  <c r="D916" i="3"/>
  <c r="D925" i="3"/>
  <c r="E925" i="3"/>
  <c r="D1376" i="3"/>
  <c r="E1376" i="3"/>
  <c r="D1218" i="3"/>
  <c r="E1218" i="3"/>
  <c r="E78" i="3"/>
  <c r="D78" i="3"/>
  <c r="D748" i="3"/>
  <c r="E748" i="3"/>
  <c r="D286" i="3"/>
  <c r="E286" i="3"/>
  <c r="D605" i="3"/>
  <c r="E605" i="3"/>
  <c r="D42" i="3"/>
  <c r="E42" i="3"/>
  <c r="E1196" i="3"/>
  <c r="D1196" i="3"/>
  <c r="E894" i="3"/>
  <c r="D894" i="3"/>
  <c r="E173" i="3"/>
  <c r="D173" i="3"/>
  <c r="E1076" i="3"/>
  <c r="E1210" i="3"/>
  <c r="D1210" i="3"/>
  <c r="D316" i="3"/>
  <c r="E316" i="3"/>
  <c r="D824" i="3"/>
  <c r="E680" i="3"/>
  <c r="E1019" i="3"/>
  <c r="D907" i="3"/>
  <c r="E847" i="3"/>
  <c r="D847" i="3"/>
  <c r="D374" i="3"/>
  <c r="E374" i="3"/>
  <c r="E1085" i="3"/>
  <c r="D1085" i="3"/>
  <c r="D270" i="3"/>
  <c r="E270" i="3"/>
  <c r="E366" i="3"/>
  <c r="D366" i="3"/>
  <c r="D1016" i="3"/>
  <c r="E1016" i="3"/>
  <c r="E230" i="3"/>
  <c r="D230" i="3"/>
  <c r="D62" i="3"/>
  <c r="E62" i="3"/>
  <c r="E1114" i="3"/>
  <c r="D1114" i="3"/>
  <c r="D821" i="3"/>
  <c r="E821" i="3"/>
  <c r="E19" i="3"/>
  <c r="D19" i="3"/>
  <c r="E213" i="3"/>
  <c r="D213" i="3"/>
  <c r="E23" i="3"/>
  <c r="D23" i="3"/>
  <c r="D844" i="3"/>
  <c r="E844" i="3"/>
  <c r="D129" i="3"/>
  <c r="E129" i="3"/>
  <c r="E1393" i="3"/>
  <c r="D1393" i="3"/>
  <c r="D818" i="3"/>
  <c r="E818" i="3"/>
  <c r="E606" i="3"/>
  <c r="D606" i="3"/>
  <c r="D481" i="3"/>
  <c r="E481" i="3"/>
  <c r="E105" i="3"/>
  <c r="D105" i="3"/>
  <c r="D902" i="3"/>
  <c r="E902" i="3"/>
  <c r="D559" i="3"/>
  <c r="E559" i="3"/>
  <c r="E1135" i="3"/>
  <c r="D1135" i="3"/>
  <c r="E1141" i="3"/>
  <c r="D1141" i="3"/>
  <c r="E615" i="3"/>
  <c r="D615" i="3"/>
  <c r="D264" i="3"/>
  <c r="E264" i="3"/>
  <c r="D582" i="3"/>
  <c r="E582" i="3"/>
  <c r="E1161" i="3"/>
  <c r="D1161" i="3"/>
  <c r="E1117" i="3"/>
  <c r="D1117" i="3"/>
  <c r="D1030" i="3"/>
  <c r="E1030" i="3"/>
  <c r="E58" i="3"/>
  <c r="D58" i="3"/>
  <c r="E351" i="3"/>
  <c r="D351" i="3"/>
  <c r="E675" i="3"/>
  <c r="D675" i="3"/>
  <c r="E422" i="3"/>
  <c r="D422" i="3"/>
  <c r="E964" i="3"/>
  <c r="D741" i="3"/>
  <c r="E491" i="3"/>
  <c r="E189" i="3"/>
  <c r="D189" i="3"/>
  <c r="E87" i="3"/>
  <c r="D87" i="3"/>
  <c r="D18" i="3"/>
  <c r="E18" i="3"/>
  <c r="E1361" i="3"/>
  <c r="D1361" i="3"/>
  <c r="E1299" i="3"/>
  <c r="D1299" i="3"/>
  <c r="E391" i="3"/>
  <c r="D391" i="3"/>
  <c r="E760" i="3"/>
  <c r="D760" i="3"/>
  <c r="E912" i="3"/>
  <c r="D912" i="3"/>
  <c r="D367" i="3"/>
  <c r="E367" i="3"/>
  <c r="D1200" i="3"/>
  <c r="E1200" i="3"/>
  <c r="D312" i="3"/>
  <c r="E312" i="3"/>
  <c r="E426" i="3"/>
  <c r="D426" i="3"/>
  <c r="E227" i="3"/>
  <c r="D227" i="3"/>
  <c r="D1221" i="3"/>
  <c r="E1221" i="3"/>
  <c r="E993" i="3"/>
  <c r="D993" i="3"/>
  <c r="D400" i="3"/>
  <c r="E400" i="3"/>
  <c r="E798" i="3"/>
  <c r="D798" i="3"/>
  <c r="D1206" i="3"/>
  <c r="E1206" i="3"/>
  <c r="E1118" i="3"/>
  <c r="E1064" i="3"/>
  <c r="D1064" i="3"/>
  <c r="E484" i="3"/>
  <c r="D484" i="3"/>
  <c r="E279" i="3"/>
  <c r="D279" i="3"/>
  <c r="D504" i="3"/>
  <c r="E504" i="3"/>
  <c r="D941" i="3"/>
  <c r="E941" i="3"/>
  <c r="E125" i="3"/>
  <c r="D125" i="3"/>
  <c r="E9" i="3"/>
  <c r="D9" i="3"/>
  <c r="E1094" i="3"/>
  <c r="D1094" i="3"/>
  <c r="E728" i="3"/>
  <c r="D728" i="3"/>
  <c r="D1223" i="3"/>
  <c r="E1223" i="3"/>
  <c r="E797" i="3"/>
  <c r="D797" i="3"/>
  <c r="E1380" i="3"/>
  <c r="E202" i="3"/>
  <c r="D1332" i="3"/>
  <c r="D506" i="3"/>
  <c r="E568" i="3"/>
  <c r="D321" i="3"/>
  <c r="E653" i="3"/>
  <c r="D653" i="3"/>
  <c r="D560" i="3"/>
  <c r="E560" i="3"/>
  <c r="E27" i="3"/>
  <c r="D27" i="3"/>
  <c r="E333" i="3"/>
  <c r="D333" i="3"/>
  <c r="D1349" i="3"/>
  <c r="E1349" i="3"/>
  <c r="D790" i="3"/>
  <c r="E790" i="3"/>
  <c r="E862" i="3"/>
  <c r="D862" i="3"/>
  <c r="D998" i="3"/>
  <c r="E998" i="3"/>
  <c r="D600" i="3"/>
  <c r="E600" i="3"/>
  <c r="E1081" i="3"/>
  <c r="D1081" i="3"/>
  <c r="E1061" i="3"/>
  <c r="D1061" i="3"/>
  <c r="E1194" i="3"/>
  <c r="D1194" i="3"/>
  <c r="D3" i="3"/>
  <c r="E3" i="3"/>
  <c r="E880" i="3"/>
  <c r="D880" i="3"/>
  <c r="E8" i="3"/>
  <c r="D8" i="3"/>
  <c r="E1330" i="3"/>
  <c r="D1330" i="3"/>
  <c r="E523" i="3"/>
  <c r="D523" i="3"/>
  <c r="D1010" i="3"/>
  <c r="E1010" i="3"/>
  <c r="E796" i="3"/>
  <c r="D796" i="3"/>
  <c r="D779" i="3"/>
  <c r="E779" i="3"/>
  <c r="D623" i="3"/>
  <c r="E623" i="3"/>
  <c r="E1197" i="3"/>
  <c r="D1197" i="3"/>
  <c r="E93" i="3"/>
  <c r="D93" i="3"/>
  <c r="D1345" i="3"/>
  <c r="E1345" i="3"/>
  <c r="D588" i="3"/>
  <c r="E588" i="3"/>
  <c r="E1163" i="3"/>
  <c r="D1163" i="3"/>
  <c r="D644" i="3"/>
  <c r="E644" i="3"/>
  <c r="E1000" i="3"/>
  <c r="D1000" i="3"/>
  <c r="D204" i="3"/>
  <c r="E204" i="3"/>
  <c r="E149" i="3"/>
  <c r="D149" i="3"/>
  <c r="D1066" i="3"/>
  <c r="E1066" i="3"/>
  <c r="D222" i="3"/>
  <c r="E222" i="3"/>
  <c r="E633" i="3"/>
  <c r="D633" i="3"/>
  <c r="D128" i="3"/>
  <c r="E128" i="3"/>
  <c r="D1281" i="3"/>
  <c r="E1281" i="3"/>
  <c r="D371" i="3"/>
  <c r="E371" i="3"/>
  <c r="E257" i="3"/>
  <c r="D257" i="3"/>
  <c r="E838" i="3"/>
  <c r="D838" i="3"/>
  <c r="E1132" i="3"/>
  <c r="D1132" i="3"/>
  <c r="D195" i="3"/>
  <c r="E195" i="3"/>
  <c r="E187" i="3"/>
  <c r="D187" i="3"/>
  <c r="E853" i="3"/>
  <c r="D853" i="3"/>
  <c r="D1370" i="3"/>
  <c r="D59" i="3"/>
  <c r="E886" i="3"/>
  <c r="E1039" i="3"/>
  <c r="E933" i="3"/>
  <c r="E930" i="3"/>
  <c r="D977" i="3"/>
  <c r="D1189" i="3"/>
  <c r="D1092" i="3"/>
  <c r="D1378" i="3"/>
  <c r="D186" i="3"/>
  <c r="D308" i="3"/>
  <c r="E989" i="3"/>
  <c r="D732" i="3"/>
  <c r="E372" i="3"/>
  <c r="D685" i="3"/>
  <c r="D731" i="3"/>
  <c r="E1369" i="3"/>
  <c r="D537" i="3"/>
  <c r="D509" i="3"/>
  <c r="D155" i="3"/>
  <c r="D1118" i="3"/>
  <c r="E892" i="3"/>
  <c r="E1036" i="3"/>
  <c r="D1371" i="3"/>
  <c r="E770" i="3"/>
  <c r="E817" i="3"/>
  <c r="E864" i="3"/>
  <c r="D833" i="3"/>
  <c r="D11" i="3"/>
  <c r="D1087" i="3"/>
  <c r="D572" i="3"/>
  <c r="E1078" i="3"/>
  <c r="D1340" i="3"/>
  <c r="E1249" i="3"/>
  <c r="E1215" i="3"/>
  <c r="E1350" i="3"/>
  <c r="D1350" i="3"/>
  <c r="D712" i="3"/>
  <c r="E585" i="3"/>
  <c r="D396" i="3"/>
  <c r="D337" i="3"/>
  <c r="D637" i="3"/>
  <c r="E1360" i="3"/>
  <c r="E576" i="3"/>
  <c r="D576" i="3"/>
  <c r="E1372" i="3"/>
  <c r="D1372" i="3"/>
  <c r="E163" i="3"/>
  <c r="D163" i="3"/>
  <c r="E414" i="3"/>
  <c r="D414" i="3"/>
  <c r="D735" i="3"/>
  <c r="E735" i="3"/>
  <c r="E287" i="3"/>
  <c r="D287" i="3"/>
  <c r="E829" i="3"/>
  <c r="D829" i="3"/>
  <c r="E1124" i="3"/>
  <c r="E266" i="3"/>
  <c r="D266" i="3"/>
  <c r="E60" i="3"/>
  <c r="D60" i="3"/>
  <c r="E634" i="3"/>
  <c r="D634" i="3"/>
  <c r="D1190" i="3"/>
  <c r="E1190" i="3"/>
  <c r="D590" i="3"/>
  <c r="E1116" i="3"/>
  <c r="E151" i="3"/>
  <c r="D151" i="3"/>
  <c r="E617" i="3"/>
  <c r="D617" i="3"/>
  <c r="D66" i="3"/>
  <c r="E66" i="3"/>
  <c r="E517" i="3"/>
  <c r="D517" i="3"/>
  <c r="E111" i="3"/>
  <c r="D111" i="3"/>
  <c r="E475" i="3"/>
  <c r="D475" i="3"/>
  <c r="E356" i="3"/>
  <c r="D356" i="3"/>
  <c r="E446" i="3"/>
  <c r="D446" i="3"/>
  <c r="E172" i="3"/>
  <c r="D172" i="3"/>
  <c r="D462" i="3"/>
  <c r="E462" i="3"/>
  <c r="E1119" i="3"/>
  <c r="D32" i="3"/>
  <c r="E32" i="3"/>
  <c r="D942" i="3"/>
  <c r="E942" i="3"/>
  <c r="D570" i="3"/>
  <c r="E570" i="3"/>
  <c r="D959" i="3"/>
  <c r="E959" i="3"/>
  <c r="E1127" i="3"/>
  <c r="D1127" i="3"/>
  <c r="E865" i="3"/>
  <c r="D865" i="3"/>
  <c r="E242" i="3"/>
  <c r="D242" i="3"/>
  <c r="E981" i="3"/>
  <c r="D981" i="3"/>
  <c r="D40" i="3"/>
  <c r="E40" i="3"/>
  <c r="E158" i="3"/>
  <c r="D158" i="3"/>
  <c r="E1058" i="3"/>
  <c r="D1058" i="3"/>
  <c r="E911" i="3"/>
  <c r="D911" i="3"/>
  <c r="D714" i="3"/>
  <c r="E714" i="3"/>
  <c r="D335" i="3"/>
  <c r="E341" i="3"/>
  <c r="D889" i="3"/>
  <c r="D778" i="3"/>
  <c r="E831" i="3"/>
  <c r="D383" i="3"/>
  <c r="D934" i="3"/>
  <c r="E201" i="3"/>
  <c r="D1213" i="3"/>
  <c r="D309" i="3"/>
  <c r="D1037" i="3"/>
  <c r="E123" i="3"/>
  <c r="D604" i="3"/>
  <c r="D1173" i="3"/>
  <c r="D642" i="3"/>
  <c r="E124" i="3"/>
  <c r="D124" i="3"/>
  <c r="D522" i="3"/>
  <c r="E522" i="3"/>
  <c r="D323" i="3"/>
  <c r="E323" i="3"/>
  <c r="D2" i="3"/>
  <c r="E2" i="3"/>
  <c r="D708" i="3"/>
  <c r="E708" i="3"/>
  <c r="E1262" i="3"/>
  <c r="E409" i="3"/>
  <c r="D721" i="3"/>
  <c r="E423" i="3"/>
  <c r="E1009" i="3"/>
  <c r="E984" i="3"/>
  <c r="E1139" i="3"/>
  <c r="D1021" i="3"/>
  <c r="D696" i="3"/>
  <c r="D742" i="3"/>
  <c r="D459" i="3"/>
  <c r="D115" i="3"/>
  <c r="E115" i="3"/>
  <c r="D970" i="3"/>
  <c r="E970" i="3"/>
  <c r="D296" i="3"/>
  <c r="D990" i="3"/>
  <c r="D404" i="3"/>
  <c r="E669" i="3"/>
  <c r="E334" i="3"/>
  <c r="E1312" i="3"/>
  <c r="D26" i="3"/>
  <c r="E1035" i="3"/>
  <c r="D107" i="3"/>
  <c r="D192" i="3"/>
  <c r="E362" i="3"/>
  <c r="D985" i="3"/>
  <c r="E1391" i="3"/>
  <c r="D1391" i="3"/>
  <c r="D671" i="3"/>
  <c r="E671" i="3"/>
  <c r="D1338" i="3"/>
  <c r="E10" i="3"/>
  <c r="D10" i="3"/>
  <c r="E689" i="3"/>
  <c r="D689" i="3"/>
  <c r="E1149" i="3"/>
  <c r="D1149" i="3"/>
  <c r="D285" i="3"/>
  <c r="E285" i="3"/>
  <c r="D851" i="3"/>
  <c r="E851" i="3"/>
  <c r="D781" i="3"/>
  <c r="D1122" i="3"/>
  <c r="E1122" i="3"/>
  <c r="D1272" i="3"/>
  <c r="E1272" i="3"/>
  <c r="E1300" i="3"/>
  <c r="D1300" i="3"/>
  <c r="D1080" i="3"/>
  <c r="D1090" i="3"/>
  <c r="D311" i="3"/>
  <c r="D492" i="3"/>
  <c r="E13" i="3"/>
  <c r="D13" i="3"/>
  <c r="E1247" i="3"/>
  <c r="E502" i="3"/>
  <c r="E217" i="3"/>
  <c r="D619" i="3"/>
  <c r="D976" i="3"/>
  <c r="D717" i="3"/>
  <c r="D196" i="3"/>
  <c r="E358" i="3"/>
  <c r="E679" i="3"/>
  <c r="D1326" i="3"/>
  <c r="D294" i="3"/>
  <c r="E46" i="3"/>
  <c r="D1277" i="3"/>
  <c r="E1277" i="3"/>
  <c r="E1146" i="3"/>
  <c r="D1297" i="3"/>
  <c r="D858" i="3"/>
  <c r="E225" i="3"/>
  <c r="D225" i="3"/>
  <c r="D1095" i="3"/>
  <c r="E1095" i="3"/>
  <c r="E1029" i="3"/>
  <c r="D1029" i="3"/>
  <c r="I985" i="3"/>
  <c r="B1129" i="3"/>
  <c r="B1118" i="3"/>
  <c r="B1131" i="3"/>
  <c r="I1135" i="3"/>
  <c r="B985" i="3"/>
  <c r="I1125" i="3"/>
  <c r="I1134" i="3"/>
  <c r="I1131" i="3"/>
  <c r="I1120" i="3"/>
  <c r="B1134" i="3"/>
  <c r="B1120" i="3"/>
  <c r="B1122" i="3"/>
  <c r="I1122" i="3"/>
  <c r="I1128" i="3"/>
  <c r="B1125" i="3"/>
  <c r="B1130" i="3"/>
  <c r="I1130" i="3"/>
  <c r="B1125" i="1"/>
  <c r="B1123" i="1"/>
  <c r="B1121" i="1"/>
  <c r="B1119" i="1"/>
  <c r="B1122" i="1"/>
  <c r="B1117" i="1"/>
  <c r="B1126" i="1"/>
  <c r="B984" i="1"/>
  <c r="B1118" i="1"/>
  <c r="B1120" i="1"/>
  <c r="B1124" i="1"/>
  <c r="B1116" i="1"/>
  <c r="B1134" i="1"/>
  <c r="B1135" i="1"/>
  <c r="B1127" i="1"/>
  <c r="B1129" i="1"/>
  <c r="B985" i="1"/>
  <c r="B1128" i="1"/>
  <c r="B1131" i="1"/>
  <c r="B1136" i="1"/>
  <c r="B1137" i="1"/>
  <c r="B1132" i="1"/>
  <c r="B1133" i="1"/>
  <c r="B1130" i="1"/>
  <c r="B1123" i="3" a="1"/>
  <c r="I1118" i="3" a="1"/>
  <c r="B1124" i="3" a="1"/>
  <c r="I1119" i="3" a="1"/>
  <c r="I1121" i="3" a="1"/>
  <c r="B1116" i="3" a="1"/>
  <c r="B1133" i="3" a="1"/>
  <c r="I1124" i="3" a="1"/>
  <c r="I984" i="3" a="1"/>
  <c r="B984" i="3" a="1"/>
  <c r="I1126" i="3" a="1"/>
  <c r="I1116" i="3" a="1"/>
  <c r="B1119" i="3" a="1"/>
  <c r="I1137" i="3" a="1"/>
  <c r="B1127" i="3" a="1"/>
  <c r="I1127" i="3" a="1"/>
  <c r="I1117" i="3" a="1"/>
  <c r="I1133" i="3" a="1"/>
  <c r="B1121" i="3" a="1"/>
  <c r="B1136" i="3" a="1"/>
  <c r="B1135" i="3" a="1"/>
  <c r="B1132" i="3" a="1"/>
  <c r="I1123" i="3" a="1"/>
  <c r="I1136" i="3" a="1"/>
  <c r="B1137" i="3" a="1"/>
  <c r="B1126" i="3" a="1"/>
  <c r="I1132" i="3" a="1"/>
  <c r="B1117" i="3" a="1"/>
  <c r="I1132" i="3" l="1"/>
  <c r="B1137" i="3"/>
  <c r="I1137" i="3"/>
  <c r="B984" i="3"/>
  <c r="I984" i="3"/>
  <c r="I1127" i="3"/>
  <c r="B1121" i="3"/>
  <c r="B1127" i="3"/>
  <c r="B1116" i="3"/>
  <c r="I1121" i="3"/>
  <c r="I1116" i="3"/>
  <c r="I1118" i="3"/>
  <c r="B1126" i="3"/>
  <c r="I1136" i="3"/>
  <c r="I1126" i="3"/>
  <c r="B1135" i="3"/>
  <c r="B1136" i="3"/>
  <c r="I1124" i="3"/>
  <c r="I1133" i="3"/>
  <c r="B1133" i="3"/>
  <c r="B1119" i="3"/>
  <c r="I1119" i="3"/>
  <c r="B1124" i="3"/>
  <c r="B1123" i="3"/>
  <c r="B1117" i="3"/>
  <c r="I1123" i="3"/>
  <c r="B1132" i="3"/>
  <c r="I11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<sst xmlns="http://schemas.openxmlformats.org/spreadsheetml/2006/main" count="12682" uniqueCount="2819">
  <si>
    <t>TAG</t>
  </si>
  <si>
    <t>Price</t>
  </si>
  <si>
    <t>PubDate</t>
  </si>
  <si>
    <t>STATYEAR</t>
  </si>
  <si>
    <t>STATMONTH</t>
  </si>
  <si>
    <t>Symbol</t>
  </si>
  <si>
    <t>Price range</t>
  </si>
  <si>
    <t>Date range</t>
  </si>
  <si>
    <t>Previous date range check</t>
  </si>
  <si>
    <t>LAAB</t>
  </si>
  <si>
    <t>FP-LBR-0150</t>
  </si>
  <si>
    <t>Low</t>
  </si>
  <si>
    <t>Latest publication date</t>
  </si>
  <si>
    <t>LAAC</t>
  </si>
  <si>
    <t>FP-LBR-0151</t>
  </si>
  <si>
    <t>LAAD</t>
  </si>
  <si>
    <t>FP-LBR-0152</t>
  </si>
  <si>
    <t>LAAE</t>
  </si>
  <si>
    <t>FP-LBR-0153</t>
  </si>
  <si>
    <t>LAAF</t>
  </si>
  <si>
    <t>FP-LBR-0154</t>
  </si>
  <si>
    <t>LAAG</t>
  </si>
  <si>
    <t>FP-LBR-0155</t>
  </si>
  <si>
    <t>LAAH</t>
  </si>
  <si>
    <t>FP-LBR-0156</t>
  </si>
  <si>
    <t>LAAI</t>
  </si>
  <si>
    <t>FP-LBR-0157</t>
  </si>
  <si>
    <t>LAAJ</t>
  </si>
  <si>
    <t>FP-LBR-0158</t>
  </si>
  <si>
    <t>LAAK</t>
  </si>
  <si>
    <t>FP-LBR-0172</t>
  </si>
  <si>
    <t>LAAL</t>
  </si>
  <si>
    <t>FP-LBR-1317</t>
  </si>
  <si>
    <t>LAAM</t>
  </si>
  <si>
    <t>FP-LBR-1319</t>
  </si>
  <si>
    <t>LAAN</t>
  </si>
  <si>
    <t>FP-LBR-1320</t>
  </si>
  <si>
    <t>LAAO</t>
  </si>
  <si>
    <t>FP-LBR-1321</t>
  </si>
  <si>
    <t>LAAP</t>
  </si>
  <si>
    <t>FP-LBR-1322</t>
  </si>
  <si>
    <t>LAAQ</t>
  </si>
  <si>
    <t>FP-LBR-1329</t>
  </si>
  <si>
    <t>LAAR</t>
  </si>
  <si>
    <t>FP-LBR-1330</t>
  </si>
  <si>
    <t>LAAV</t>
  </si>
  <si>
    <t>FP-LBR-1331</t>
  </si>
  <si>
    <t>LAAW</t>
  </si>
  <si>
    <t>FP-LBR-1836</t>
  </si>
  <si>
    <t>LAAX</t>
  </si>
  <si>
    <t>FP-LBR-1837</t>
  </si>
  <si>
    <t>LAAY</t>
  </si>
  <si>
    <t>FP-LBR-1838</t>
  </si>
  <si>
    <t>LAAZ</t>
  </si>
  <si>
    <t>FP-LBR-1839</t>
  </si>
  <si>
    <t>LABA</t>
  </si>
  <si>
    <t>FP-LBR-0241</t>
  </si>
  <si>
    <t>LABB</t>
  </si>
  <si>
    <t>FP-LBR-0243</t>
  </si>
  <si>
    <t>LABC</t>
  </si>
  <si>
    <t>FP-LBR-0244</t>
  </si>
  <si>
    <t>LABD</t>
  </si>
  <si>
    <t>FP-LBR-0245</t>
  </si>
  <si>
    <t>LABE</t>
  </si>
  <si>
    <t>FP-LBR-0246</t>
  </si>
  <si>
    <t>LABF</t>
  </si>
  <si>
    <t>FP-LBR-0247</t>
  </si>
  <si>
    <t>LABG</t>
  </si>
  <si>
    <t>FP-LBR-0248</t>
  </si>
  <si>
    <t>LABH</t>
  </si>
  <si>
    <t>FP-LBR-0249</t>
  </si>
  <si>
    <t>LABI</t>
  </si>
  <si>
    <t>FP-LBR-0250</t>
  </si>
  <si>
    <t>LABJ</t>
  </si>
  <si>
    <t>FP-LBR-0251</t>
  </si>
  <si>
    <t>LABK</t>
  </si>
  <si>
    <t>FP-LBR-0291</t>
  </si>
  <si>
    <t>LABL</t>
  </si>
  <si>
    <t>FP-LBR-0292</t>
  </si>
  <si>
    <t>LABM</t>
  </si>
  <si>
    <t>FP-LBR-0293</t>
  </si>
  <si>
    <t>LABO</t>
  </si>
  <si>
    <t>FP-LBR-0899</t>
  </si>
  <si>
    <t>LABV</t>
  </si>
  <si>
    <t>FP-LBR-1332</t>
  </si>
  <si>
    <t>LABX</t>
  </si>
  <si>
    <t>FP-LBR-1843</t>
  </si>
  <si>
    <t>LABY</t>
  </si>
  <si>
    <t>FP-LBR-1844</t>
  </si>
  <si>
    <t>LABZ</t>
  </si>
  <si>
    <t>FP-LBR-1846</t>
  </si>
  <si>
    <t>LACC</t>
  </si>
  <si>
    <t>FP-LBR-0259</t>
  </si>
  <si>
    <t>LACD</t>
  </si>
  <si>
    <t>FP-LBR-0260</t>
  </si>
  <si>
    <t>LACE</t>
  </si>
  <si>
    <t>FP-LBR-0261</t>
  </si>
  <si>
    <t>LACF</t>
  </si>
  <si>
    <t>FP-LBR-0262</t>
  </si>
  <si>
    <t>LACG</t>
  </si>
  <si>
    <t>FP-LBR-0263</t>
  </si>
  <si>
    <t>LACH</t>
  </si>
  <si>
    <t>FP-LBR-0264</t>
  </si>
  <si>
    <t>LACI</t>
  </si>
  <si>
    <t>FP-LBR-0265</t>
  </si>
  <si>
    <t>LACJ</t>
  </si>
  <si>
    <t>FP-LBR-0266</t>
  </si>
  <si>
    <t>LACK</t>
  </si>
  <si>
    <t>FP-LBR-0267</t>
  </si>
  <si>
    <t>LACL</t>
  </si>
  <si>
    <t>FP-LBR-0302</t>
  </si>
  <si>
    <t>LACN</t>
  </si>
  <si>
    <t>High</t>
  </si>
  <si>
    <t>LACT</t>
  </si>
  <si>
    <t>FP-LBR-1333</t>
  </si>
  <si>
    <t>LADB</t>
  </si>
  <si>
    <t>FP-LBR-0163</t>
  </si>
  <si>
    <t>LADC</t>
  </si>
  <si>
    <t>FP-LBR-0164</t>
  </si>
  <si>
    <t>LADD</t>
  </si>
  <si>
    <t>FP-LBR-0165</t>
  </si>
  <si>
    <t>LADE</t>
  </si>
  <si>
    <t>FP-LBR-0166</t>
  </si>
  <si>
    <t>LADF</t>
  </si>
  <si>
    <t>FP-LBR-0167</t>
  </si>
  <si>
    <t>LADG</t>
  </si>
  <si>
    <t>FP-LBR-0168</t>
  </si>
  <si>
    <t>LADH</t>
  </si>
  <si>
    <t>FP-LBR-0169</t>
  </si>
  <si>
    <t>LADI</t>
  </si>
  <si>
    <t>FP-LBR-0170</t>
  </si>
  <si>
    <t>LADJ</t>
  </si>
  <si>
    <t>FP-LBR-0171</t>
  </si>
  <si>
    <t>LADK</t>
  </si>
  <si>
    <t>FP-LBR-0178</t>
  </si>
  <si>
    <t>LADL</t>
  </si>
  <si>
    <t>FP-LBR-1206</t>
  </si>
  <si>
    <t>LADM</t>
  </si>
  <si>
    <t>FP-LBR-1208</t>
  </si>
  <si>
    <t>LADN</t>
  </si>
  <si>
    <t>FP-LBR-1209</t>
  </si>
  <si>
    <t>LADO</t>
  </si>
  <si>
    <t>FP-LBR-1210</t>
  </si>
  <si>
    <t>LADP</t>
  </si>
  <si>
    <t>FP-LBR-1211</t>
  </si>
  <si>
    <t>LADQ</t>
  </si>
  <si>
    <t>FP-LBR-1870</t>
  </si>
  <si>
    <t>LADR</t>
  </si>
  <si>
    <t>FP-LBR-1873</t>
  </si>
  <si>
    <t>LADS</t>
  </si>
  <si>
    <t>FP-LBR-1874</t>
  </si>
  <si>
    <t>LADT</t>
  </si>
  <si>
    <t>FP-LBR-0228</t>
  </si>
  <si>
    <t>LADU</t>
  </si>
  <si>
    <t>FP-LBR-0230</t>
  </si>
  <si>
    <t>LADV</t>
  </si>
  <si>
    <t>FP-LBR-0231</t>
  </si>
  <si>
    <t>LADW</t>
  </si>
  <si>
    <t>FP-LBR-0232</t>
  </si>
  <si>
    <t>LADX</t>
  </si>
  <si>
    <t>FP-LBR-0233</t>
  </si>
  <si>
    <t>LADY</t>
  </si>
  <si>
    <t>FP-LBR-0234</t>
  </si>
  <si>
    <t>LADZ</t>
  </si>
  <si>
    <t>FP-LBR-0235</t>
  </si>
  <si>
    <t>LAEA</t>
  </si>
  <si>
    <t>FP-LBR-0236</t>
  </si>
  <si>
    <t>LAEB</t>
  </si>
  <si>
    <t>FP-LBR-0237</t>
  </si>
  <si>
    <t>LAEC</t>
  </si>
  <si>
    <t>FP-LBR-0238</t>
  </si>
  <si>
    <t>LAED</t>
  </si>
  <si>
    <t>FP-LBR-0287</t>
  </si>
  <si>
    <t>LAEE</t>
  </si>
  <si>
    <t>FP-LBR-0288</t>
  </si>
  <si>
    <t>LAEF</t>
  </si>
  <si>
    <t>FP-LBR-0289</t>
  </si>
  <si>
    <t>LAEL</t>
  </si>
  <si>
    <t>FP-LBR-1882</t>
  </si>
  <si>
    <t>LAEN</t>
  </si>
  <si>
    <t>FP-LBR-1883</t>
  </si>
  <si>
    <t>LAEO</t>
  </si>
  <si>
    <t>FP-LBR-1884</t>
  </si>
  <si>
    <t>LAEP</t>
  </si>
  <si>
    <t>FP-LBR-0304</t>
  </si>
  <si>
    <t>LAEQ</t>
  </si>
  <si>
    <t>FP-LBR-0305</t>
  </si>
  <si>
    <t>LAER</t>
  </si>
  <si>
    <t>FP-LBR-0306</t>
  </si>
  <si>
    <t>LAES</t>
  </si>
  <si>
    <t>FP-LBR-0307</t>
  </si>
  <si>
    <t>LAET</t>
  </si>
  <si>
    <t>FP-LBR-0308</t>
  </si>
  <si>
    <t>LAEU</t>
  </si>
  <si>
    <t>FP-LBR-0309</t>
  </si>
  <si>
    <t>LAEV</t>
  </si>
  <si>
    <t>FP-LBR-0310</t>
  </si>
  <si>
    <t>LAEW</t>
  </si>
  <si>
    <t>FP-LBR-0311</t>
  </si>
  <si>
    <t>LAEX</t>
  </si>
  <si>
    <t>FP-LBR-0312</t>
  </si>
  <si>
    <t>LAEY</t>
  </si>
  <si>
    <t>FP-LBR-0313</t>
  </si>
  <si>
    <t>LAFC</t>
  </si>
  <si>
    <t>FP-LBR-1890</t>
  </si>
  <si>
    <t>LAFD</t>
  </si>
  <si>
    <t>FP-LBR-1891</t>
  </si>
  <si>
    <t>LAFE</t>
  </si>
  <si>
    <t>FP-LBR-1892</t>
  </si>
  <si>
    <t>LAFF</t>
  </si>
  <si>
    <t>FP-LBR-1893</t>
  </si>
  <si>
    <t>LAFG</t>
  </si>
  <si>
    <t>FP-LBR-1996</t>
  </si>
  <si>
    <t>LAFH</t>
  </si>
  <si>
    <t>FP-LBR-1997</t>
  </si>
  <si>
    <t>LAFI</t>
  </si>
  <si>
    <t>FP-LBR-1998</t>
  </si>
  <si>
    <t>LAFJ</t>
  </si>
  <si>
    <t>FP-LBR-1999</t>
  </si>
  <si>
    <t>LAFK</t>
  </si>
  <si>
    <t>FP-LBR-2000</t>
  </si>
  <si>
    <t>LAFL</t>
  </si>
  <si>
    <t>FP-LBR-2006</t>
  </si>
  <si>
    <t>LAFM</t>
  </si>
  <si>
    <t>FP-LBR-2007</t>
  </si>
  <si>
    <t>LAFN</t>
  </si>
  <si>
    <t>FP-LBR-2008</t>
  </si>
  <si>
    <t>LAFO</t>
  </si>
  <si>
    <t>FP-LBR-2009</t>
  </si>
  <si>
    <t>LAFP</t>
  </si>
  <si>
    <t>FP-LBR-2010</t>
  </si>
  <si>
    <t>LAFS</t>
  </si>
  <si>
    <t>FP-LBR-1824</t>
  </si>
  <si>
    <t>LAFT</t>
  </si>
  <si>
    <t>FP-LBR-1825</t>
  </si>
  <si>
    <t>LAFU</t>
  </si>
  <si>
    <t>FP-LBR-1826</t>
  </si>
  <si>
    <t>LAFV</t>
  </si>
  <si>
    <t>FP-LBR-1827</t>
  </si>
  <si>
    <t>LAFW</t>
  </si>
  <si>
    <t>FP-LBR-1828</t>
  </si>
  <si>
    <t>LAFX</t>
  </si>
  <si>
    <t>FP-LBR-1829</t>
  </si>
  <si>
    <t>LAFY</t>
  </si>
  <si>
    <t>FP-LBR-1830</t>
  </si>
  <si>
    <t>LAFZ</t>
  </si>
  <si>
    <t>FP-LBR-1898</t>
  </si>
  <si>
    <t>LAGA</t>
  </si>
  <si>
    <t>FP-LBR-1899</t>
  </si>
  <si>
    <t>LAGB</t>
  </si>
  <si>
    <t>FP-LBR-1902</t>
  </si>
  <si>
    <t>LAGD</t>
  </si>
  <si>
    <t>FP-LBR-1980</t>
  </si>
  <si>
    <t>LAGE</t>
  </si>
  <si>
    <t>FP-LBR-1981</t>
  </si>
  <si>
    <t>LAGF</t>
  </si>
  <si>
    <t>FP-LBR-1982</t>
  </si>
  <si>
    <t>LAGG</t>
  </si>
  <si>
    <t>FP-LBR-1983</t>
  </si>
  <si>
    <t>LAGH</t>
  </si>
  <si>
    <t>FP-LBR-1984</t>
  </si>
  <si>
    <t>LAGI</t>
  </si>
  <si>
    <t>FP-LBR-1986</t>
  </si>
  <si>
    <t>LAGJ</t>
  </si>
  <si>
    <t>FP-LBR-1987</t>
  </si>
  <si>
    <t>LAGK</t>
  </si>
  <si>
    <t>FP-LBR-1988</t>
  </si>
  <si>
    <t>LAGL</t>
  </si>
  <si>
    <t>FP-LBR-1989</t>
  </si>
  <si>
    <t>LAGM</t>
  </si>
  <si>
    <t>FP-LBR-1990</t>
  </si>
  <si>
    <t>LAGY</t>
  </si>
  <si>
    <t>FP-LBR-0528</t>
  </si>
  <si>
    <t>LAGZ</t>
  </si>
  <si>
    <t>FP-LBR-1908</t>
  </si>
  <si>
    <t>LAHA</t>
  </si>
  <si>
    <t>FP-LBR-0518</t>
  </si>
  <si>
    <t>LAHB</t>
  </si>
  <si>
    <t>FP-LBR-1911</t>
  </si>
  <si>
    <t>LAHC</t>
  </si>
  <si>
    <t>FP-LBR-1912</t>
  </si>
  <si>
    <t>LAHS</t>
  </si>
  <si>
    <t>FP-LBR-1927</t>
  </si>
  <si>
    <t>LAHU</t>
  </si>
  <si>
    <t>FP-LBR-1928</t>
  </si>
  <si>
    <t>LAHV</t>
  </si>
  <si>
    <t>FP-LBR-1929</t>
  </si>
  <si>
    <t>LAIA</t>
  </si>
  <si>
    <t>FP-LBR-0296</t>
  </si>
  <si>
    <t>LAIB</t>
  </si>
  <si>
    <t>FP-LBR-0297</t>
  </si>
  <si>
    <t>LAIC</t>
  </si>
  <si>
    <t>FP-LBR-0298</t>
  </si>
  <si>
    <t>LAID</t>
  </si>
  <si>
    <t>FP-LBR-1935</t>
  </si>
  <si>
    <t>LAIE</t>
  </si>
  <si>
    <t>FP-LBR-1936</t>
  </si>
  <si>
    <t>LAIF</t>
  </si>
  <si>
    <t>FP-LBR-1937</t>
  </si>
  <si>
    <t>LAIG</t>
  </si>
  <si>
    <t>FP-LBR-1938</t>
  </si>
  <si>
    <t>LAIU</t>
  </si>
  <si>
    <t>FP-LBR-1939</t>
  </si>
  <si>
    <t>LAIV</t>
  </si>
  <si>
    <t>FP-LBR-1941</t>
  </si>
  <si>
    <t>LAIY</t>
  </si>
  <si>
    <t>FP-LBR-0516</t>
  </si>
  <si>
    <t>LAIZ</t>
  </si>
  <si>
    <t>FP-LBR-0517</t>
  </si>
  <si>
    <t>LAJA</t>
  </si>
  <si>
    <t>LAJB</t>
  </si>
  <si>
    <t>FP-LBR-0519</t>
  </si>
  <si>
    <t>LAJC</t>
  </si>
  <si>
    <t>FP-LBR-0536</t>
  </si>
  <si>
    <t>LAJD</t>
  </si>
  <si>
    <t>FP-LBR-0424</t>
  </si>
  <si>
    <t>LAJE</t>
  </si>
  <si>
    <t>FP-LBR-0425</t>
  </si>
  <si>
    <t>LAJF</t>
  </si>
  <si>
    <t>FP-LBR-0314</t>
  </si>
  <si>
    <t>LAJG</t>
  </si>
  <si>
    <t>FP-LBR-0315</t>
  </si>
  <si>
    <t>LAJH</t>
  </si>
  <si>
    <t>FP-LBR-0316</t>
  </si>
  <si>
    <t>LAJI</t>
  </si>
  <si>
    <t>FP-LBR-0317</t>
  </si>
  <si>
    <t>LAJJ</t>
  </si>
  <si>
    <t>FP-LBR-0318</t>
  </si>
  <si>
    <t>LAJK</t>
  </si>
  <si>
    <t>FP-LBR-1316</t>
  </si>
  <si>
    <t>LAJL</t>
  </si>
  <si>
    <t>FP-LBR-0546</t>
  </si>
  <si>
    <t>LAJM</t>
  </si>
  <si>
    <t>FP-LBR-1944</t>
  </si>
  <si>
    <t>LAJN</t>
  </si>
  <si>
    <t>LAJO</t>
  </si>
  <si>
    <t>FP-LBR-1947</t>
  </si>
  <si>
    <t>LAJP</t>
  </si>
  <si>
    <t>FP-LBR-1948</t>
  </si>
  <si>
    <t>LAJS</t>
  </si>
  <si>
    <t>FP-LBR-0526</t>
  </si>
  <si>
    <t>LAJT</t>
  </si>
  <si>
    <t>FP-LBR-0527</t>
  </si>
  <si>
    <t>LAJU</t>
  </si>
  <si>
    <t>LAJW</t>
  </si>
  <si>
    <t>FP-LBR-0531</t>
  </si>
  <si>
    <t>LAJX</t>
  </si>
  <si>
    <t>LAKA</t>
  </si>
  <si>
    <t>FP-LBR-2001</t>
  </si>
  <si>
    <t>LAKB</t>
  </si>
  <si>
    <t>FP-LBR-0161</t>
  </si>
  <si>
    <t>LAKC</t>
  </si>
  <si>
    <t>FP-LBR-1963</t>
  </si>
  <si>
    <t>LAKD</t>
  </si>
  <si>
    <t>FP-LBR-1966</t>
  </si>
  <si>
    <t>LAKE</t>
  </si>
  <si>
    <t>FP-LBR-1967</t>
  </si>
  <si>
    <t>LAKF</t>
  </si>
  <si>
    <t>FP-LBR-1212</t>
  </si>
  <si>
    <t>LAKG</t>
  </si>
  <si>
    <t>FP-LBR-1213</t>
  </si>
  <si>
    <t>LAKH</t>
  </si>
  <si>
    <t>FP-LBR-1214</t>
  </si>
  <si>
    <t>LAKI</t>
  </si>
  <si>
    <t>FP-LBR-1215</t>
  </si>
  <si>
    <t>LAKJ</t>
  </si>
  <si>
    <t>FP-LBR-1216</t>
  </si>
  <si>
    <t>LAKK</t>
  </si>
  <si>
    <t>FP-LBR-1217</t>
  </si>
  <si>
    <t>LAKL</t>
  </si>
  <si>
    <t>FP-LBR-1244</t>
  </si>
  <si>
    <t>LAKM</t>
  </si>
  <si>
    <t>FP-LBR-1245</t>
  </si>
  <si>
    <t>LAKN</t>
  </si>
  <si>
    <t>FP-LBR-1249</t>
  </si>
  <si>
    <t>LAKO</t>
  </si>
  <si>
    <t>FP-LBR-1242</t>
  </si>
  <si>
    <t>LAKP</t>
  </si>
  <si>
    <t>FP-LBR-1247</t>
  </si>
  <si>
    <t>LAKS</t>
  </si>
  <si>
    <t>FP-LBR-1985</t>
  </si>
  <si>
    <t>LAKT</t>
  </si>
  <si>
    <t>FP-LBR-0277</t>
  </si>
  <si>
    <t>LAKU</t>
  </si>
  <si>
    <t>FP-LBR-1975</t>
  </si>
  <si>
    <t>LAKV</t>
  </si>
  <si>
    <t>FP-LBR-1976</t>
  </si>
  <si>
    <t>LAKW</t>
  </si>
  <si>
    <t>FP-LBR-1218</t>
  </si>
  <si>
    <t>LAKX</t>
  </si>
  <si>
    <t>FP-LBR-1219</t>
  </si>
  <si>
    <t>LAKY</t>
  </si>
  <si>
    <t>FP-LBR-1220</t>
  </si>
  <si>
    <t>LAKZ</t>
  </si>
  <si>
    <t>FP-LBR-1222</t>
  </si>
  <si>
    <t>LALA</t>
  </si>
  <si>
    <t>FP-LBR-1223</t>
  </si>
  <si>
    <t>LALB</t>
  </si>
  <si>
    <t>FP-LBR-1254</t>
  </si>
  <si>
    <t>LALC</t>
  </si>
  <si>
    <t>FP-LBR-1255</t>
  </si>
  <si>
    <t>LALD</t>
  </si>
  <si>
    <t>FP-LBR-1259</t>
  </si>
  <si>
    <t>LALE</t>
  </si>
  <si>
    <t>FP-LBR-1252</t>
  </si>
  <si>
    <t>LALF</t>
  </si>
  <si>
    <t>FP-LBR-1257</t>
  </si>
  <si>
    <t>LALJ</t>
  </si>
  <si>
    <t>FP-LBR-1224</t>
  </si>
  <si>
    <t>LALK</t>
  </si>
  <si>
    <t>FP-LBR-1225</t>
  </si>
  <si>
    <t>LALL</t>
  </si>
  <si>
    <t>FP-LBR-1226</t>
  </si>
  <si>
    <t>LALM</t>
  </si>
  <si>
    <t>FP-LBR-1227</t>
  </si>
  <si>
    <t>LALN</t>
  </si>
  <si>
    <t>FP-LBR-1263</t>
  </si>
  <si>
    <t>LALO</t>
  </si>
  <si>
    <t>FP-LBR-1266</t>
  </si>
  <si>
    <t>LALP</t>
  </si>
  <si>
    <t>FP-LBR-0325</t>
  </si>
  <si>
    <t>LALQ</t>
  </si>
  <si>
    <t>FP-LBR-0332</t>
  </si>
  <si>
    <t>LALR</t>
  </si>
  <si>
    <t>FP-LBR-0339</t>
  </si>
  <si>
    <t>LALS</t>
  </si>
  <si>
    <t>FP-LBR-0346</t>
  </si>
  <si>
    <t>LALT</t>
  </si>
  <si>
    <t>FP-LBR-0353</t>
  </si>
  <si>
    <t>LALU</t>
  </si>
  <si>
    <t>FP-LBR-0360</t>
  </si>
  <si>
    <t>LALV</t>
  </si>
  <si>
    <t>FP-LBR-0367</t>
  </si>
  <si>
    <t>LALW</t>
  </si>
  <si>
    <t>FP-LBR-0374</t>
  </si>
  <si>
    <t>LALX</t>
  </si>
  <si>
    <t>FP-LBR-0381</t>
  </si>
  <si>
    <t>LALY</t>
  </si>
  <si>
    <t>FP-LBR-0388</t>
  </si>
  <si>
    <t>LAMB</t>
  </si>
  <si>
    <t>FP-LBR-2051</t>
  </si>
  <si>
    <t>LAMC</t>
  </si>
  <si>
    <t>FP-LBR-2058</t>
  </si>
  <si>
    <t>LAMD</t>
  </si>
  <si>
    <t>FP-LBR-2016</t>
  </si>
  <si>
    <t>LAME</t>
  </si>
  <si>
    <t>FP-LBR-2023</t>
  </si>
  <si>
    <t>LAMF</t>
  </si>
  <si>
    <t>FP-LBR-2030</t>
  </si>
  <si>
    <t>LAMG</t>
  </si>
  <si>
    <t>FP-LBR-2037</t>
  </si>
  <si>
    <t>LAMH</t>
  </si>
  <si>
    <t>FP-LBR-2044</t>
  </si>
  <si>
    <t>LAMI</t>
  </si>
  <si>
    <t>FP-LBR-1274</t>
  </si>
  <si>
    <t>LAMJ</t>
  </si>
  <si>
    <t>FP-LBR-1279</t>
  </si>
  <si>
    <t>LAMK</t>
  </si>
  <si>
    <t>FP-LBR-1284</t>
  </si>
  <si>
    <t>LAML</t>
  </si>
  <si>
    <t>FP-LBR-1289</t>
  </si>
  <si>
    <t>LAMM</t>
  </si>
  <si>
    <t>FP-LBR-1338</t>
  </si>
  <si>
    <t>LAMN</t>
  </si>
  <si>
    <t>FP-LBR-1345</t>
  </si>
  <si>
    <t>LAMO</t>
  </si>
  <si>
    <t>FP-LBR-1358</t>
  </si>
  <si>
    <t>LAMP</t>
  </si>
  <si>
    <t>FP-LBR-1371</t>
  </si>
  <si>
    <t>LAMQ</t>
  </si>
  <si>
    <t>FP-LBR-1384</t>
  </si>
  <si>
    <t>LAMR</t>
  </si>
  <si>
    <t>LAMS</t>
  </si>
  <si>
    <t>FP-LBR-1875</t>
  </si>
  <si>
    <t>LAMT</t>
  </si>
  <si>
    <t>FP-LBR-1876</t>
  </si>
  <si>
    <t>LAMU</t>
  </si>
  <si>
    <t>FP-LBR-1877</t>
  </si>
  <si>
    <t>LAMW</t>
  </si>
  <si>
    <t>LAMY</t>
  </si>
  <si>
    <t>LAMZ</t>
  </si>
  <si>
    <t>FP-LBR-1880</t>
  </si>
  <si>
    <t>LANA</t>
  </si>
  <si>
    <t>FP-LBR-1881</t>
  </si>
  <si>
    <t>LANB</t>
  </si>
  <si>
    <t>FP-LBR-0326</t>
  </si>
  <si>
    <t>LANC</t>
  </si>
  <si>
    <t>FP-LBR-0333</t>
  </si>
  <si>
    <t>LAND</t>
  </si>
  <si>
    <t>FP-LBR-0340</t>
  </si>
  <si>
    <t>LANE</t>
  </si>
  <si>
    <t>FP-LBR-0347</t>
  </si>
  <si>
    <t>LANF</t>
  </si>
  <si>
    <t>FP-LBR-0354</t>
  </si>
  <si>
    <t>LANG</t>
  </si>
  <si>
    <t>FP-LBR-0361</t>
  </si>
  <si>
    <t>LANH</t>
  </si>
  <si>
    <t>FP-LBR-0368</t>
  </si>
  <si>
    <t>LANI</t>
  </si>
  <si>
    <t>FP-LBR-0375</t>
  </si>
  <si>
    <t>LANJ</t>
  </si>
  <si>
    <t>FP-LBR-0382</t>
  </si>
  <si>
    <t>LANK</t>
  </si>
  <si>
    <t>FP-LBR-0389</t>
  </si>
  <si>
    <t>LANL</t>
  </si>
  <si>
    <t>FP-LBR-0395</t>
  </si>
  <si>
    <t>LANM</t>
  </si>
  <si>
    <t>FP-LBR-0399</t>
  </si>
  <si>
    <t>LANP</t>
  </si>
  <si>
    <t>FP-LBR-2052</t>
  </si>
  <si>
    <t>LANQ</t>
  </si>
  <si>
    <t>FP-LBR-2059</t>
  </si>
  <si>
    <t>LANR</t>
  </si>
  <si>
    <t>FP-LBR-2017</t>
  </si>
  <si>
    <t>LANS</t>
  </si>
  <si>
    <t>FP-LBR-2024</t>
  </si>
  <si>
    <t>LANT</t>
  </si>
  <si>
    <t>FP-LBR-2031</t>
  </si>
  <si>
    <t>LANU</t>
  </si>
  <si>
    <t>FP-LBR-2038</t>
  </si>
  <si>
    <t>LANV</t>
  </si>
  <si>
    <t>FP-LBR-2045</t>
  </si>
  <si>
    <t>LANW</t>
  </si>
  <si>
    <t>FP-LBR-1275</t>
  </si>
  <si>
    <t>LANX</t>
  </si>
  <si>
    <t>FP-LBR-1280</t>
  </si>
  <si>
    <t>LANY</t>
  </si>
  <si>
    <t>FP-LBR-1285</t>
  </si>
  <si>
    <t>LANZ</t>
  </si>
  <si>
    <t>FP-LBR-1290</t>
  </si>
  <si>
    <t>LAOA</t>
  </si>
  <si>
    <t>FP-LBR-1339</t>
  </si>
  <si>
    <t>LAOB</t>
  </si>
  <si>
    <t>FP-LBR-1346</t>
  </si>
  <si>
    <t>LAOC</t>
  </si>
  <si>
    <t>FP-LBR-1359</t>
  </si>
  <si>
    <t>LAOD</t>
  </si>
  <si>
    <t>FP-LBR-1372</t>
  </si>
  <si>
    <t>LAOE</t>
  </si>
  <si>
    <t>FP-LBR-1385</t>
  </si>
  <si>
    <t>LAOF</t>
  </si>
  <si>
    <t>LAOG</t>
  </si>
  <si>
    <t>FP-LBR-1968</t>
  </si>
  <si>
    <t>LAOH</t>
  </si>
  <si>
    <t>FP-LBR-1969</t>
  </si>
  <si>
    <t>LAOI</t>
  </si>
  <si>
    <t>FP-LBR-1970</t>
  </si>
  <si>
    <t>LAOK</t>
  </si>
  <si>
    <t>LAOM</t>
  </si>
  <si>
    <t>LAON</t>
  </si>
  <si>
    <t>FP-LBR-1973</t>
  </si>
  <si>
    <t>LAOO</t>
  </si>
  <si>
    <t>FP-LBR-1974</t>
  </si>
  <si>
    <t>LAOP</t>
  </si>
  <si>
    <t>FP-LBR-0327</t>
  </si>
  <si>
    <t>LAOQ</t>
  </si>
  <si>
    <t>FP-LBR-0334</t>
  </si>
  <si>
    <t>LAOR</t>
  </si>
  <si>
    <t>FP-LBR-0341</t>
  </si>
  <si>
    <t>LAOS</t>
  </si>
  <si>
    <t>FP-LBR-0348</t>
  </si>
  <si>
    <t>LAOT</t>
  </si>
  <si>
    <t>FP-LBR-0355</t>
  </si>
  <si>
    <t>LAOU</t>
  </si>
  <si>
    <t>FP-LBR-0362</t>
  </si>
  <si>
    <t>LAOV</t>
  </si>
  <si>
    <t>FP-LBR-0369</t>
  </si>
  <si>
    <t>LAOW</t>
  </si>
  <si>
    <t>FP-LBR-0376</t>
  </si>
  <si>
    <t>LAOX</t>
  </si>
  <si>
    <t>FP-LBR-0383</t>
  </si>
  <si>
    <t>LAOY</t>
  </si>
  <si>
    <t>FP-LBR-0390</t>
  </si>
  <si>
    <t>LAOZ</t>
  </si>
  <si>
    <t>FP-LBR-0396</t>
  </si>
  <si>
    <t>LAPA</t>
  </si>
  <si>
    <t>FP-LBR-0400</t>
  </si>
  <si>
    <t>LAPD</t>
  </si>
  <si>
    <t>FP-LBR-2053</t>
  </si>
  <si>
    <t>LAPE</t>
  </si>
  <si>
    <t>FP-LBR-2060</t>
  </si>
  <si>
    <t>LAPF</t>
  </si>
  <si>
    <t>FP-LBR-2018</t>
  </si>
  <si>
    <t>LAPG</t>
  </si>
  <si>
    <t>FP-LBR-2025</t>
  </si>
  <si>
    <t>LAPH</t>
  </si>
  <si>
    <t>FP-LBR-2032</t>
  </si>
  <si>
    <t>LAPI</t>
  </si>
  <si>
    <t>FP-LBR-2039</t>
  </si>
  <si>
    <t>LAPJ</t>
  </si>
  <si>
    <t>FP-LBR-2046</t>
  </si>
  <si>
    <t>LAPK</t>
  </si>
  <si>
    <t>FP-LBR-1276</t>
  </si>
  <si>
    <t>LAPL</t>
  </si>
  <si>
    <t>FP-LBR-1281</t>
  </si>
  <si>
    <t>LAPM</t>
  </si>
  <si>
    <t>FP-LBR-1286</t>
  </si>
  <si>
    <t>LAPN</t>
  </si>
  <si>
    <t>FP-LBR-1291</t>
  </si>
  <si>
    <t>LAPO</t>
  </si>
  <si>
    <t>FP-LBR-1340</t>
  </si>
  <si>
    <t>LAPP</t>
  </si>
  <si>
    <t>FP-LBR-1347</t>
  </si>
  <si>
    <t>LAPQ</t>
  </si>
  <si>
    <t>FP-LBR-1360</t>
  </si>
  <si>
    <t>LAPR</t>
  </si>
  <si>
    <t>FP-LBR-1373</t>
  </si>
  <si>
    <t>LAPS</t>
  </si>
  <si>
    <t>FP-LBR-1386</t>
  </si>
  <si>
    <t>LAPT</t>
  </si>
  <si>
    <t>FP-LBR-0328</t>
  </si>
  <si>
    <t>LAPU</t>
  </si>
  <si>
    <t>FP-LBR-0335</t>
  </si>
  <si>
    <t>LAPV</t>
  </si>
  <si>
    <t>FP-LBR-0342</t>
  </si>
  <si>
    <t>LAPW</t>
  </si>
  <si>
    <t>FP-LBR-0349</t>
  </si>
  <si>
    <t>LAPX</t>
  </si>
  <si>
    <t>FP-LBR-0356</t>
  </si>
  <si>
    <t>LAPY</t>
  </si>
  <si>
    <t>FP-LBR-0363</t>
  </si>
  <si>
    <t>LAPZ</t>
  </si>
  <si>
    <t>FP-LBR-0370</t>
  </si>
  <si>
    <t>LAQA</t>
  </si>
  <si>
    <t>FP-LBR-0377</t>
  </si>
  <si>
    <t>LAQB</t>
  </si>
  <si>
    <t>FP-LBR-0384</t>
  </si>
  <si>
    <t>LAQC</t>
  </si>
  <si>
    <t>FP-LBR-0391</t>
  </si>
  <si>
    <t>LAQF</t>
  </si>
  <si>
    <t>FP-LBR-2054</t>
  </si>
  <si>
    <t>LAQG</t>
  </si>
  <si>
    <t>FP-LBR-2061</t>
  </si>
  <si>
    <t>LAQH</t>
  </si>
  <si>
    <t>FP-LBR-2019</t>
  </si>
  <si>
    <t>LAQI</t>
  </si>
  <si>
    <t>FP-LBR-2026</t>
  </si>
  <si>
    <t>LAQJ</t>
  </si>
  <si>
    <t>FP-LBR-2033</t>
  </si>
  <si>
    <t>LAQK</t>
  </si>
  <si>
    <t>FP-LBR-2040</t>
  </si>
  <si>
    <t>LAQL</t>
  </si>
  <si>
    <t>FP-LBR-2047</t>
  </si>
  <si>
    <t>LAQM</t>
  </si>
  <si>
    <t>FP-LBR-1277</t>
  </si>
  <si>
    <t>LAQN</t>
  </si>
  <si>
    <t>FP-LBR-1282</t>
  </si>
  <si>
    <t>LAQO</t>
  </si>
  <si>
    <t>FP-LBR-1287</t>
  </si>
  <si>
    <t>LAQP</t>
  </si>
  <si>
    <t>FP-LBR-1292</t>
  </si>
  <si>
    <t>LAQQ</t>
  </si>
  <si>
    <t>FP-LBR-1341</t>
  </si>
  <si>
    <t>LAQR</t>
  </si>
  <si>
    <t>FP-LBR-1348</t>
  </si>
  <si>
    <t>LAQS</t>
  </si>
  <si>
    <t>FP-LBR-1361</t>
  </si>
  <si>
    <t>LAQT</t>
  </si>
  <si>
    <t>FP-LBR-1374</t>
  </si>
  <si>
    <t>LAQU</t>
  </si>
  <si>
    <t>FP-LBR-1387</t>
  </si>
  <si>
    <t>LAQV</t>
  </si>
  <si>
    <t>FP-LBR-0329</t>
  </si>
  <si>
    <t>LAQW</t>
  </si>
  <si>
    <t>FP-LBR-0336</t>
  </si>
  <si>
    <t>LAQX</t>
  </si>
  <si>
    <t>FP-LBR-0343</t>
  </si>
  <si>
    <t>LAQY</t>
  </si>
  <si>
    <t>FP-LBR-0350</t>
  </si>
  <si>
    <t>LAQZ</t>
  </si>
  <si>
    <t>FP-LBR-0357</t>
  </si>
  <si>
    <t>LARA</t>
  </si>
  <si>
    <t>FP-LBR-0364</t>
  </si>
  <si>
    <t>LARB</t>
  </si>
  <si>
    <t>FP-LBR-0371</t>
  </si>
  <si>
    <t>LARC</t>
  </si>
  <si>
    <t>FP-LBR-0378</t>
  </si>
  <si>
    <t>LARD</t>
  </si>
  <si>
    <t>FP-LBR-0385</t>
  </si>
  <si>
    <t>LARE</t>
  </si>
  <si>
    <t>FP-LBR-0392</t>
  </si>
  <si>
    <t>LARH</t>
  </si>
  <si>
    <t>FP-LBR-2055</t>
  </si>
  <si>
    <t>LARI</t>
  </si>
  <si>
    <t>FP-LBR-2062</t>
  </si>
  <si>
    <t>LARJ</t>
  </si>
  <si>
    <t>FP-LBR-2020</t>
  </si>
  <si>
    <t>LARK</t>
  </si>
  <si>
    <t>FP-LBR-2027</t>
  </si>
  <si>
    <t>LARL</t>
  </si>
  <si>
    <t>FP-LBR-2034</t>
  </si>
  <si>
    <t>LARM</t>
  </si>
  <si>
    <t>FP-LBR-2041</t>
  </si>
  <si>
    <t>LARN</t>
  </si>
  <si>
    <t>FP-LBR-2048</t>
  </si>
  <si>
    <t>LARO</t>
  </si>
  <si>
    <t>FP-LBR-1278</t>
  </si>
  <si>
    <t>LARP</t>
  </si>
  <si>
    <t>FP-LBR-1283</t>
  </si>
  <si>
    <t>LARQ</t>
  </si>
  <si>
    <t>FP-LBR-1288</t>
  </si>
  <si>
    <t>LARR</t>
  </si>
  <si>
    <t>FP-LBR-1293</t>
  </si>
  <si>
    <t>LARS</t>
  </si>
  <si>
    <t>FP-LBR-1342</t>
  </si>
  <si>
    <t>LART</t>
  </si>
  <si>
    <t>FP-LBR-1349</t>
  </si>
  <si>
    <t>LARU</t>
  </si>
  <si>
    <t>FP-LBR-1362</t>
  </si>
  <si>
    <t>LARV</t>
  </si>
  <si>
    <t>FP-LBR-1375</t>
  </si>
  <si>
    <t>LARW</t>
  </si>
  <si>
    <t>FP-LBR-1388</t>
  </si>
  <si>
    <t>LASA</t>
  </si>
  <si>
    <t>FP-LBR-0330</t>
  </si>
  <si>
    <t>LASB</t>
  </si>
  <si>
    <t>FP-LBR-0337</t>
  </si>
  <si>
    <t>LASC</t>
  </si>
  <si>
    <t>FP-LBR-0344</t>
  </si>
  <si>
    <t>LASD</t>
  </si>
  <si>
    <t>FP-LBR-0351</t>
  </si>
  <si>
    <t>LASE</t>
  </si>
  <si>
    <t>FP-LBR-0358</t>
  </si>
  <si>
    <t>LASF</t>
  </si>
  <si>
    <t>FP-LBR-0365</t>
  </si>
  <si>
    <t>LASG</t>
  </si>
  <si>
    <t>FP-LBR-0372</t>
  </si>
  <si>
    <t>LASH</t>
  </si>
  <si>
    <t>FP-LBR-0379</t>
  </si>
  <si>
    <t>LASI</t>
  </si>
  <si>
    <t>FP-LBR-0386</t>
  </si>
  <si>
    <t>LASJ</t>
  </si>
  <si>
    <t>FP-LBR-0393</t>
  </si>
  <si>
    <t>LASK</t>
  </si>
  <si>
    <t>FP-LBR-0397</t>
  </si>
  <si>
    <t>LASL</t>
  </si>
  <si>
    <t>FP-LBR-0401</t>
  </si>
  <si>
    <t>LASO</t>
  </si>
  <si>
    <t>FP-LBR-2056</t>
  </si>
  <si>
    <t>LASP</t>
  </si>
  <si>
    <t>FP-LBR-2063</t>
  </si>
  <si>
    <t>LASQ</t>
  </si>
  <si>
    <t>FP-LBR-2021</t>
  </si>
  <si>
    <t>LASR</t>
  </si>
  <si>
    <t>FP-LBR-2028</t>
  </si>
  <si>
    <t>LASS</t>
  </si>
  <si>
    <t>FP-LBR-2035</t>
  </si>
  <si>
    <t>LAST</t>
  </si>
  <si>
    <t>FP-LBR-2042</t>
  </si>
  <si>
    <t>LASU</t>
  </si>
  <si>
    <t>FP-LBR-2049</t>
  </si>
  <si>
    <t>LASV</t>
  </si>
  <si>
    <t>FP-LBR-1343</t>
  </si>
  <si>
    <t>LASW</t>
  </si>
  <si>
    <t>FP-LBR-1350</t>
  </si>
  <si>
    <t>LASX</t>
  </si>
  <si>
    <t>FP-LBR-1363</t>
  </si>
  <si>
    <t>LASY</t>
  </si>
  <si>
    <t>FP-LBR-1376</t>
  </si>
  <si>
    <t>LASZ</t>
  </si>
  <si>
    <t>FP-LBR-1389</t>
  </si>
  <si>
    <t>LATD</t>
  </si>
  <si>
    <t>FP-LBR-0331</t>
  </si>
  <si>
    <t>LATE</t>
  </si>
  <si>
    <t>FP-LBR-0338</t>
  </si>
  <si>
    <t>LATF</t>
  </si>
  <si>
    <t>FP-LBR-0345</t>
  </si>
  <si>
    <t>LATG</t>
  </si>
  <si>
    <t>FP-LBR-0352</t>
  </si>
  <si>
    <t>LATH</t>
  </si>
  <si>
    <t>FP-LBR-0359</t>
  </si>
  <si>
    <t>LATI</t>
  </si>
  <si>
    <t>FP-LBR-0366</t>
  </si>
  <si>
    <t>LATJ</t>
  </si>
  <si>
    <t>FP-LBR-0373</t>
  </si>
  <si>
    <t>LATK</t>
  </si>
  <si>
    <t>FP-LBR-0380</t>
  </si>
  <si>
    <t>LATL</t>
  </si>
  <si>
    <t>FP-LBR-0387</t>
  </si>
  <si>
    <t>LATM</t>
  </si>
  <si>
    <t>FP-LBR-0394</t>
  </si>
  <si>
    <t>LATN</t>
  </si>
  <si>
    <t>FP-LBR-0398</t>
  </si>
  <si>
    <t>LATO</t>
  </si>
  <si>
    <t>FP-LBR-0402</t>
  </si>
  <si>
    <t>LATR</t>
  </si>
  <si>
    <t>FP-LBR-2057</t>
  </si>
  <si>
    <t>LATS</t>
  </si>
  <si>
    <t>FP-LBR-2064</t>
  </si>
  <si>
    <t>LATT</t>
  </si>
  <si>
    <t>FP-LBR-2022</t>
  </si>
  <si>
    <t>LATU</t>
  </si>
  <si>
    <t>FP-LBR-2029</t>
  </si>
  <si>
    <t>LATV</t>
  </si>
  <si>
    <t>FP-LBR-2036</t>
  </si>
  <si>
    <t>LATW</t>
  </si>
  <si>
    <t>FP-LBR-2043</t>
  </si>
  <si>
    <t>LATX</t>
  </si>
  <si>
    <t>FP-LBR-2050</t>
  </si>
  <si>
    <t>LATY</t>
  </si>
  <si>
    <t>FP-LBR-1344</t>
  </si>
  <si>
    <t>LATZ</t>
  </si>
  <si>
    <t>FP-LBR-1351</t>
  </si>
  <si>
    <t>LAUA</t>
  </si>
  <si>
    <t>FP-LBR-1364</t>
  </si>
  <si>
    <t>LAUB</t>
  </si>
  <si>
    <t>FP-LBR-1377</t>
  </si>
  <si>
    <t>LAUC</t>
  </si>
  <si>
    <t>FP-LBR-1390</t>
  </si>
  <si>
    <t>LAUI</t>
  </si>
  <si>
    <t>FP-LBR-1352</t>
  </si>
  <si>
    <t>LAUJ</t>
  </si>
  <si>
    <t>FP-LBR-1365</t>
  </si>
  <si>
    <t>LAUK</t>
  </si>
  <si>
    <t>FP-LBR-1378</t>
  </si>
  <si>
    <t>LAUL</t>
  </si>
  <si>
    <t>FP-LBR-1391</t>
  </si>
  <si>
    <t>LAUP</t>
  </si>
  <si>
    <t>FP-LBR-0432</t>
  </si>
  <si>
    <t>LAUQ</t>
  </si>
  <si>
    <t>FP-LBR-1923</t>
  </si>
  <si>
    <t>LAUR</t>
  </si>
  <si>
    <t>FP-LBR-1922</t>
  </si>
  <si>
    <t>LAUS</t>
  </si>
  <si>
    <t>FP-LBR-1353</t>
  </si>
  <si>
    <t>LAUT</t>
  </si>
  <si>
    <t>FP-LBR-1366</t>
  </si>
  <si>
    <t>LAUU</t>
  </si>
  <si>
    <t>FP-LBR-1379</t>
  </si>
  <si>
    <t>LAUV</t>
  </si>
  <si>
    <t>FP-LBR-1356</t>
  </si>
  <si>
    <t>LAUZ</t>
  </si>
  <si>
    <t>FP-LBR-1959</t>
  </si>
  <si>
    <t>LAVA</t>
  </si>
  <si>
    <t>FP-LBR-1958</t>
  </si>
  <si>
    <t>LAVB</t>
  </si>
  <si>
    <t>FP-LBR-2129</t>
  </si>
  <si>
    <t>LAVC</t>
  </si>
  <si>
    <t>FP-LBR-2136</t>
  </si>
  <si>
    <t>LAVD</t>
  </si>
  <si>
    <t>FP-LBR-2143</t>
  </si>
  <si>
    <t>LAVE</t>
  </si>
  <si>
    <t>FP-LBR-2150</t>
  </si>
  <si>
    <t>LAVF</t>
  </si>
  <si>
    <t>FP-LBR-2157</t>
  </si>
  <si>
    <t>LAVG</t>
  </si>
  <si>
    <t>FP-LBR-2086</t>
  </si>
  <si>
    <t>LAVH</t>
  </si>
  <si>
    <t>FP-LBR-2093</t>
  </si>
  <si>
    <t>LAVI</t>
  </si>
  <si>
    <t>FP-LBR-2102</t>
  </si>
  <si>
    <t>LAVJ</t>
  </si>
  <si>
    <t>FP-LBR-2111</t>
  </si>
  <si>
    <t>LAVK</t>
  </si>
  <si>
    <t>FP-LBR-2120</t>
  </si>
  <si>
    <t>LAVM</t>
  </si>
  <si>
    <t>FP-LBR-0192</t>
  </si>
  <si>
    <t>LAVN</t>
  </si>
  <si>
    <t>FP-LBR-0201</t>
  </si>
  <si>
    <t>LAVO</t>
  </si>
  <si>
    <t>FP-LBR-0210</t>
  </si>
  <si>
    <t>LAVP</t>
  </si>
  <si>
    <t>FP-LBR-0219</t>
  </si>
  <si>
    <t>LAVV</t>
  </si>
  <si>
    <t>FP-LBR-1354</t>
  </si>
  <si>
    <t>LAVW</t>
  </si>
  <si>
    <t>FP-LBR-1367</t>
  </si>
  <si>
    <t>LAVX</t>
  </si>
  <si>
    <t>FP-LBR-1381</t>
  </si>
  <si>
    <t>LAVY</t>
  </si>
  <si>
    <t>FP-LBR-1368</t>
  </si>
  <si>
    <t>LAVZ</t>
  </si>
  <si>
    <t>FP-LBR-2130</t>
  </si>
  <si>
    <t>LAWA</t>
  </si>
  <si>
    <t>FP-LBR-2137</t>
  </si>
  <si>
    <t>LAWB</t>
  </si>
  <si>
    <t>FP-LBR-2144</t>
  </si>
  <si>
    <t>LAWC</t>
  </si>
  <si>
    <t>FP-LBR-2151</t>
  </si>
  <si>
    <t>LAWD</t>
  </si>
  <si>
    <t>FP-LBR-2158</t>
  </si>
  <si>
    <t>LAWE</t>
  </si>
  <si>
    <t>FP-LBR-2087</t>
  </si>
  <si>
    <t>LAWF</t>
  </si>
  <si>
    <t>FP-LBR-2094</t>
  </si>
  <si>
    <t>LAWG</t>
  </si>
  <si>
    <t>FP-LBR-2103</t>
  </si>
  <si>
    <t>LAWH</t>
  </si>
  <si>
    <t>FP-LBR-2112</t>
  </si>
  <si>
    <t>LAWI</t>
  </si>
  <si>
    <t>FP-LBR-2121</t>
  </si>
  <si>
    <t>LAWK</t>
  </si>
  <si>
    <t>FP-LBR-0193</t>
  </si>
  <si>
    <t>LAWL</t>
  </si>
  <si>
    <t>FP-LBR-0202</t>
  </si>
  <si>
    <t>LAWM</t>
  </si>
  <si>
    <t>FP-LBR-0211</t>
  </si>
  <si>
    <t>LAWN</t>
  </si>
  <si>
    <t>FP-LBR-0220</t>
  </si>
  <si>
    <t>LAWT</t>
  </si>
  <si>
    <t>FP-LBR-1355</t>
  </si>
  <si>
    <t>LAWU</t>
  </si>
  <si>
    <t>FP-LBR-1369</t>
  </si>
  <si>
    <t>LAWV</t>
  </si>
  <si>
    <t>FP-LBR-1382</t>
  </si>
  <si>
    <t>LAWW</t>
  </si>
  <si>
    <t>FP-LBR-1380</t>
  </si>
  <si>
    <t>LAWX</t>
  </si>
  <si>
    <t>FP-LBR-2131</t>
  </si>
  <si>
    <t>LAWY</t>
  </si>
  <si>
    <t>FP-LBR-2138</t>
  </si>
  <si>
    <t>LAWZ</t>
  </si>
  <si>
    <t>FP-LBR-2145</t>
  </si>
  <si>
    <t>LAXA</t>
  </si>
  <si>
    <t>FP-LBR-2152</t>
  </si>
  <si>
    <t>LAXB</t>
  </si>
  <si>
    <t>FP-LBR-2159</t>
  </si>
  <si>
    <t>LAXC</t>
  </si>
  <si>
    <t>FP-LBR-2088</t>
  </si>
  <si>
    <t>LAXD</t>
  </si>
  <si>
    <t>FP-LBR-2095</t>
  </si>
  <si>
    <t>LAXE</t>
  </si>
  <si>
    <t>FP-LBR-2104</t>
  </si>
  <si>
    <t>LAXF</t>
  </si>
  <si>
    <t>FP-LBR-2113</t>
  </si>
  <si>
    <t>LAXG</t>
  </si>
  <si>
    <t>FP-LBR-2122</t>
  </si>
  <si>
    <t>LAXI</t>
  </si>
  <si>
    <t>FP-LBR-0194</t>
  </si>
  <si>
    <t>LAXJ</t>
  </si>
  <si>
    <t>FP-LBR-0203</t>
  </si>
  <si>
    <t>LAXK</t>
  </si>
  <si>
    <t>FP-LBR-0212</t>
  </si>
  <si>
    <t>LAXL</t>
  </si>
  <si>
    <t>FP-LBR-0221</t>
  </si>
  <si>
    <t>LAXR</t>
  </si>
  <si>
    <t>FP-LBR-1357</t>
  </si>
  <si>
    <t>LAXS</t>
  </si>
  <si>
    <t>FP-LBR-1370</t>
  </si>
  <si>
    <t>LAXT</t>
  </si>
  <si>
    <t>FP-LBR-1383</t>
  </si>
  <si>
    <t>LAXU</t>
  </si>
  <si>
    <t>FP-LBR-1392</t>
  </si>
  <si>
    <t>LAXV</t>
  </si>
  <si>
    <t>FP-LBR-1842</t>
  </si>
  <si>
    <t>LAXW</t>
  </si>
  <si>
    <t>FP-LBR-1841</t>
  </si>
  <si>
    <t>LAXX</t>
  </si>
  <si>
    <t>FP-LBR-1840</t>
  </si>
  <si>
    <t>LAXY</t>
  </si>
  <si>
    <t>FP-LBR-2132</t>
  </si>
  <si>
    <t>LAXZ</t>
  </si>
  <si>
    <t>FP-LBR-2139</t>
  </si>
  <si>
    <t>LAYA</t>
  </si>
  <si>
    <t>FP-LBR-2146</t>
  </si>
  <si>
    <t>LAYB</t>
  </si>
  <si>
    <t>FP-LBR-2153</t>
  </si>
  <si>
    <t>LAYC</t>
  </si>
  <si>
    <t>FP-LBR-2160</t>
  </si>
  <si>
    <t>LAYD</t>
  </si>
  <si>
    <t>FP-LBR-2089</t>
  </si>
  <si>
    <t>LAYE</t>
  </si>
  <si>
    <t>FP-LBR-2096</t>
  </si>
  <si>
    <t>LAYF</t>
  </si>
  <si>
    <t>FP-LBR-2105</t>
  </si>
  <si>
    <t>LAYG</t>
  </si>
  <si>
    <t>FP-LBR-2114</t>
  </si>
  <si>
    <t>LAYH</t>
  </si>
  <si>
    <t>FP-LBR-2123</t>
  </si>
  <si>
    <t>LAYJ</t>
  </si>
  <si>
    <t>FP-LBR-0195</t>
  </si>
  <si>
    <t>LAYK</t>
  </si>
  <si>
    <t>FP-LBR-0204</t>
  </si>
  <si>
    <t>LAYL</t>
  </si>
  <si>
    <t>FP-LBR-0213</t>
  </si>
  <si>
    <t>LAYM</t>
  </si>
  <si>
    <t>FP-LBR-0222</t>
  </si>
  <si>
    <t>LAYS</t>
  </si>
  <si>
    <t>FP-LBR-1897</t>
  </si>
  <si>
    <t>LAYT</t>
  </si>
  <si>
    <t>FP-LBR-1896</t>
  </si>
  <si>
    <t>LAYU</t>
  </si>
  <si>
    <t>FP-LBR-1895</t>
  </si>
  <si>
    <t>LAYV</t>
  </si>
  <si>
    <t>FP-LBR-1894</t>
  </si>
  <si>
    <t>LAYW</t>
  </si>
  <si>
    <t>FP-LBR-2133</t>
  </si>
  <si>
    <t>LAYX</t>
  </si>
  <si>
    <t>FP-LBR-2140</t>
  </si>
  <si>
    <t>LAYY</t>
  </si>
  <si>
    <t>FP-LBR-2147</t>
  </si>
  <si>
    <t>LAYZ</t>
  </si>
  <si>
    <t>FP-LBR-2154</t>
  </si>
  <si>
    <t>LAZA</t>
  </si>
  <si>
    <t>FP-LBR-2161</t>
  </si>
  <si>
    <t>LAZB</t>
  </si>
  <si>
    <t>FP-LBR-2090</t>
  </si>
  <si>
    <t>LAZC</t>
  </si>
  <si>
    <t>FP-LBR-2097</t>
  </si>
  <si>
    <t>LAZD</t>
  </si>
  <si>
    <t>FP-LBR-2106</t>
  </si>
  <si>
    <t>LAZE</t>
  </si>
  <si>
    <t>FP-LBR-2115</t>
  </si>
  <si>
    <t>LAZF</t>
  </si>
  <si>
    <t>FP-LBR-2124</t>
  </si>
  <si>
    <t>LAZH</t>
  </si>
  <si>
    <t>FP-LBR-0196</t>
  </si>
  <si>
    <t>LAZI</t>
  </si>
  <si>
    <t>FP-LBR-0205</t>
  </si>
  <si>
    <t>LAZJ</t>
  </si>
  <si>
    <t>FP-LBR-0214</t>
  </si>
  <si>
    <t>LAZK</t>
  </si>
  <si>
    <t>FP-LBR-0223</t>
  </si>
  <si>
    <t>LAZQ</t>
  </si>
  <si>
    <t>FP-LBR-2134</t>
  </si>
  <si>
    <t>LAZR</t>
  </si>
  <si>
    <t>FP-LBR-2141</t>
  </si>
  <si>
    <t>LAZS</t>
  </si>
  <si>
    <t>FP-LBR-2148</t>
  </si>
  <si>
    <t>LAZT</t>
  </si>
  <si>
    <t>FP-LBR-2155</t>
  </si>
  <si>
    <t>LAZU</t>
  </si>
  <si>
    <t>FP-LBR-2162</t>
  </si>
  <si>
    <t>LAZV</t>
  </si>
  <si>
    <t>FP-LBR-2091</t>
  </si>
  <si>
    <t>LAZW</t>
  </si>
  <si>
    <t>FP-LBR-2098</t>
  </si>
  <si>
    <t>LAZX</t>
  </si>
  <si>
    <t>FP-LBR-2107</t>
  </si>
  <si>
    <t>LAZY</t>
  </si>
  <si>
    <t>FP-LBR-2116</t>
  </si>
  <si>
    <t>LAZZ</t>
  </si>
  <si>
    <t>FP-LBR-2125</t>
  </si>
  <si>
    <t>LBAB</t>
  </si>
  <si>
    <t>FP-LBR-0197</t>
  </si>
  <si>
    <t>LBAC</t>
  </si>
  <si>
    <t>FP-LBR-0206</t>
  </si>
  <si>
    <t>LBAD</t>
  </si>
  <si>
    <t>FP-LBR-0215</t>
  </si>
  <si>
    <t>LBAE</t>
  </si>
  <si>
    <t>FP-LBR-0224</t>
  </si>
  <si>
    <t>LBAK</t>
  </si>
  <si>
    <t>FP-LBR-2135</t>
  </si>
  <si>
    <t>LBAL</t>
  </si>
  <si>
    <t>FP-LBR-2142</t>
  </si>
  <si>
    <t>LBAM</t>
  </si>
  <si>
    <t>FP-LBR-2149</t>
  </si>
  <si>
    <t>LBAN</t>
  </si>
  <si>
    <t>FP-LBR-2156</t>
  </si>
  <si>
    <t>LBAO</t>
  </si>
  <si>
    <t>FP-LBR-2163</t>
  </si>
  <si>
    <t>LBAP</t>
  </si>
  <si>
    <t>FP-LBR-2092</t>
  </si>
  <si>
    <t>LBAQ</t>
  </si>
  <si>
    <t>FP-LBR-2099</t>
  </si>
  <si>
    <t>LBAR</t>
  </si>
  <si>
    <t>FP-LBR-2108</t>
  </si>
  <si>
    <t>LBAS</t>
  </si>
  <si>
    <t>FP-LBR-2117</t>
  </si>
  <si>
    <t>LBAT</t>
  </si>
  <si>
    <t>FP-LBR-2126</t>
  </si>
  <si>
    <t>LBAV</t>
  </si>
  <si>
    <t>FP-LBR-0198</t>
  </si>
  <si>
    <t>LBAW</t>
  </si>
  <si>
    <t>FP-LBR-0207</t>
  </si>
  <si>
    <t>LBAX</t>
  </si>
  <si>
    <t>FP-LBR-0216</t>
  </si>
  <si>
    <t>LBAY</t>
  </si>
  <si>
    <t>FP-LBR-0225</t>
  </si>
  <si>
    <t>LBBE</t>
  </si>
  <si>
    <t>FP-LBR-1886</t>
  </si>
  <si>
    <t>LBBF</t>
  </si>
  <si>
    <t>FP-LBR-1887</t>
  </si>
  <si>
    <t>LBBG</t>
  </si>
  <si>
    <t>FP-LBR-1888</t>
  </si>
  <si>
    <t>LBBJ</t>
  </si>
  <si>
    <t>FP-LBR-2100</t>
  </si>
  <si>
    <t>LBBK</t>
  </si>
  <si>
    <t>FP-LBR-2109</t>
  </si>
  <si>
    <t>LBBL</t>
  </si>
  <si>
    <t>FP-LBR-2118</t>
  </si>
  <si>
    <t>LBBM</t>
  </si>
  <si>
    <t>FP-LBR-2127</t>
  </si>
  <si>
    <t>LBBN</t>
  </si>
  <si>
    <t>FP-LBR-0199</t>
  </si>
  <si>
    <t>LBBO</t>
  </si>
  <si>
    <t>FP-LBR-0208</t>
  </si>
  <si>
    <t>LBBP</t>
  </si>
  <si>
    <t>FP-LBR-0217</t>
  </si>
  <si>
    <t>LBBQ</t>
  </si>
  <si>
    <t>FP-LBR-0226</t>
  </si>
  <si>
    <t>LBBV</t>
  </si>
  <si>
    <t>FP-LBR-1931</t>
  </si>
  <si>
    <t>LBBW</t>
  </si>
  <si>
    <t>FP-LBR-1932</t>
  </si>
  <si>
    <t>LBBX</t>
  </si>
  <si>
    <t>FP-LBR-1933</t>
  </si>
  <si>
    <t>LBCA</t>
  </si>
  <si>
    <t>FP-LBR-2101</t>
  </si>
  <si>
    <t>LBCB</t>
  </si>
  <si>
    <t>FP-LBR-2110</t>
  </si>
  <si>
    <t>LBCC</t>
  </si>
  <si>
    <t>FP-LBR-2119</t>
  </si>
  <si>
    <t>LBCD</t>
  </si>
  <si>
    <t>FP-LBR-2128</t>
  </si>
  <si>
    <t>LBCE</t>
  </si>
  <si>
    <t>FP-LBR-0200</t>
  </si>
  <si>
    <t>LBCF</t>
  </si>
  <si>
    <t>FP-LBR-0209</t>
  </si>
  <si>
    <t>LBCG</t>
  </si>
  <si>
    <t>FP-LBR-0218</t>
  </si>
  <si>
    <t>LBCH</t>
  </si>
  <si>
    <t>FP-LBR-0227</t>
  </si>
  <si>
    <t>LBCM</t>
  </si>
  <si>
    <t>FP-LBR-1978</t>
  </si>
  <si>
    <t>LBCN</t>
  </si>
  <si>
    <t>FP-LBR-1979</t>
  </si>
  <si>
    <t>LBCP</t>
  </si>
  <si>
    <t>FP-LBR-1417</t>
  </si>
  <si>
    <t>LBCQ</t>
  </si>
  <si>
    <t>FP-LBR-1418</t>
  </si>
  <si>
    <t>LBCR</t>
  </si>
  <si>
    <t>FP-LBR-1419</t>
  </si>
  <si>
    <t>LBCS</t>
  </si>
  <si>
    <t>FP-LBR-1420</t>
  </si>
  <si>
    <t>LBCT</t>
  </si>
  <si>
    <t>FP-LBR-1421</t>
  </si>
  <si>
    <t>LBCU</t>
  </si>
  <si>
    <t>FP-LBR-1467</t>
  </si>
  <si>
    <t>LBCV</t>
  </si>
  <si>
    <t>FP-LBR-1468</t>
  </si>
  <si>
    <t>LBCW</t>
  </si>
  <si>
    <t>FP-LBR-1469</t>
  </si>
  <si>
    <t>LBCX</t>
  </si>
  <si>
    <t>FP-LBR-1470</t>
  </si>
  <si>
    <t>LBCY</t>
  </si>
  <si>
    <t>FP-LBR-1471</t>
  </si>
  <si>
    <t>LBDE</t>
  </si>
  <si>
    <t>FP-LBR-1492</t>
  </si>
  <si>
    <t>LBDF</t>
  </si>
  <si>
    <t>FP-LBR-1493</t>
  </si>
  <si>
    <t>LBDG</t>
  </si>
  <si>
    <t>FP-LBR-1494</t>
  </si>
  <si>
    <t>LBDH</t>
  </si>
  <si>
    <t>FP-LBR-1495</t>
  </si>
  <si>
    <t>LBDI</t>
  </si>
  <si>
    <t>FP-LBR-1496</t>
  </si>
  <si>
    <t>LBDJ</t>
  </si>
  <si>
    <t>FP-LBR-1797</t>
  </si>
  <si>
    <t>LBDK</t>
  </si>
  <si>
    <t>FP-LBR-1798</t>
  </si>
  <si>
    <t>LBDL</t>
  </si>
  <si>
    <t>FP-LBR-1799</t>
  </si>
  <si>
    <t>LBDM</t>
  </si>
  <si>
    <t>FP-LBR-1800</t>
  </si>
  <si>
    <t>LBDN</t>
  </si>
  <si>
    <t>FP-LBR-1801</t>
  </si>
  <si>
    <t>LBDO</t>
  </si>
  <si>
    <t>FP-LBR-1422</t>
  </si>
  <si>
    <t>LBDP</t>
  </si>
  <si>
    <t>FP-LBR-1423</t>
  </si>
  <si>
    <t>LBDQ</t>
  </si>
  <si>
    <t>FP-LBR-1424</t>
  </si>
  <si>
    <t>LBDR</t>
  </si>
  <si>
    <t>FP-LBR-1425</t>
  </si>
  <si>
    <t>LBDS</t>
  </si>
  <si>
    <t>FP-LBR-1426</t>
  </si>
  <si>
    <t>LBDT</t>
  </si>
  <si>
    <t>FP-LBR-1472</t>
  </si>
  <si>
    <t>LBDU</t>
  </si>
  <si>
    <t>FP-LBR-1473</t>
  </si>
  <si>
    <t>LBDV</t>
  </si>
  <si>
    <t>FP-LBR-1474</t>
  </si>
  <si>
    <t>LBDW</t>
  </si>
  <si>
    <t>FP-LBR-1475</t>
  </si>
  <si>
    <t>LBDX</t>
  </si>
  <si>
    <t>FP-LBR-1476</t>
  </si>
  <si>
    <t>LBED</t>
  </si>
  <si>
    <t>FP-LBR-1497</t>
  </si>
  <si>
    <t>LBEE</t>
  </si>
  <si>
    <t>FP-LBR-1498</t>
  </si>
  <si>
    <t>LBEF</t>
  </si>
  <si>
    <t>FP-LBR-1499</t>
  </si>
  <si>
    <t>LBEG</t>
  </si>
  <si>
    <t>FP-LBR-1500</t>
  </si>
  <si>
    <t>LBEH</t>
  </si>
  <si>
    <t>FP-LBR-1501</t>
  </si>
  <si>
    <t>LBEO</t>
  </si>
  <si>
    <t>FP-LBR-2200</t>
  </si>
  <si>
    <t>LBEP</t>
  </si>
  <si>
    <t>FP-LBR-1810</t>
  </si>
  <si>
    <t>LBER</t>
  </si>
  <si>
    <t>FP-LBR-1299</t>
  </si>
  <si>
    <t>LBES</t>
  </si>
  <si>
    <t>FP-LBR-1300</t>
  </si>
  <si>
    <t>LBET</t>
  </si>
  <si>
    <t>FP-LBR-1427</t>
  </si>
  <si>
    <t>LBEU</t>
  </si>
  <si>
    <t>FP-LBR-1428</t>
  </si>
  <si>
    <t>LBEV</t>
  </si>
  <si>
    <t>FP-LBR-1429</t>
  </si>
  <si>
    <t>LBEW</t>
  </si>
  <si>
    <t>FP-LBR-1430</t>
  </si>
  <si>
    <t>LBEX</t>
  </si>
  <si>
    <t>FP-LBR-1431</t>
  </si>
  <si>
    <t>LBEY</t>
  </si>
  <si>
    <t>FP-LBR-1477</t>
  </si>
  <si>
    <t>LBEZ</t>
  </si>
  <si>
    <t>FP-LBR-1478</t>
  </si>
  <si>
    <t>LBFA</t>
  </si>
  <si>
    <t>FP-LBR-1479</t>
  </si>
  <si>
    <t>LBFB</t>
  </si>
  <si>
    <t>FP-LBR-1480</t>
  </si>
  <si>
    <t>LBFC</t>
  </si>
  <si>
    <t>FP-LBR-1481</t>
  </si>
  <si>
    <t>LBFD</t>
  </si>
  <si>
    <t>FP-LBR-1512</t>
  </si>
  <si>
    <t>LBFE</t>
  </si>
  <si>
    <t>FP-LBR-1513</t>
  </si>
  <si>
    <t>LBFF</t>
  </si>
  <si>
    <t>FP-LBR-1514</t>
  </si>
  <si>
    <t>LBFG</t>
  </si>
  <si>
    <t>FP-LBR-1515</t>
  </si>
  <si>
    <t>LBFH</t>
  </si>
  <si>
    <t>FP-LBR-1516</t>
  </si>
  <si>
    <t>LBFJ</t>
  </si>
  <si>
    <t>FP-LBR-1502</t>
  </si>
  <si>
    <t>LBFK</t>
  </si>
  <si>
    <t>FP-LBR-1503</t>
  </si>
  <si>
    <t>LBFL</t>
  </si>
  <si>
    <t>FP-LBR-1504</t>
  </si>
  <si>
    <t>LBFM</t>
  </si>
  <si>
    <t>FP-LBR-1505</t>
  </si>
  <si>
    <t>LBFN</t>
  </si>
  <si>
    <t>FP-LBR-1506</t>
  </si>
  <si>
    <t>LBFO</t>
  </si>
  <si>
    <t>FP-LBR-1807</t>
  </si>
  <si>
    <t>LBFR</t>
  </si>
  <si>
    <t>FP-LBR-1301</t>
  </si>
  <si>
    <t>LBFS</t>
  </si>
  <si>
    <t>FP-LBR-1302</t>
  </si>
  <si>
    <t>LBFT</t>
  </si>
  <si>
    <t>FP-LBR-1432</t>
  </si>
  <si>
    <t>LBFU</t>
  </si>
  <si>
    <t>FP-LBR-1433</t>
  </si>
  <si>
    <t>LBFV</t>
  </si>
  <si>
    <t>FP-LBR-1434</t>
  </si>
  <si>
    <t>LBFW</t>
  </si>
  <si>
    <t>FP-LBR-1435</t>
  </si>
  <si>
    <t>LBFX</t>
  </si>
  <si>
    <t>FP-LBR-1436</t>
  </si>
  <si>
    <t>LBFY</t>
  </si>
  <si>
    <t>FP-LBR-1482</t>
  </si>
  <si>
    <t>LBFZ</t>
  </si>
  <si>
    <t>FP-LBR-1483</t>
  </si>
  <si>
    <t>LBGA</t>
  </si>
  <si>
    <t>FP-LBR-1484</t>
  </si>
  <si>
    <t>LBGB</t>
  </si>
  <si>
    <t>FP-LBR-1485</t>
  </si>
  <si>
    <t>LBGC</t>
  </si>
  <si>
    <t>FP-LBR-1486</t>
  </si>
  <si>
    <t>LBGD</t>
  </si>
  <si>
    <t>FP-LBR-1517</t>
  </si>
  <si>
    <t>LBGE</t>
  </si>
  <si>
    <t>FP-LBR-1518</t>
  </si>
  <si>
    <t>LBGF</t>
  </si>
  <si>
    <t>FP-LBR-1519</t>
  </si>
  <si>
    <t>LBGG</t>
  </si>
  <si>
    <t>FP-LBR-1520</t>
  </si>
  <si>
    <t>LBGH</t>
  </si>
  <si>
    <t>FP-LBR-1521</t>
  </si>
  <si>
    <t>LBGJ</t>
  </si>
  <si>
    <t>FP-LBR-1507</t>
  </si>
  <si>
    <t>LBGK</t>
  </si>
  <si>
    <t>FP-LBR-1508</t>
  </si>
  <si>
    <t>LBGL</t>
  </si>
  <si>
    <t>FP-LBR-1509</t>
  </si>
  <si>
    <t>LBGM</t>
  </si>
  <si>
    <t>FP-LBR-1510</t>
  </si>
  <si>
    <t>LBGN</t>
  </si>
  <si>
    <t>FP-LBR-1511</t>
  </si>
  <si>
    <t>LBGO</t>
  </si>
  <si>
    <t>FP-LBR-1808</t>
  </si>
  <si>
    <t>LBGP</t>
  </si>
  <si>
    <t>FP-LBR-1809</t>
  </si>
  <si>
    <t>LBGQ</t>
  </si>
  <si>
    <t>FP-LBR-1437</t>
  </si>
  <si>
    <t>LBGR</t>
  </si>
  <si>
    <t>FP-LBR-1438</t>
  </si>
  <si>
    <t>LBGS</t>
  </si>
  <si>
    <t>FP-LBR-1439</t>
  </si>
  <si>
    <t>LBGT</t>
  </si>
  <si>
    <t>FP-LBR-1440</t>
  </si>
  <si>
    <t>LBGU</t>
  </si>
  <si>
    <t>FP-LBR-1441</t>
  </si>
  <si>
    <t>LBGV</t>
  </si>
  <si>
    <t>FP-LBR-1487</t>
  </si>
  <si>
    <t>LBGW</t>
  </si>
  <si>
    <t>FP-LBR-1488</t>
  </si>
  <si>
    <t>LBGX</t>
  </si>
  <si>
    <t>FP-LBR-1489</t>
  </si>
  <si>
    <t>LBGY</t>
  </si>
  <si>
    <t>FP-LBR-1490</t>
  </si>
  <si>
    <t>LBGZ</t>
  </si>
  <si>
    <t>FP-LBR-1491</t>
  </si>
  <si>
    <t>LBHA</t>
  </si>
  <si>
    <t>FP-LBR-1522</t>
  </si>
  <si>
    <t>LBHB</t>
  </si>
  <si>
    <t>FP-LBR-1523</t>
  </si>
  <si>
    <t>LBHC</t>
  </si>
  <si>
    <t>FP-LBR-1524</t>
  </si>
  <si>
    <t>LBHD</t>
  </si>
  <si>
    <t>FP-LBR-1525</t>
  </si>
  <si>
    <t>LBHE</t>
  </si>
  <si>
    <t>FP-LBR-1526</t>
  </si>
  <si>
    <t>LBHG</t>
  </si>
  <si>
    <t>FP-LBR-1812</t>
  </si>
  <si>
    <t>LBHH</t>
  </si>
  <si>
    <t>FP-LBR-1527</t>
  </si>
  <si>
    <t>LBHI</t>
  </si>
  <si>
    <t>FP-LBR-1528</t>
  </si>
  <si>
    <t>LBHJ</t>
  </si>
  <si>
    <t>FP-LBR-1529</t>
  </si>
  <si>
    <t>LBHK</t>
  </si>
  <si>
    <t>FP-LBR-1530</t>
  </si>
  <si>
    <t>LBHL</t>
  </si>
  <si>
    <t>FP-LBR-1531</t>
  </si>
  <si>
    <t>LBHO</t>
  </si>
  <si>
    <t>FP-LBR-1537</t>
  </si>
  <si>
    <t>LBHP</t>
  </si>
  <si>
    <t>FP-LBR-1538</t>
  </si>
  <si>
    <t>LBHQ</t>
  </si>
  <si>
    <t>FP-LBR-1539</t>
  </si>
  <si>
    <t>LBHR</t>
  </si>
  <si>
    <t>FP-LBR-1540</t>
  </si>
  <si>
    <t>LBHS</t>
  </si>
  <si>
    <t>FP-LBR-1541</t>
  </si>
  <si>
    <t>LBHW</t>
  </si>
  <si>
    <t>FP-LBR-1542</t>
  </si>
  <si>
    <t>LBHX</t>
  </si>
  <si>
    <t>FP-LBR-1543</t>
  </si>
  <si>
    <t>LBHY</t>
  </si>
  <si>
    <t>FP-LBR-1544</t>
  </si>
  <si>
    <t>LBHZ</t>
  </si>
  <si>
    <t>FP-LBR-1545</t>
  </si>
  <si>
    <t>LBIA</t>
  </si>
  <si>
    <t>FP-LBR-1546</t>
  </si>
  <si>
    <t>LBIF</t>
  </si>
  <si>
    <t>FP-LBR-1452</t>
  </si>
  <si>
    <t>LBIG</t>
  </si>
  <si>
    <t>FP-LBR-1453</t>
  </si>
  <si>
    <t>LBIH</t>
  </si>
  <si>
    <t>FP-LBR-1454</t>
  </si>
  <si>
    <t>LBII</t>
  </si>
  <si>
    <t>FP-LBR-1455</t>
  </si>
  <si>
    <t>LBIJ</t>
  </si>
  <si>
    <t>FP-LBR-1456</t>
  </si>
  <si>
    <t>LBIK</t>
  </si>
  <si>
    <t>FP-LBR-1587</t>
  </si>
  <si>
    <t>LBIL</t>
  </si>
  <si>
    <t>FP-LBR-1588</t>
  </si>
  <si>
    <t>LBIM</t>
  </si>
  <si>
    <t>FP-LBR-1589</t>
  </si>
  <si>
    <t>LBIN</t>
  </si>
  <si>
    <t>FP-LBR-1590</t>
  </si>
  <si>
    <t>LBIO</t>
  </si>
  <si>
    <t>FP-LBR-1591</t>
  </si>
  <si>
    <t>LBIP</t>
  </si>
  <si>
    <t>FP-LBR-1547</t>
  </si>
  <si>
    <t>LBIQ</t>
  </si>
  <si>
    <t>FP-LBR-1548</t>
  </si>
  <si>
    <t>LBIR</t>
  </si>
  <si>
    <t>FP-LBR-1549</t>
  </si>
  <si>
    <t>LBIS</t>
  </si>
  <si>
    <t>FP-LBR-1550</t>
  </si>
  <si>
    <t>LBIT</t>
  </si>
  <si>
    <t>FP-LBR-1551</t>
  </si>
  <si>
    <t>LBJE</t>
  </si>
  <si>
    <t>FP-LBR-1457</t>
  </si>
  <si>
    <t>LBJF</t>
  </si>
  <si>
    <t>FP-LBR-1458</t>
  </si>
  <si>
    <t>LBJG</t>
  </si>
  <si>
    <t>FP-LBR-1459</t>
  </si>
  <si>
    <t>LBJH</t>
  </si>
  <si>
    <t>FP-LBR-1460</t>
  </si>
  <si>
    <t>LBJI</t>
  </si>
  <si>
    <t>FP-LBR-1461</t>
  </si>
  <si>
    <t>LBJL</t>
  </si>
  <si>
    <t>FP-LBR-1592</t>
  </si>
  <si>
    <t>LBJM</t>
  </si>
  <si>
    <t>FP-LBR-1593</t>
  </si>
  <si>
    <t>LBJN</t>
  </si>
  <si>
    <t>FP-LBR-1594</t>
  </si>
  <si>
    <t>LBJO</t>
  </si>
  <si>
    <t>FP-LBR-1595</t>
  </si>
  <si>
    <t>LBJP</t>
  </si>
  <si>
    <t>FP-LBR-1596</t>
  </si>
  <si>
    <t>LBJQ</t>
  </si>
  <si>
    <t>FP-LBR-1552</t>
  </si>
  <si>
    <t>LBJR</t>
  </si>
  <si>
    <t>FP-LBR-1553</t>
  </si>
  <si>
    <t>LBJS</t>
  </si>
  <si>
    <t>FP-LBR-1554</t>
  </si>
  <si>
    <t>LBJT</t>
  </si>
  <si>
    <t>FP-LBR-1555</t>
  </si>
  <si>
    <t>LBJU</t>
  </si>
  <si>
    <t>FP-LBR-1556</t>
  </si>
  <si>
    <t>LBKE</t>
  </si>
  <si>
    <t>FP-LBR-1597</t>
  </si>
  <si>
    <t>LBKF</t>
  </si>
  <si>
    <t>FP-LBR-1598</t>
  </si>
  <si>
    <t>LBKG</t>
  </si>
  <si>
    <t>FP-LBR-1599</t>
  </si>
  <si>
    <t>LBKH</t>
  </si>
  <si>
    <t>FP-LBR-1600</t>
  </si>
  <si>
    <t>LBKI</t>
  </si>
  <si>
    <t>FP-LBR-1601</t>
  </si>
  <si>
    <t>LBKJ</t>
  </si>
  <si>
    <t>FP-LBR-1557</t>
  </si>
  <si>
    <t>LBKK</t>
  </si>
  <si>
    <t>FP-LBR-1558</t>
  </si>
  <si>
    <t>LBKL</t>
  </si>
  <si>
    <t>FP-LBR-1559</t>
  </si>
  <si>
    <t>LBKM</t>
  </si>
  <si>
    <t>FP-LBR-1560</t>
  </si>
  <si>
    <t>LBKN</t>
  </si>
  <si>
    <t>FP-LBR-1561</t>
  </si>
  <si>
    <t>LBKS</t>
  </si>
  <si>
    <t>FP-LBR-1602</t>
  </si>
  <si>
    <t>LBKT</t>
  </si>
  <si>
    <t>FP-LBR-1603</t>
  </si>
  <si>
    <t>LBKU</t>
  </si>
  <si>
    <t>FP-LBR-1604</t>
  </si>
  <si>
    <t>LBKV</t>
  </si>
  <si>
    <t>FP-LBR-1605</t>
  </si>
  <si>
    <t>LBKW</t>
  </si>
  <si>
    <t>FP-LBR-1606</t>
  </si>
  <si>
    <t>LBKX</t>
  </si>
  <si>
    <t>FP-LBR-1562</t>
  </si>
  <si>
    <t>LBKY</t>
  </si>
  <si>
    <t>FP-LBR-1563</t>
  </si>
  <si>
    <t>LBKZ</t>
  </si>
  <si>
    <t>FP-LBR-1564</t>
  </si>
  <si>
    <t>LBLA</t>
  </si>
  <si>
    <t>FP-LBR-1565</t>
  </si>
  <si>
    <t>LBLB</t>
  </si>
  <si>
    <t>FP-LBR-1566</t>
  </si>
  <si>
    <t>LBLU</t>
  </si>
  <si>
    <t>FP-LBR-0159</t>
  </si>
  <si>
    <t>LBLV</t>
  </si>
  <si>
    <t>FP-LBR-0160</t>
  </si>
  <si>
    <t>LBMF</t>
  </si>
  <si>
    <t>FP-LBR-0933</t>
  </si>
  <si>
    <t>LBMG</t>
  </si>
  <si>
    <t>FP-LBR-0934</t>
  </si>
  <si>
    <t>LBMH</t>
  </si>
  <si>
    <t>FP-LBR-0239</t>
  </si>
  <si>
    <t>LBMI</t>
  </si>
  <si>
    <t>FP-LBR-0240</t>
  </si>
  <si>
    <t>LBMR</t>
  </si>
  <si>
    <t>FP-LBR-1400</t>
  </si>
  <si>
    <t>LBMS</t>
  </si>
  <si>
    <t>FP-LBR-1401</t>
  </si>
  <si>
    <t>LBMT</t>
  </si>
  <si>
    <t>FP-LBR-1402</t>
  </si>
  <si>
    <t>LBMU</t>
  </si>
  <si>
    <t>FP-LBR-1403</t>
  </si>
  <si>
    <t>LBMZ</t>
  </si>
  <si>
    <t>FP-LBR-0908</t>
  </si>
  <si>
    <t>LBNA</t>
  </si>
  <si>
    <t>FP-LBR-0909</t>
  </si>
  <si>
    <t>LBNB</t>
  </si>
  <si>
    <t>FP-LBR-0910</t>
  </si>
  <si>
    <t>LBND</t>
  </si>
  <si>
    <t>FP-LBR-0921</t>
  </si>
  <si>
    <t>LBNG</t>
  </si>
  <si>
    <t>FP-LBR-0935</t>
  </si>
  <si>
    <t>LBNH</t>
  </si>
  <si>
    <t>FP-LBR-0252</t>
  </si>
  <si>
    <t>LBNI</t>
  </si>
  <si>
    <t>FP-LBR-0253</t>
  </si>
  <si>
    <t>LBNR</t>
  </si>
  <si>
    <t>FP-LBR-1405</t>
  </si>
  <si>
    <t>LBNS</t>
  </si>
  <si>
    <t>FP-LBR-1406</t>
  </si>
  <si>
    <t>LBNT</t>
  </si>
  <si>
    <t>FP-LBR-1407</t>
  </si>
  <si>
    <t>LBNU</t>
  </si>
  <si>
    <t>FP-LBR-1408</t>
  </si>
  <si>
    <t>LBNY</t>
  </si>
  <si>
    <t>FP-LBR-0911</t>
  </si>
  <si>
    <t>LBNZ</t>
  </si>
  <si>
    <t>FP-LBR-0912</t>
  </si>
  <si>
    <t>LBOA</t>
  </si>
  <si>
    <t>FP-LBR-0913</t>
  </si>
  <si>
    <t>LBOC</t>
  </si>
  <si>
    <t>FP-LBR-0922</t>
  </si>
  <si>
    <t>LBOF</t>
  </si>
  <si>
    <t>FP-LBR-0320</t>
  </si>
  <si>
    <t>LBOG</t>
  </si>
  <si>
    <t>FP-LBR-0321</t>
  </si>
  <si>
    <t>LBOH</t>
  </si>
  <si>
    <t>FP-LBR-0322</t>
  </si>
  <si>
    <t>LBOI</t>
  </si>
  <si>
    <t>FP-LBR-0323</t>
  </si>
  <si>
    <t>LBOJ</t>
  </si>
  <si>
    <t>FP-LBR-0324</t>
  </si>
  <si>
    <t>LBOS</t>
  </si>
  <si>
    <t>FP-LBR-0914</t>
  </si>
  <si>
    <t>LBOT</t>
  </si>
  <si>
    <t>FP-LBR-0915</t>
  </si>
  <si>
    <t>LBOU</t>
  </si>
  <si>
    <t>FP-LBR-0916</t>
  </si>
  <si>
    <t>LBOW</t>
  </si>
  <si>
    <t>FP-LBR-0923</t>
  </si>
  <si>
    <t>LBOX</t>
  </si>
  <si>
    <t>FP-LBR-2011</t>
  </si>
  <si>
    <t>LBOY</t>
  </si>
  <si>
    <t>FP-LBR-2012</t>
  </si>
  <si>
    <t>LBOZ</t>
  </si>
  <si>
    <t>FP-LBR-2013</t>
  </si>
  <si>
    <t>LBPA</t>
  </si>
  <si>
    <t>FP-LBR-2014</t>
  </si>
  <si>
    <t>LBPB</t>
  </si>
  <si>
    <t>FP-LBR-2015</t>
  </si>
  <si>
    <t>LBPK</t>
  </si>
  <si>
    <t>FP-LBR-0917</t>
  </si>
  <si>
    <t>LBPL</t>
  </si>
  <si>
    <t>FP-LBR-0918</t>
  </si>
  <si>
    <t>LBPN</t>
  </si>
  <si>
    <t>FP-LBR-0924</t>
  </si>
  <si>
    <t>LBPO</t>
  </si>
  <si>
    <t>FP-LBR-1991</t>
  </si>
  <si>
    <t>LBPP</t>
  </si>
  <si>
    <t>FP-LBR-1992</t>
  </si>
  <si>
    <t>LBPQ</t>
  </si>
  <si>
    <t>FP-LBR-1993</t>
  </si>
  <si>
    <t>LBPR</t>
  </si>
  <si>
    <t>FP-LBR-1994</t>
  </si>
  <si>
    <t>LBPS</t>
  </si>
  <si>
    <t>FP-LBR-1995</t>
  </si>
  <si>
    <t>LBPT</t>
  </si>
  <si>
    <t>FP-LBR-0919</t>
  </si>
  <si>
    <t>LBPU</t>
  </si>
  <si>
    <t>FP-LBR-0920</t>
  </si>
  <si>
    <t>LBQA</t>
  </si>
  <si>
    <t>FP-LBR-1409</t>
  </si>
  <si>
    <t>LBQB</t>
  </si>
  <si>
    <t>FP-LBR-1410</t>
  </si>
  <si>
    <t>LBQC</t>
  </si>
  <si>
    <t>FP-LBR-1411</t>
  </si>
  <si>
    <t>LBQE</t>
  </si>
  <si>
    <t>FP-LBR-1204</t>
  </si>
  <si>
    <t>LBQF</t>
  </si>
  <si>
    <t>FP-LBR-1303</t>
  </si>
  <si>
    <t>LBQG</t>
  </si>
  <si>
    <t>FP-LBR-1304</t>
  </si>
  <si>
    <t>LBQH</t>
  </si>
  <si>
    <t>FP-LBR-1305</t>
  </si>
  <si>
    <t>LBQI</t>
  </si>
  <si>
    <t>FP-LBR-1306</t>
  </si>
  <si>
    <t>LBQJ</t>
  </si>
  <si>
    <t>FP-LBR-1307</t>
  </si>
  <si>
    <t>LBQK</t>
  </si>
  <si>
    <t>FP-LBR-1308</t>
  </si>
  <si>
    <t>LBQV</t>
  </si>
  <si>
    <t>FP-LBR-1819</t>
  </si>
  <si>
    <t>LBQW</t>
  </si>
  <si>
    <t>FP-LBR-1820</t>
  </si>
  <si>
    <t>LBQX</t>
  </si>
  <si>
    <t>FP-LBR-1821</t>
  </si>
  <si>
    <t>LBQY</t>
  </si>
  <si>
    <t>FP-LBR-1822</t>
  </si>
  <si>
    <t>LBQZ</t>
  </si>
  <si>
    <t>FP-LBR-1823</t>
  </si>
  <si>
    <t>LBRA</t>
  </si>
  <si>
    <t>FP-LBR-0891</t>
  </si>
  <si>
    <t>LBRB</t>
  </si>
  <si>
    <t>FP-LBR-0892</t>
  </si>
  <si>
    <t>LBRC</t>
  </si>
  <si>
    <t>FP-LBR-0893</t>
  </si>
  <si>
    <t>LBRD</t>
  </si>
  <si>
    <t>FP-LBR-1334</t>
  </si>
  <si>
    <t>LBRE</t>
  </si>
  <si>
    <t>FP-LBR-1335</t>
  </si>
  <si>
    <t>LBRF</t>
  </si>
  <si>
    <t>FP-LBR-1336</t>
  </si>
  <si>
    <t>LBRG</t>
  </si>
  <si>
    <t>FP-LBR-1337</t>
  </si>
  <si>
    <t>LBRH</t>
  </si>
  <si>
    <t>FP-LBR-1315</t>
  </si>
  <si>
    <t>LBRR</t>
  </si>
  <si>
    <t>LBRS</t>
  </si>
  <si>
    <t>LBRT</t>
  </si>
  <si>
    <t>LBRU</t>
  </si>
  <si>
    <t>LBRV</t>
  </si>
  <si>
    <t>LBRW</t>
  </si>
  <si>
    <t>FP-LBR-2204</t>
  </si>
  <si>
    <t>LBRX</t>
  </si>
  <si>
    <t>FP-LBR-2205</t>
  </si>
  <si>
    <t>LBRY</t>
  </si>
  <si>
    <t>FP-LBR-2211</t>
  </si>
  <si>
    <t>LBRZ</t>
  </si>
  <si>
    <t>FP-LBR-2213</t>
  </si>
  <si>
    <t>LBSA</t>
  </si>
  <si>
    <t>FP-LBR-2216</t>
  </si>
  <si>
    <t>LBSB</t>
  </si>
  <si>
    <t>FP-LBR-2218</t>
  </si>
  <si>
    <t>LBSC</t>
  </si>
  <si>
    <t>FP-LBR-0904</t>
  </si>
  <si>
    <t>LBSD</t>
  </si>
  <si>
    <t>FP-LBR-0894</t>
  </si>
  <si>
    <t>LBSE</t>
  </si>
  <si>
    <t>FP-LBR-0895</t>
  </si>
  <si>
    <t>LBSF</t>
  </si>
  <si>
    <t>FP-LBR-0898</t>
  </si>
  <si>
    <t>LBSP</t>
  </si>
  <si>
    <t>FP-LBR-2206</t>
  </si>
  <si>
    <t>LBSQ</t>
  </si>
  <si>
    <t>FP-LBR-2207</t>
  </si>
  <si>
    <t>LBSS</t>
  </si>
  <si>
    <t>FP-LBR-2214</t>
  </si>
  <si>
    <t>LBSU</t>
  </si>
  <si>
    <t>FP-LBR-2219</t>
  </si>
  <si>
    <t>LBSV</t>
  </si>
  <si>
    <t>LBTF</t>
  </si>
  <si>
    <t>FP-LBR-2212</t>
  </si>
  <si>
    <t>LBTG</t>
  </si>
  <si>
    <t>FP-LBR-2215</t>
  </si>
  <si>
    <t>LBTH</t>
  </si>
  <si>
    <t>FP-LBR-2217</t>
  </si>
  <si>
    <t>LBTI</t>
  </si>
  <si>
    <t>FP-LBR-2220</t>
  </si>
  <si>
    <t>LBTQ</t>
  </si>
  <si>
    <t>FP-LBR-2186</t>
  </si>
  <si>
    <t>LBTR</t>
  </si>
  <si>
    <t>FP-LBR-2187</t>
  </si>
  <si>
    <t>LBTS</t>
  </si>
  <si>
    <t>FP-LBR-2188</t>
  </si>
  <si>
    <t>LBTT</t>
  </si>
  <si>
    <t>FP-LBR-2189</t>
  </si>
  <si>
    <t>LBTU</t>
  </si>
  <si>
    <t>FP-LBR-2190</t>
  </si>
  <si>
    <t>LBTV</t>
  </si>
  <si>
    <t>FP-LBR-2191</t>
  </si>
  <si>
    <t>LBTW</t>
  </si>
  <si>
    <t>FP-LBR-0896</t>
  </si>
  <si>
    <t>LBTY</t>
  </si>
  <si>
    <t>FP-LBR-0897</t>
  </si>
  <si>
    <t>LBUA</t>
  </si>
  <si>
    <t>FP-LBR-2192</t>
  </si>
  <si>
    <t>LBUE</t>
  </si>
  <si>
    <t>FP-LBR-1414</t>
  </si>
  <si>
    <t>LBUF</t>
  </si>
  <si>
    <t>FP-LBR-1221</t>
  </si>
  <si>
    <t>LBUG</t>
  </si>
  <si>
    <t>FP-LBR-1228</t>
  </si>
  <si>
    <t>LBUH</t>
  </si>
  <si>
    <t>FP-LBR-1229</t>
  </si>
  <si>
    <t>LBUJ</t>
  </si>
  <si>
    <t>FP-LBR-2208</t>
  </si>
  <si>
    <t>LBUK</t>
  </si>
  <si>
    <t>FP-LBR-0936</t>
  </si>
  <si>
    <t>LBUL</t>
  </si>
  <si>
    <t>FP-LBR-0937</t>
  </si>
  <si>
    <t>LBUM</t>
  </si>
  <si>
    <t>FP-LBR-2065</t>
  </si>
  <si>
    <t>LBUN</t>
  </si>
  <si>
    <t>FP-LBR-2072</t>
  </si>
  <si>
    <t>LBUO</t>
  </si>
  <si>
    <t>FP-LBR-2079</t>
  </si>
  <si>
    <t>LBUP</t>
  </si>
  <si>
    <t>FP-LBR-2066</t>
  </si>
  <si>
    <t>LBUQ</t>
  </si>
  <si>
    <t>FP-LBR-2073</t>
  </si>
  <si>
    <t>LBUR</t>
  </si>
  <si>
    <t>FP-LBR-2080</t>
  </si>
  <si>
    <t>LBUS</t>
  </si>
  <si>
    <t>FP-LBR-2067</t>
  </si>
  <si>
    <t>LBUT</t>
  </si>
  <si>
    <t>FP-LBR-2074</t>
  </si>
  <si>
    <t>LBUU</t>
  </si>
  <si>
    <t>FP-LBR-2081</t>
  </si>
  <si>
    <t>LBUV</t>
  </si>
  <si>
    <t>FP-LBR-2068</t>
  </si>
  <si>
    <t>LBUW</t>
  </si>
  <si>
    <t>FP-LBR-2075</t>
  </si>
  <si>
    <t>LBUX</t>
  </si>
  <si>
    <t>FP-LBR-2082</t>
  </si>
  <si>
    <t>LBUY</t>
  </si>
  <si>
    <t>FP-LBR-2069</t>
  </si>
  <si>
    <t>LBUZ</t>
  </si>
  <si>
    <t>FP-LBR-2076</t>
  </si>
  <si>
    <t>LBVA</t>
  </si>
  <si>
    <t>FP-LBR-2083</t>
  </si>
  <si>
    <t>LBVB</t>
  </si>
  <si>
    <t>FP-LBR-2070</t>
  </si>
  <si>
    <t>LBVC</t>
  </si>
  <si>
    <t>FP-LBR-2077</t>
  </si>
  <si>
    <t>LBVD</t>
  </si>
  <si>
    <t>FP-LBR-2084</t>
  </si>
  <si>
    <t>LBVE</t>
  </si>
  <si>
    <t>FP-LBR-2071</t>
  </si>
  <si>
    <t>LBVF</t>
  </si>
  <si>
    <t>FP-LBR-2078</t>
  </si>
  <si>
    <t>LBVG</t>
  </si>
  <si>
    <t>FP-LBR-2085</t>
  </si>
  <si>
    <t>LBVI</t>
  </si>
  <si>
    <t>FP-LBR-0521</t>
  </si>
  <si>
    <t>LBVJ</t>
  </si>
  <si>
    <t>FP-LBR-0522</t>
  </si>
  <si>
    <t>LBVK</t>
  </si>
  <si>
    <t>FP-LBR-0523</t>
  </si>
  <si>
    <t>LBVL</t>
  </si>
  <si>
    <t>FP-LBR-0524</t>
  </si>
  <si>
    <t>LBVM</t>
  </si>
  <si>
    <t>FP-LBR-0532</t>
  </si>
  <si>
    <t>LBVN</t>
  </si>
  <si>
    <t>FP-LBR-0533</t>
  </si>
  <si>
    <t>LBVO</t>
  </si>
  <si>
    <t>FP-LBR-0534</t>
  </si>
  <si>
    <t>LBVQ</t>
  </si>
  <si>
    <t>FP-LBR-0551</t>
  </si>
  <si>
    <t>LBVR</t>
  </si>
  <si>
    <t>FP-LBR-1243</t>
  </si>
  <si>
    <t>LBVS</t>
  </si>
  <si>
    <t>FP-LBR-1253</t>
  </si>
  <si>
    <t>LBVV</t>
  </si>
  <si>
    <t>FP-LBR-0427</t>
  </si>
  <si>
    <t>LBWC</t>
  </si>
  <si>
    <t>FP-LBR-2196</t>
  </si>
  <si>
    <t>LBWD</t>
  </si>
  <si>
    <t>FP-LBR-2197</t>
  </si>
  <si>
    <t>LBWE</t>
  </si>
  <si>
    <t>FP-LBR-2198</t>
  </si>
  <si>
    <t>LBWF</t>
  </si>
  <si>
    <t>FP-LBR-2199</t>
  </si>
  <si>
    <t>LBWG</t>
  </si>
  <si>
    <t>FP-LBR-0529</t>
  </si>
  <si>
    <t>LBWK</t>
  </si>
  <si>
    <t>FP-LBR-1262</t>
  </si>
  <si>
    <t>LBWL</t>
  </si>
  <si>
    <t>FP-LBR-1265</t>
  </si>
  <si>
    <t>LBWN</t>
  </si>
  <si>
    <t>FP-LBR-2002</t>
  </si>
  <si>
    <t>LBWO</t>
  </si>
  <si>
    <t>FP-LBR-2003</t>
  </si>
  <si>
    <t>LBWP</t>
  </si>
  <si>
    <t>FP-LBR-2004</t>
  </si>
  <si>
    <t>LBWQ</t>
  </si>
  <si>
    <t>FP-LBR-2005</t>
  </si>
  <si>
    <t>LBWR</t>
  </si>
  <si>
    <t>FP-LBR-1869</t>
  </si>
  <si>
    <t>LBWS</t>
  </si>
  <si>
    <t>FP-LBR-1802</t>
  </si>
  <si>
    <t>LBWT</t>
  </si>
  <si>
    <t>FP-LBR-1803</t>
  </si>
  <si>
    <t>LBWU</t>
  </si>
  <si>
    <t>FP-LBR-1804</t>
  </si>
  <si>
    <t>LBWV</t>
  </si>
  <si>
    <t>FP-LBR-1805</t>
  </si>
  <si>
    <t>LBWW</t>
  </si>
  <si>
    <t>FP-LBR-1806</t>
  </si>
  <si>
    <t>LBWX</t>
  </si>
  <si>
    <t>FP-LBR-1309</t>
  </si>
  <si>
    <t>LBWY</t>
  </si>
  <si>
    <t>FP-LBR-1310</t>
  </si>
  <si>
    <t>LBWZ</t>
  </si>
  <si>
    <t>FP-LBR-1311</t>
  </si>
  <si>
    <t>LBXB</t>
  </si>
  <si>
    <t>FP-LBR-0539</t>
  </si>
  <si>
    <t>LBXC</t>
  </si>
  <si>
    <t>FP-LBR-0541</t>
  </si>
  <si>
    <t>LBXD</t>
  </si>
  <si>
    <t>FP-LBR-0548</t>
  </si>
  <si>
    <t>LBXE</t>
  </si>
  <si>
    <t>FP-LBR-0549</t>
  </si>
  <si>
    <t>LBXH</t>
  </si>
  <si>
    <t>FP-LBR-1248</t>
  </si>
  <si>
    <t>LBXI</t>
  </si>
  <si>
    <t>FP-LBR-1258</t>
  </si>
  <si>
    <t>LBXJ</t>
  </si>
  <si>
    <t>FP-LBR-0294</t>
  </si>
  <si>
    <t>LBXK</t>
  </si>
  <si>
    <t>FP-LBR-0290</t>
  </si>
  <si>
    <t>LBXL</t>
  </si>
  <si>
    <t>FP-LBR-0299</t>
  </si>
  <si>
    <t>LBXM</t>
  </si>
  <si>
    <t>FP-LBR-0278</t>
  </si>
  <si>
    <t>LBXN</t>
  </si>
  <si>
    <t>FP-LBR-1264</t>
  </si>
  <si>
    <t>LBXO</t>
  </si>
  <si>
    <t>FP-LBR-1250</t>
  </si>
  <si>
    <t>LBXP</t>
  </si>
  <si>
    <t>FP-LBR-1260</t>
  </si>
  <si>
    <t>LBXQ</t>
  </si>
  <si>
    <t>FP-LBR-0303</t>
  </si>
  <si>
    <t>LBXR</t>
  </si>
  <si>
    <t>FP-LBR-0300</t>
  </si>
  <si>
    <t>LBXS</t>
  </si>
  <si>
    <t>FP-LBR-0301</t>
  </si>
  <si>
    <t>LBXV</t>
  </si>
  <si>
    <t>FP-LBR-0433</t>
  </si>
  <si>
    <t>LBXW</t>
  </si>
  <si>
    <t>FP-LBR-0434</t>
  </si>
  <si>
    <t>LBXX</t>
  </si>
  <si>
    <t>FP-LBR-0435</t>
  </si>
  <si>
    <t>LBXY</t>
  </si>
  <si>
    <t>FP-LBR-0436</t>
  </si>
  <si>
    <t>LBXZ</t>
  </si>
  <si>
    <t>FP-LBR-0437</t>
  </si>
  <si>
    <t>LBYB</t>
  </si>
  <si>
    <t>FP-LBR-0282</t>
  </si>
  <si>
    <t>LBYC</t>
  </si>
  <si>
    <t>FP-LBR-0283</t>
  </si>
  <si>
    <t>LBYE</t>
  </si>
  <si>
    <t>FP-LBR-0273</t>
  </si>
  <si>
    <t>LBYG</t>
  </si>
  <si>
    <t>FP-LBR-0276</t>
  </si>
  <si>
    <t>LBYH</t>
  </si>
  <si>
    <t>FP-LBR-0275</t>
  </si>
  <si>
    <t>LBYI</t>
  </si>
  <si>
    <t>FP-LBR-0284</t>
  </si>
  <si>
    <t>LBYJ</t>
  </si>
  <si>
    <t>FP-LBR-0285</t>
  </si>
  <si>
    <t>LBYK</t>
  </si>
  <si>
    <t>FP-LBR-0286</t>
  </si>
  <si>
    <t>LBYL</t>
  </si>
  <si>
    <t>FP-LBR-1267</t>
  </si>
  <si>
    <t>LBYN</t>
  </si>
  <si>
    <t>FP-LBR-0925</t>
  </si>
  <si>
    <t>LBYO</t>
  </si>
  <si>
    <t>FP-LBR-0927</t>
  </si>
  <si>
    <t>LBYP</t>
  </si>
  <si>
    <t>FP-LBR-0929</t>
  </si>
  <si>
    <t>LBYQ</t>
  </si>
  <si>
    <t>FP-LBR-0931</t>
  </si>
  <si>
    <t>LBYS</t>
  </si>
  <si>
    <t>FP-LBR-0274</t>
  </si>
  <si>
    <t>LBYT</t>
  </si>
  <si>
    <t>FP-LBR-0173</t>
  </si>
  <si>
    <t>LBYU</t>
  </si>
  <si>
    <t>FP-LBR-0175</t>
  </si>
  <si>
    <t>LBYV</t>
  </si>
  <si>
    <t>FP-LBR-0176</t>
  </si>
  <si>
    <t>LBYW</t>
  </si>
  <si>
    <t>FP-LBR-0180</t>
  </si>
  <si>
    <t>LBYX</t>
  </si>
  <si>
    <t>FP-LBR-0182</t>
  </si>
  <si>
    <t>LBYY</t>
  </si>
  <si>
    <t>FP-LBR-0183</t>
  </si>
  <si>
    <t>LBYZ</t>
  </si>
  <si>
    <t>FP-LBR-0428</t>
  </si>
  <si>
    <t>LBZA</t>
  </si>
  <si>
    <t>FP-LBR-0429</t>
  </si>
  <si>
    <t>LBZB</t>
  </si>
  <si>
    <t>FP-LBR-0431</t>
  </si>
  <si>
    <t>LBZC</t>
  </si>
  <si>
    <t>FP-LBR-0174</t>
  </si>
  <si>
    <t>LBZD</t>
  </si>
  <si>
    <t>FP-LBR-0938</t>
  </si>
  <si>
    <t>LBZE</t>
  </si>
  <si>
    <t>FP-LBR-0940</t>
  </si>
  <si>
    <t>LBZF</t>
  </si>
  <si>
    <t>FP-LBR-0941</t>
  </si>
  <si>
    <t>LBZG</t>
  </si>
  <si>
    <t>FP-LBR-0943</t>
  </si>
  <si>
    <t>LBZI</t>
  </si>
  <si>
    <t>FP-LBR-0426</t>
  </si>
  <si>
    <t>LBZJ</t>
  </si>
  <si>
    <t>FP-LBR-0430</t>
  </si>
  <si>
    <t>LBZR</t>
  </si>
  <si>
    <t>FP-LBR-1415</t>
  </si>
  <si>
    <t>LBZS</t>
  </si>
  <si>
    <t>FP-LBR-1416</t>
  </si>
  <si>
    <t>LBZT</t>
  </si>
  <si>
    <t>FP-LBR-1813</t>
  </si>
  <si>
    <t>LBZV</t>
  </si>
  <si>
    <t>FP-LBR-1236</t>
  </si>
  <si>
    <t>LBZW</t>
  </si>
  <si>
    <t>FP-LBR-1237</t>
  </si>
  <si>
    <t>LBZX</t>
  </si>
  <si>
    <t>FP-LBR-1238</t>
  </si>
  <si>
    <t>LBZY</t>
  </si>
  <si>
    <t>FP-LBR-1239</t>
  </si>
  <si>
    <t>LBZZ</t>
  </si>
  <si>
    <t>FP-LBR-1240</t>
  </si>
  <si>
    <t>LCAA</t>
  </si>
  <si>
    <t>FP-LBR-1241</t>
  </si>
  <si>
    <t>LCAC</t>
  </si>
  <si>
    <t>FP-LBR-0535</t>
  </si>
  <si>
    <t>LCAD</t>
  </si>
  <si>
    <t>FP-LBR-0545</t>
  </si>
  <si>
    <t>LCAE</t>
  </si>
  <si>
    <t>FP-LBR-1442</t>
  </si>
  <si>
    <t>LCAF</t>
  </si>
  <si>
    <t>FP-LBR-1443</t>
  </si>
  <si>
    <t>LCAG</t>
  </si>
  <si>
    <t>FP-LBR-1444</t>
  </si>
  <si>
    <t>LCAH</t>
  </si>
  <si>
    <t>FP-LBR-1445</t>
  </si>
  <si>
    <t>LCAI</t>
  </si>
  <si>
    <t>FP-LBR-1446</t>
  </si>
  <si>
    <t>LCAJ</t>
  </si>
  <si>
    <t>FP-LBR-1447</t>
  </si>
  <si>
    <t>LCAK</t>
  </si>
  <si>
    <t>FP-LBR-1448</t>
  </si>
  <si>
    <t>LCAL</t>
  </si>
  <si>
    <t>FP-LBR-1449</t>
  </si>
  <si>
    <t>LCAM</t>
  </si>
  <si>
    <t>FP-LBR-1450</t>
  </si>
  <si>
    <t>LCAN</t>
  </si>
  <si>
    <t>FP-LBR-1451</t>
  </si>
  <si>
    <t>LCAO</t>
  </si>
  <si>
    <t>FP-LBR-1462</t>
  </si>
  <si>
    <t>LCAP</t>
  </si>
  <si>
    <t>FP-LBR-1463</t>
  </si>
  <si>
    <t>LCAQ</t>
  </si>
  <si>
    <t>FP-LBR-1464</t>
  </si>
  <si>
    <t>LCAR</t>
  </si>
  <si>
    <t>FP-LBR-1465</t>
  </si>
  <si>
    <t>LCAS</t>
  </si>
  <si>
    <t>FP-LBR-1466</t>
  </si>
  <si>
    <t>LCAT</t>
  </si>
  <si>
    <t>FP-LBR-0515</t>
  </si>
  <si>
    <t>LCAU</t>
  </si>
  <si>
    <t>FP-LBR-0525</t>
  </si>
  <si>
    <t>LCAX</t>
  </si>
  <si>
    <t>FP-LBR-0926</t>
  </si>
  <si>
    <t>LCAY</t>
  </si>
  <si>
    <t>FP-LBR-0928</t>
  </si>
  <si>
    <t>LCAZ</t>
  </si>
  <si>
    <t>FP-LBR-0930</t>
  </si>
  <si>
    <t>LCBA</t>
  </si>
  <si>
    <t>FP-LBR-0932</t>
  </si>
  <si>
    <t>LCBB</t>
  </si>
  <si>
    <t>FP-LBR-1814</t>
  </si>
  <si>
    <t>LCBC</t>
  </si>
  <si>
    <t>FP-LBR-1815</t>
  </si>
  <si>
    <t>LCBD</t>
  </si>
  <si>
    <t>FP-LBR-1816</t>
  </si>
  <si>
    <t>LCBE</t>
  </si>
  <si>
    <t>FP-LBR-1817</t>
  </si>
  <si>
    <t>LCBF</t>
  </si>
  <si>
    <t>FP-LBR-1818</t>
  </si>
  <si>
    <t>LCBG</t>
  </si>
  <si>
    <t>FP-LBR-1831</t>
  </si>
  <si>
    <t>LCBH</t>
  </si>
  <si>
    <t>FP-LBR-1832</t>
  </si>
  <si>
    <t>LCBI</t>
  </si>
  <si>
    <t>FP-LBR-1833</t>
  </si>
  <si>
    <t>LCBJ</t>
  </si>
  <si>
    <t>FP-LBR-1834</t>
  </si>
  <si>
    <t>LCBK</t>
  </si>
  <si>
    <t>FP-LBR-2184</t>
  </si>
  <si>
    <t>LCBL</t>
  </si>
  <si>
    <t>FP-LBR-2185</t>
  </si>
  <si>
    <t>LCBM</t>
  </si>
  <si>
    <t>FP-LBR-1185</t>
  </si>
  <si>
    <t>LCBN</t>
  </si>
  <si>
    <t>Previous Week Date</t>
  </si>
  <si>
    <t>LCBO</t>
  </si>
  <si>
    <t>Previous Year Date</t>
  </si>
  <si>
    <t>LCBQ</t>
  </si>
  <si>
    <t>FP-LBR-0403</t>
  </si>
  <si>
    <t>LCBR</t>
  </si>
  <si>
    <t>FP-LBR-0404</t>
  </si>
  <si>
    <t>LCBS</t>
  </si>
  <si>
    <t>FP-LBR-0405</t>
  </si>
  <si>
    <t>LCBT</t>
  </si>
  <si>
    <t>FP-LBR-0406</t>
  </si>
  <si>
    <t>LCBU</t>
  </si>
  <si>
    <t>FP-LBR-0407</t>
  </si>
  <si>
    <t>LCBW</t>
  </si>
  <si>
    <t>FP-LBR-0409</t>
  </si>
  <si>
    <t>LCBX</t>
  </si>
  <si>
    <t>FP-LBR-0410</t>
  </si>
  <si>
    <t>LCBY</t>
  </si>
  <si>
    <t>FP-LBR-0411</t>
  </si>
  <si>
    <t>LCBZ</t>
  </si>
  <si>
    <t>FP-LBR-0412</t>
  </si>
  <si>
    <t>LCCA</t>
  </si>
  <si>
    <t>FP-LBR-0413</t>
  </si>
  <si>
    <t>LCCB</t>
  </si>
  <si>
    <t>FP-LBR-0414</t>
  </si>
  <si>
    <t>LCCC</t>
  </si>
  <si>
    <t>FP-LBR-0417</t>
  </si>
  <si>
    <t>LCCD</t>
  </si>
  <si>
    <t>FP-LBR-0419</t>
  </si>
  <si>
    <t>LCCE</t>
  </si>
  <si>
    <t>FP-LBR-0423</t>
  </si>
  <si>
    <t>LCCG</t>
  </si>
  <si>
    <t>FP-LBR-0438</t>
  </si>
  <si>
    <t>LCCH</t>
  </si>
  <si>
    <t>FP-LBR-0445</t>
  </si>
  <si>
    <t>LCCI</t>
  </si>
  <si>
    <t>FP-LBR-0452</t>
  </si>
  <si>
    <t>LCCJ</t>
  </si>
  <si>
    <t>FP-LBR-0459</t>
  </si>
  <si>
    <t>LCCK</t>
  </si>
  <si>
    <t>FP-LBR-0466</t>
  </si>
  <si>
    <t>LCCM</t>
  </si>
  <si>
    <t>FP-LBR-0439</t>
  </si>
  <si>
    <t>LCCN</t>
  </si>
  <si>
    <t>FP-LBR-0446</t>
  </si>
  <si>
    <t>LCCO</t>
  </si>
  <si>
    <t>FP-LBR-0453</t>
  </si>
  <si>
    <t>LCCP</t>
  </si>
  <si>
    <t>FP-LBR-0460</t>
  </si>
  <si>
    <t>LCCQ</t>
  </si>
  <si>
    <t>FP-LBR-0467</t>
  </si>
  <si>
    <t>LCCS</t>
  </si>
  <si>
    <t>FP-LBR-0440</t>
  </si>
  <si>
    <t>LCCT</t>
  </si>
  <si>
    <t>FP-LBR-0447</t>
  </si>
  <si>
    <t>LCCU</t>
  </si>
  <si>
    <t>FP-LBR-0454</t>
  </si>
  <si>
    <t>LCCV</t>
  </si>
  <si>
    <t>FP-LBR-0461</t>
  </si>
  <si>
    <t>LCCW</t>
  </si>
  <si>
    <t>FP-LBR-0468</t>
  </si>
  <si>
    <t>LCCY</t>
  </si>
  <si>
    <t>FP-LBR-0441</t>
  </si>
  <si>
    <t>LCCZ</t>
  </si>
  <si>
    <t>FP-LBR-0448</t>
  </si>
  <si>
    <t>LCDA</t>
  </si>
  <si>
    <t>FP-LBR-0455</t>
  </si>
  <si>
    <t>LCDB</t>
  </si>
  <si>
    <t>FP-LBR-0462</t>
  </si>
  <si>
    <t>LCDC</t>
  </si>
  <si>
    <t>FP-LBR-0469</t>
  </si>
  <si>
    <t>LCDE</t>
  </si>
  <si>
    <t>FP-LBR-0442</t>
  </si>
  <si>
    <t>LCDF</t>
  </si>
  <si>
    <t>FP-LBR-0449</t>
  </si>
  <si>
    <t>LCDG</t>
  </si>
  <si>
    <t>FP-LBR-0456</t>
  </si>
  <si>
    <t>LCDH</t>
  </si>
  <si>
    <t>FP-LBR-0463</t>
  </si>
  <si>
    <t>LCDI</t>
  </si>
  <si>
    <t>FP-LBR-0470</t>
  </si>
  <si>
    <t>LCDK</t>
  </si>
  <si>
    <t>FP-LBR-0443</t>
  </si>
  <si>
    <t>LCDL</t>
  </si>
  <si>
    <t>FP-LBR-0450</t>
  </si>
  <si>
    <t>LCDM</t>
  </si>
  <si>
    <t>FP-LBR-0457</t>
  </si>
  <si>
    <t>LCDN</t>
  </si>
  <si>
    <t>FP-LBR-0464</t>
  </si>
  <si>
    <t>LCDO</t>
  </si>
  <si>
    <t>FP-LBR-0471</t>
  </si>
  <si>
    <t>LCDQ</t>
  </si>
  <si>
    <t>FP-LBR-0444</t>
  </si>
  <si>
    <t>LCDR</t>
  </si>
  <si>
    <t>FP-LBR-0451</t>
  </si>
  <si>
    <t>LCDS</t>
  </si>
  <si>
    <t>FP-LBR-0458</t>
  </si>
  <si>
    <t>LCDT</t>
  </si>
  <si>
    <t>FP-LBR-0465</t>
  </si>
  <si>
    <t>LCDU</t>
  </si>
  <si>
    <t>FP-LBR-0472</t>
  </si>
  <si>
    <t>LCED</t>
  </si>
  <si>
    <t>LCEE</t>
  </si>
  <si>
    <t>FP-LBR-1850</t>
  </si>
  <si>
    <t>LCEF</t>
  </si>
  <si>
    <t>LCEG</t>
  </si>
  <si>
    <t>FP-LBR-1853</t>
  </si>
  <si>
    <t>LCEH</t>
  </si>
  <si>
    <t>FP-LBR-1854</t>
  </si>
  <si>
    <t>LCEL</t>
  </si>
  <si>
    <t>FP-LBR-1864</t>
  </si>
  <si>
    <t>LCEM</t>
  </si>
  <si>
    <t>FP-LBR-1865</t>
  </si>
  <si>
    <t>LCEO</t>
  </si>
  <si>
    <t>FP-LBR-0162</t>
  </si>
  <si>
    <t>LCEP</t>
  </si>
  <si>
    <t>FP-LBR-1852</t>
  </si>
  <si>
    <t>LCEQ</t>
  </si>
  <si>
    <t>FP-LBR-1910</t>
  </si>
  <si>
    <t>LCER</t>
  </si>
  <si>
    <t>FP-LBR-1946</t>
  </si>
  <si>
    <t>LCES</t>
  </si>
  <si>
    <t>FP-LBR-0144</t>
  </si>
  <si>
    <t>LCET</t>
  </si>
  <si>
    <t>FP-LBR-0145</t>
  </si>
  <si>
    <t>LCEU</t>
  </si>
  <si>
    <t>FP-LBR-0146</t>
  </si>
  <si>
    <t>LCEV</t>
  </si>
  <si>
    <t>FP-LBR-0149</t>
  </si>
  <si>
    <t>LCEW</t>
  </si>
  <si>
    <t>FP-LBR-0254</t>
  </si>
  <si>
    <t>LCEX</t>
  </si>
  <si>
    <t>FP-LBR-0255</t>
  </si>
  <si>
    <t>LCEY</t>
  </si>
  <si>
    <t>FP-LBR-0256</t>
  </si>
  <si>
    <t>LCEZ</t>
  </si>
  <si>
    <t>FP-LBR-0257</t>
  </si>
  <si>
    <t>LCFA</t>
  </si>
  <si>
    <t>FP-LBR-1203</t>
  </si>
  <si>
    <t>LCFB</t>
  </si>
  <si>
    <t>FP-LBR-1847</t>
  </si>
  <si>
    <t>LCFC</t>
  </si>
  <si>
    <t>FP-LBR-1855</t>
  </si>
  <si>
    <t>LCFD</t>
  </si>
  <si>
    <t>FP-LBR-1856</t>
  </si>
  <si>
    <t>LCFE</t>
  </si>
  <si>
    <t>FP-LBR-1857</t>
  </si>
  <si>
    <t>LCFF</t>
  </si>
  <si>
    <t>FP-LBR-1858</t>
  </si>
  <si>
    <t>LCFG</t>
  </si>
  <si>
    <t>FP-LBR-1859</t>
  </si>
  <si>
    <t>LCFH</t>
  </si>
  <si>
    <t>FP-LBR-1861</t>
  </si>
  <si>
    <t>LCFI</t>
  </si>
  <si>
    <t>FP-LBR-1866</t>
  </si>
  <si>
    <t>LCFJ</t>
  </si>
  <si>
    <t>FP-LBR-1867</t>
  </si>
  <si>
    <t>LCFK</t>
  </si>
  <si>
    <t>FP-LBR-1868</t>
  </si>
  <si>
    <t>LCFL</t>
  </si>
  <si>
    <t>FP-LBR-1903</t>
  </si>
  <si>
    <t>LCFM</t>
  </si>
  <si>
    <t>FP-LBR-1913</t>
  </si>
  <si>
    <t>LCFN</t>
  </si>
  <si>
    <t>FP-LBR-1914</t>
  </si>
  <si>
    <t>LCFO</t>
  </si>
  <si>
    <t>FP-LBR-1915</t>
  </si>
  <si>
    <t>LCFP</t>
  </si>
  <si>
    <t>FP-LBR-1916</t>
  </si>
  <si>
    <t>LCFQ</t>
  </si>
  <si>
    <t>FP-LBR-1917</t>
  </si>
  <si>
    <t>LCFR</t>
  </si>
  <si>
    <t>FP-LBR-1919</t>
  </si>
  <si>
    <t>LCFS</t>
  </si>
  <si>
    <t>FP-LBR-1924</t>
  </si>
  <si>
    <t>LCFT</t>
  </si>
  <si>
    <t>FP-LBR-1925</t>
  </si>
  <si>
    <t>LCFU</t>
  </si>
  <si>
    <t>FP-LBR-1926</t>
  </si>
  <si>
    <t>LCFV</t>
  </si>
  <si>
    <t>FP-LBR-1942</t>
  </si>
  <si>
    <t>LCFW</t>
  </si>
  <si>
    <t>FP-LBR-1949</t>
  </si>
  <si>
    <t>LCFX</t>
  </si>
  <si>
    <t>FP-LBR-1950</t>
  </si>
  <si>
    <t>LCFY</t>
  </si>
  <si>
    <t>FP-LBR-1951</t>
  </si>
  <si>
    <t>LCFZ</t>
  </si>
  <si>
    <t>FP-LBR-1952</t>
  </si>
  <si>
    <t>LCGA</t>
  </si>
  <si>
    <t>FP-LBR-1953</t>
  </si>
  <si>
    <t>LCGB</t>
  </si>
  <si>
    <t>FP-LBR-1955</t>
  </si>
  <si>
    <t>LCGC</t>
  </si>
  <si>
    <t>FP-LBR-1960</t>
  </si>
  <si>
    <t>LCGD</t>
  </si>
  <si>
    <t>FP-LBR-1961</t>
  </si>
  <si>
    <t>LCGE</t>
  </si>
  <si>
    <t>FP-LBR-1962</t>
  </si>
  <si>
    <t>LCGF</t>
  </si>
  <si>
    <t>FP-LBR-2174</t>
  </si>
  <si>
    <t>LCGG</t>
  </si>
  <si>
    <t>FP-LBR-2175</t>
  </si>
  <si>
    <t>LCGH</t>
  </si>
  <si>
    <t>FP-LBR-2176</t>
  </si>
  <si>
    <t>LCGI</t>
  </si>
  <si>
    <t>FP-LBR-2177</t>
  </si>
  <si>
    <t>LCGJ</t>
  </si>
  <si>
    <t>FP-LBR-2178</t>
  </si>
  <si>
    <t>LCGK</t>
  </si>
  <si>
    <t>FP-LBR-2179</t>
  </si>
  <si>
    <t>LCGL</t>
  </si>
  <si>
    <t>FP-LBR-2180</t>
  </si>
  <si>
    <t>LCGM</t>
  </si>
  <si>
    <t>FP-LBR-2181</t>
  </si>
  <si>
    <t>LCGN</t>
  </si>
  <si>
    <t>FP-LBR-2182</t>
  </si>
  <si>
    <t>LCGO</t>
  </si>
  <si>
    <t>FP-LBR-2183</t>
  </si>
  <si>
    <t>LCGP</t>
  </si>
  <si>
    <t>FP-LBR-2164</t>
  </si>
  <si>
    <t>LCGQ</t>
  </si>
  <si>
    <t>FP-LBR-2165</t>
  </si>
  <si>
    <t>LCGR</t>
  </si>
  <si>
    <t>FP-LBR-2166</t>
  </si>
  <si>
    <t>LCGS</t>
  </si>
  <si>
    <t>FP-LBR-2167</t>
  </si>
  <si>
    <t>LCGT</t>
  </si>
  <si>
    <t>FP-LBR-2168</t>
  </si>
  <si>
    <t>LCGU</t>
  </si>
  <si>
    <t>FP-LBR-2169</t>
  </si>
  <si>
    <t>LCGV</t>
  </si>
  <si>
    <t>FP-LBR-2170</t>
  </si>
  <si>
    <t>LCGW</t>
  </si>
  <si>
    <t>FP-LBR-2171</t>
  </si>
  <si>
    <t>LCGX</t>
  </si>
  <si>
    <t>FP-LBR-2172</t>
  </si>
  <si>
    <t>LCGY</t>
  </si>
  <si>
    <t>FP-LBR-2173</t>
  </si>
  <si>
    <t>LCGZ</t>
  </si>
  <si>
    <t>FP-LBR-1186</t>
  </si>
  <si>
    <t>LCHA</t>
  </si>
  <si>
    <t>FP-LBR-1187</t>
  </si>
  <si>
    <t>LCHB</t>
  </si>
  <si>
    <t>FP-LBR-1188</t>
  </si>
  <si>
    <t>LCHC</t>
  </si>
  <si>
    <t>FP-LBR-1189</t>
  </si>
  <si>
    <t>LCHD</t>
  </si>
  <si>
    <t>FP-LBR-1190</t>
  </si>
  <si>
    <t>LCHE</t>
  </si>
  <si>
    <t>FP-LBR-1191</t>
  </si>
  <si>
    <t>LCHF</t>
  </si>
  <si>
    <t>FP-LBR-1192</t>
  </si>
  <si>
    <t>LCHG</t>
  </si>
  <si>
    <t>FP-LBR-1193</t>
  </si>
  <si>
    <t>LCHH</t>
  </si>
  <si>
    <t>FP-LBR-1194</t>
  </si>
  <si>
    <t>LCHI</t>
  </si>
  <si>
    <t>FP-LBR-1195</t>
  </si>
  <si>
    <t>LCHJ</t>
  </si>
  <si>
    <t>FP-LBR-1196</t>
  </si>
  <si>
    <t>LCHK</t>
  </si>
  <si>
    <t>LCHL</t>
  </si>
  <si>
    <t>LCHM</t>
  </si>
  <si>
    <t>LCHN</t>
  </si>
  <si>
    <t>LCHO</t>
  </si>
  <si>
    <t>LCHP</t>
  </si>
  <si>
    <t>LCHQ</t>
  </si>
  <si>
    <t>LCHR</t>
  </si>
  <si>
    <t>LCHS</t>
  </si>
  <si>
    <t>LCHT</t>
  </si>
  <si>
    <t>LCHU</t>
  </si>
  <si>
    <t>LCHV</t>
  </si>
  <si>
    <t>LCHW</t>
  </si>
  <si>
    <t>LCHX</t>
  </si>
  <si>
    <t>LCHY</t>
  </si>
  <si>
    <t>LCHZ</t>
  </si>
  <si>
    <t>LCIA</t>
  </si>
  <si>
    <t>LCIB</t>
  </si>
  <si>
    <t>LCIC</t>
  </si>
  <si>
    <t>LCID</t>
  </si>
  <si>
    <t>LCIE</t>
  </si>
  <si>
    <t>LCIF</t>
  </si>
  <si>
    <t>LCIG</t>
  </si>
  <si>
    <t>FP-LBR-0751</t>
  </si>
  <si>
    <t>LCIH</t>
  </si>
  <si>
    <t>FP-LBR-0756</t>
  </si>
  <si>
    <t>LCII</t>
  </si>
  <si>
    <t>FP-LBR-0761</t>
  </si>
  <si>
    <t>LCIJ</t>
  </si>
  <si>
    <t>FP-LBR-0766</t>
  </si>
  <si>
    <t>LCIK</t>
  </si>
  <si>
    <t>FP-LBR-0771</t>
  </si>
  <si>
    <t>LCIL</t>
  </si>
  <si>
    <t>FP-LBR-0752</t>
  </si>
  <si>
    <t>LCIM</t>
  </si>
  <si>
    <t>FP-LBR-0757</t>
  </si>
  <si>
    <t>LCIN</t>
  </si>
  <si>
    <t>FP-LBR-0762</t>
  </si>
  <si>
    <t>LCIO</t>
  </si>
  <si>
    <t>FP-LBR-0767</t>
  </si>
  <si>
    <t>LCIP</t>
  </si>
  <si>
    <t>FP-LBR-0772</t>
  </si>
  <si>
    <t>LCIQ</t>
  </si>
  <si>
    <t>FP-LBR-0903</t>
  </si>
  <si>
    <t>LCIR</t>
  </si>
  <si>
    <t>FP-LBR-0753</t>
  </si>
  <si>
    <t>LCIS</t>
  </si>
  <si>
    <t>FP-LBR-0758</t>
  </si>
  <si>
    <t>LCIT</t>
  </si>
  <si>
    <t>FP-LBR-0763</t>
  </si>
  <si>
    <t>LCIU</t>
  </si>
  <si>
    <t>FP-LBR-0768</t>
  </si>
  <si>
    <t>LCIV</t>
  </si>
  <si>
    <t>FP-LBR-0773</t>
  </si>
  <si>
    <t>LCIW</t>
  </si>
  <si>
    <t>LCIX</t>
  </si>
  <si>
    <t>FP-LBR-0754</t>
  </si>
  <si>
    <t>LCIY</t>
  </si>
  <si>
    <t>FP-LBR-0759</t>
  </si>
  <si>
    <t>LCIZ</t>
  </si>
  <si>
    <t>FP-LBR-0764</t>
  </si>
  <si>
    <t>LCJA</t>
  </si>
  <si>
    <t>FP-LBR-0769</t>
  </si>
  <si>
    <t>LCJB</t>
  </si>
  <si>
    <t>FP-LBR-0774</t>
  </si>
  <si>
    <t>LCJC</t>
  </si>
  <si>
    <t>FP-LBR-0755</t>
  </si>
  <si>
    <t>LCJD</t>
  </si>
  <si>
    <t>FP-LBR-0760</t>
  </si>
  <si>
    <t>LCJE</t>
  </si>
  <si>
    <t>FP-LBR-0765</t>
  </si>
  <si>
    <t>LCJF</t>
  </si>
  <si>
    <t>FP-LBR-0770</t>
  </si>
  <si>
    <t>LCJG</t>
  </si>
  <si>
    <t>FP-LBR-0775</t>
  </si>
  <si>
    <t>LCJH</t>
  </si>
  <si>
    <t>FP-LBR-0796</t>
  </si>
  <si>
    <t>LCJI</t>
  </si>
  <si>
    <t>FP-LBR-0801</t>
  </si>
  <si>
    <t>LCJJ</t>
  </si>
  <si>
    <t>FP-LBR-0806</t>
  </si>
  <si>
    <t>LCJK</t>
  </si>
  <si>
    <t>FP-LBR-0776</t>
  </si>
  <si>
    <t>LCJL</t>
  </si>
  <si>
    <t>FP-LBR-0781</t>
  </si>
  <si>
    <t>LCJM</t>
  </si>
  <si>
    <t>FP-LBR-0786</t>
  </si>
  <si>
    <t>LCJN</t>
  </si>
  <si>
    <t>FP-LBR-0791</t>
  </si>
  <si>
    <t>LCJO</t>
  </si>
  <si>
    <t>FP-LBR-0797</t>
  </si>
  <si>
    <t>LCJP</t>
  </si>
  <si>
    <t>FP-LBR-0802</t>
  </si>
  <si>
    <t>LCJQ</t>
  </si>
  <si>
    <t>FP-LBR-0807</t>
  </si>
  <si>
    <t>LCJR</t>
  </si>
  <si>
    <t>FP-LBR-0777</t>
  </si>
  <si>
    <t>LCJS</t>
  </si>
  <si>
    <t>FP-LBR-0782</t>
  </si>
  <si>
    <t>LCJT</t>
  </si>
  <si>
    <t>FP-LBR-0787</t>
  </si>
  <si>
    <t>LCJU</t>
  </si>
  <si>
    <t>FP-LBR-0792</t>
  </si>
  <si>
    <t>LCJV</t>
  </si>
  <si>
    <t>FP-LBR-0902</t>
  </si>
  <si>
    <t>LCJW</t>
  </si>
  <si>
    <t>FP-LBR-0798</t>
  </si>
  <si>
    <t>LCJX</t>
  </si>
  <si>
    <t>FP-LBR-0803</t>
  </si>
  <si>
    <t>LCJY</t>
  </si>
  <si>
    <t>FP-LBR-0808</t>
  </si>
  <si>
    <t>LCJZ</t>
  </si>
  <si>
    <t>FP-LBR-0778</t>
  </si>
  <si>
    <t>LCKA</t>
  </si>
  <si>
    <t>FP-LBR-0783</t>
  </si>
  <si>
    <t>LCKB</t>
  </si>
  <si>
    <t>FP-LBR-0788</t>
  </si>
  <si>
    <t>LCKC</t>
  </si>
  <si>
    <t>FP-LBR-0793</t>
  </si>
  <si>
    <t>LCKD</t>
  </si>
  <si>
    <t>LCKE</t>
  </si>
  <si>
    <t>FP-LBR-0799</t>
  </si>
  <si>
    <t>LCKF</t>
  </si>
  <si>
    <t>FP-LBR-0804</t>
  </si>
  <si>
    <t>LCKG</t>
  </si>
  <si>
    <t>FP-LBR-0809</t>
  </si>
  <si>
    <t>LCKH</t>
  </si>
  <si>
    <t>FP-LBR-0779</t>
  </si>
  <si>
    <t>LCKI</t>
  </si>
  <si>
    <t>FP-LBR-0784</t>
  </si>
  <si>
    <t>LCKJ</t>
  </si>
  <si>
    <t>FP-LBR-0789</t>
  </si>
  <si>
    <t>LCKK</t>
  </si>
  <si>
    <t>FP-LBR-0794</t>
  </si>
  <si>
    <t>LCKL</t>
  </si>
  <si>
    <t>FP-LBR-0800</t>
  </si>
  <si>
    <t>LCKM</t>
  </si>
  <si>
    <t>FP-LBR-0805</t>
  </si>
  <si>
    <t>LCKN</t>
  </si>
  <si>
    <t>FP-LBR-0810</t>
  </si>
  <si>
    <t>LCKO</t>
  </si>
  <si>
    <t>FP-LBR-0780</t>
  </si>
  <si>
    <t>LCKP</t>
  </si>
  <si>
    <t>FP-LBR-0785</t>
  </si>
  <si>
    <t>LCKQ</t>
  </si>
  <si>
    <t>FP-LBR-0790</t>
  </si>
  <si>
    <t>LCKR</t>
  </si>
  <si>
    <t>FP-LBR-0795</t>
  </si>
  <si>
    <t>LCKS</t>
  </si>
  <si>
    <t>FP-LBR-1862</t>
  </si>
  <si>
    <t>LCKT</t>
  </si>
  <si>
    <t>FP-LBR-1920</t>
  </si>
  <si>
    <t>LCKU</t>
  </si>
  <si>
    <t>FP-LBR-1956</t>
  </si>
  <si>
    <t>LCKV</t>
  </si>
  <si>
    <t>FP-LBR-1323</t>
  </si>
  <si>
    <t>LCKW</t>
  </si>
  <si>
    <t>FP-LBR-1325</t>
  </si>
  <si>
    <t>LCKX</t>
  </si>
  <si>
    <t>FP-LBR-1326</t>
  </si>
  <si>
    <t>LCKY</t>
  </si>
  <si>
    <t>FP-LBR-1327</t>
  </si>
  <si>
    <t>LCKZ</t>
  </si>
  <si>
    <t>FP-LBR-1328</t>
  </si>
  <si>
    <t>LCLA</t>
  </si>
  <si>
    <t>FP-LBR-0147</t>
  </si>
  <si>
    <t>LCLB</t>
  </si>
  <si>
    <t>FP-LBR-0148</t>
  </si>
  <si>
    <t>LCLC</t>
  </si>
  <si>
    <t>FP-LBR-0258</t>
  </si>
  <si>
    <t>LCLD</t>
  </si>
  <si>
    <t>FP-LBR-0408</t>
  </si>
  <si>
    <t>LCLE</t>
  </si>
  <si>
    <t>FP-LBR-0421</t>
  </si>
  <si>
    <t>LCLF</t>
  </si>
  <si>
    <t>FP-LBR-0543</t>
  </si>
  <si>
    <t>LCLG</t>
  </si>
  <si>
    <t>FP-LBR-0550</t>
  </si>
  <si>
    <t>LCLH</t>
  </si>
  <si>
    <t>FP-LBR-1205</t>
  </si>
  <si>
    <t>LCLI</t>
  </si>
  <si>
    <t>FP-LBR-1318</t>
  </si>
  <si>
    <t>LCLJ</t>
  </si>
  <si>
    <t>FP-LBR-1324</t>
  </si>
  <si>
    <t>LCLK</t>
  </si>
  <si>
    <t>FP-LBR-1207</t>
  </si>
  <si>
    <t>LCLL</t>
  </si>
  <si>
    <t>FP-LBR-0510</t>
  </si>
  <si>
    <t>LCLM</t>
  </si>
  <si>
    <t>FP-LBR-0511</t>
  </si>
  <si>
    <t>LCLN</t>
  </si>
  <si>
    <t>FP-LBR-0512</t>
  </si>
  <si>
    <t>LCLO</t>
  </si>
  <si>
    <t>FP-LBR-0513</t>
  </si>
  <si>
    <t>LCLP</t>
  </si>
  <si>
    <t>FP-LBR-0514</t>
  </si>
  <si>
    <t>LCLQ</t>
  </si>
  <si>
    <t>FP-LBR-1399</t>
  </si>
  <si>
    <t>LCLR</t>
  </si>
  <si>
    <t>FP-LBR-1404</t>
  </si>
  <si>
    <t>LCLS</t>
  </si>
  <si>
    <t>FP-LBR-0279</t>
  </si>
  <si>
    <t>LCLT</t>
  </si>
  <si>
    <t>FP-LBR-0280</t>
  </si>
  <si>
    <t>LCLU</t>
  </si>
  <si>
    <t>FP-LBR-0281</t>
  </si>
  <si>
    <t>LCLW</t>
  </si>
  <si>
    <t>FP-LBR-1930</t>
  </si>
  <si>
    <t>LCLX</t>
  </si>
  <si>
    <t>FP-LBR-1885</t>
  </si>
  <si>
    <t>LCLY</t>
  </si>
  <si>
    <t>FP-LBR-1977</t>
  </si>
  <si>
    <t>LCLZ</t>
  </si>
  <si>
    <t>FP-LBR-0319</t>
  </si>
  <si>
    <t>LCMA</t>
  </si>
  <si>
    <t>FP-LBR-1835</t>
  </si>
  <si>
    <t>LCMB</t>
  </si>
  <si>
    <t>FP-LBR-1845</t>
  </si>
  <si>
    <t>LCMC</t>
  </si>
  <si>
    <t>FP-LBR-1851</t>
  </si>
  <si>
    <t>LCMD</t>
  </si>
  <si>
    <t>FP-LBR-1872</t>
  </si>
  <si>
    <t>LCME</t>
  </si>
  <si>
    <t>FP-LBR-1889</t>
  </si>
  <si>
    <t>LCMF</t>
  </si>
  <si>
    <t>FP-LBR-1900</t>
  </si>
  <si>
    <t>LCMG</t>
  </si>
  <si>
    <t>FP-LBR-1909</t>
  </si>
  <si>
    <t>LCMH</t>
  </si>
  <si>
    <t>FP-LBR-1934</t>
  </si>
  <si>
    <t>LCMI</t>
  </si>
  <si>
    <t>FP-LBR-1940</t>
  </si>
  <si>
    <t>LCMJ</t>
  </si>
  <si>
    <t>FP-LBR-1945</t>
  </si>
  <si>
    <t>LCMK</t>
  </si>
  <si>
    <t>FP-LBR-1965</t>
  </si>
  <si>
    <t>LCML</t>
  </si>
  <si>
    <t>FP-LBR-1393</t>
  </si>
  <si>
    <t>LCMM</t>
  </si>
  <si>
    <t>FP-LBR-1394</t>
  </si>
  <si>
    <t>LCMN</t>
  </si>
  <si>
    <t>FP-LBR-1395</t>
  </si>
  <si>
    <t>LCMO</t>
  </si>
  <si>
    <t>FP-LBR-1396</t>
  </si>
  <si>
    <t>LCMP</t>
  </si>
  <si>
    <t>FP-LBR-1397</t>
  </si>
  <si>
    <t>LCMQ</t>
  </si>
  <si>
    <t>FP-LBR-1398</t>
  </si>
  <si>
    <t>LCMR</t>
  </si>
  <si>
    <t>FP-LBR-0901</t>
  </si>
  <si>
    <t>LCMS</t>
  </si>
  <si>
    <t>LCMT</t>
  </si>
  <si>
    <t>FP-LBR-1577</t>
  </si>
  <si>
    <t>LCMV</t>
  </si>
  <si>
    <t>FP-LBR-1578</t>
  </si>
  <si>
    <t>LCMW</t>
  </si>
  <si>
    <t>FP-LBR-1582</t>
  </si>
  <si>
    <t>LCMX</t>
  </si>
  <si>
    <t>FP-LBR-1583</t>
  </si>
  <si>
    <t>LCMY</t>
  </si>
  <si>
    <t>FP-LBR-1579</t>
  </si>
  <si>
    <t>LCMZ</t>
  </si>
  <si>
    <t>FP-LBR-1584</t>
  </si>
  <si>
    <t>LCNA</t>
  </si>
  <si>
    <t>FP-LBR-1580</t>
  </si>
  <si>
    <t>LCNB</t>
  </si>
  <si>
    <t>FP-LBR-1585</t>
  </si>
  <si>
    <t>LCNC</t>
  </si>
  <si>
    <t>FP-LBR-1581</t>
  </si>
  <si>
    <t>LCND</t>
  </si>
  <si>
    <t>FP-LBR-1586</t>
  </si>
  <si>
    <t>LCNE</t>
  </si>
  <si>
    <t>FP-LBR-1567</t>
  </si>
  <si>
    <t>LCNF</t>
  </si>
  <si>
    <t>FP-LBR-1572</t>
  </si>
  <si>
    <t>LCNG</t>
  </si>
  <si>
    <t>FP-LBR-1568</t>
  </si>
  <si>
    <t>LCNH</t>
  </si>
  <si>
    <t>FP-LBR-1573</t>
  </si>
  <si>
    <t>LCNI</t>
  </si>
  <si>
    <t>FP-LBR-1569</t>
  </si>
  <si>
    <t>LCNJ</t>
  </si>
  <si>
    <t>FP-LBR-1574</t>
  </si>
  <si>
    <t>LCNK</t>
  </si>
  <si>
    <t>FP-LBR-1570</t>
  </si>
  <si>
    <t>LCNL</t>
  </si>
  <si>
    <t>FP-LBR-1575</t>
  </si>
  <si>
    <t>LCNM</t>
  </si>
  <si>
    <t>FP-LBR-1571</t>
  </si>
  <si>
    <t>LCNN</t>
  </si>
  <si>
    <t>FP-LBR-1576</t>
  </si>
  <si>
    <t>LCNO</t>
  </si>
  <si>
    <t>FP-LBR-0826</t>
  </si>
  <si>
    <t>LCNP</t>
  </si>
  <si>
    <t>FP-LBR-0827</t>
  </si>
  <si>
    <t>LCNQ</t>
  </si>
  <si>
    <t>FP-LBR-0828</t>
  </si>
  <si>
    <t>LCNR</t>
  </si>
  <si>
    <t>FP-LBR-0829</t>
  </si>
  <si>
    <t>LCNS</t>
  </si>
  <si>
    <t>FP-LBR-0830</t>
  </si>
  <si>
    <t>LCNT</t>
  </si>
  <si>
    <t>FP-LBR-0831</t>
  </si>
  <si>
    <t>LCNU</t>
  </si>
  <si>
    <t>FP-LBR-0832</t>
  </si>
  <si>
    <t>LCNV</t>
  </si>
  <si>
    <t>FP-LBR-0833</t>
  </si>
  <si>
    <t>LCNW</t>
  </si>
  <si>
    <t>FP-LBR-0834</t>
  </si>
  <si>
    <t>LCNX</t>
  </si>
  <si>
    <t>FP-LBR-0835</t>
  </si>
  <si>
    <t>LCNY</t>
  </si>
  <si>
    <t>FP-LBR-0836</t>
  </si>
  <si>
    <t>LCNZ</t>
  </si>
  <si>
    <t>FP-LBR-0837</t>
  </si>
  <si>
    <t>LCOA</t>
  </si>
  <si>
    <t>FP-LBR-0838</t>
  </si>
  <si>
    <t>LCOB</t>
  </si>
  <si>
    <t>FP-LBR-0839</t>
  </si>
  <si>
    <t>LCOC</t>
  </si>
  <si>
    <t>FP-LBR-0840</t>
  </si>
  <si>
    <t>LCOD</t>
  </si>
  <si>
    <t>FP-LBR-0841</t>
  </si>
  <si>
    <t>LCOE</t>
  </si>
  <si>
    <t>FP-LBR-0842</t>
  </si>
  <si>
    <t>LCOF</t>
  </si>
  <si>
    <t>FP-LBR-0843</t>
  </si>
  <si>
    <t>LCOG</t>
  </si>
  <si>
    <t>FP-LBR-0844</t>
  </si>
  <si>
    <t>LCOH</t>
  </si>
  <si>
    <t>FP-LBR-0845</t>
  </si>
  <si>
    <t>LCOI</t>
  </si>
  <si>
    <t>FP-LBR-0846</t>
  </si>
  <si>
    <t>LCOJ</t>
  </si>
  <si>
    <t>FP-LBR-0847</t>
  </si>
  <si>
    <t>LCOK</t>
  </si>
  <si>
    <t>FP-LBR-0848</t>
  </si>
  <si>
    <t>LCOL</t>
  </si>
  <si>
    <t>FP-LBR-0849</t>
  </si>
  <si>
    <t>LCOM</t>
  </si>
  <si>
    <t>FP-LBR-0850</t>
  </si>
  <si>
    <t>LCON</t>
  </si>
  <si>
    <t>FP-LBR-0851</t>
  </si>
  <si>
    <t>LCOO</t>
  </si>
  <si>
    <t>FP-LBR-0852</t>
  </si>
  <si>
    <t>LCOP</t>
  </si>
  <si>
    <t>FP-LBR-0853</t>
  </si>
  <si>
    <t>LCOQ</t>
  </si>
  <si>
    <t>FP-LBR-0854</t>
  </si>
  <si>
    <t>LCOR</t>
  </si>
  <si>
    <t>FP-LBR-0855</t>
  </si>
  <si>
    <t>LCOW</t>
  </si>
  <si>
    <t>FP-LBR-1811</t>
  </si>
  <si>
    <t>LCOX</t>
  </si>
  <si>
    <t>FP-LBR-2201</t>
  </si>
  <si>
    <t>LCOY</t>
  </si>
  <si>
    <t>FP-LBR-2202</t>
  </si>
  <si>
    <t>LCOZ</t>
  </si>
  <si>
    <t>FP-LBR-2203</t>
  </si>
  <si>
    <t>LCPA</t>
  </si>
  <si>
    <t>FP-LBR-2195</t>
  </si>
  <si>
    <t>LCPB</t>
  </si>
  <si>
    <t>FP-LBR-1268</t>
  </si>
  <si>
    <t>LCPC</t>
  </si>
  <si>
    <t>FP-LBR-1269</t>
  </si>
  <si>
    <t>LCPD</t>
  </si>
  <si>
    <t>FP-LBR-1270</t>
  </si>
  <si>
    <t>LCPE</t>
  </si>
  <si>
    <t>FP-LBR-1271</t>
  </si>
  <si>
    <t>LCPF</t>
  </si>
  <si>
    <t>FP-LBR-1272</t>
  </si>
  <si>
    <t>LCPG</t>
  </si>
  <si>
    <t>FP-LBR-1273</t>
  </si>
  <si>
    <t>LCPH</t>
  </si>
  <si>
    <t>FP-LBR-1230</t>
  </si>
  <si>
    <t>LCPI</t>
  </si>
  <si>
    <t>FP-LBR-1231</t>
  </si>
  <si>
    <t>LCPJ</t>
  </si>
  <si>
    <t>FP-LBR-1232</t>
  </si>
  <si>
    <t>LCPK</t>
  </si>
  <si>
    <t>FP-LBR-1233</t>
  </si>
  <si>
    <t>LCPL</t>
  </si>
  <si>
    <t>FP-LBR-1234</t>
  </si>
  <si>
    <t>LCPM</t>
  </si>
  <si>
    <t>FP-LBR-1235</t>
  </si>
  <si>
    <t>LCPN</t>
  </si>
  <si>
    <t>FP-LBR-1312</t>
  </si>
  <si>
    <t>LCPO</t>
  </si>
  <si>
    <t>FP-LBR-1313</t>
  </si>
  <si>
    <t>LCPP</t>
  </si>
  <si>
    <t>FP-LBR-1314</t>
  </si>
  <si>
    <t>LCPR</t>
  </si>
  <si>
    <t>FP-LBR-1860</t>
  </si>
  <si>
    <t>LCPS</t>
  </si>
  <si>
    <t>FP-LBR-1918</t>
  </si>
  <si>
    <t>LCPT</t>
  </si>
  <si>
    <t>FP-LBR-1954</t>
  </si>
  <si>
    <t>LCPU</t>
  </si>
  <si>
    <t>FP-LBR-1848</t>
  </si>
  <si>
    <t>LCPV</t>
  </si>
  <si>
    <t>FP-LBR-1863</t>
  </si>
  <si>
    <t>LCPW</t>
  </si>
  <si>
    <t>FP-LBR-1906</t>
  </si>
  <si>
    <t>LCPX</t>
  </si>
  <si>
    <t>FP-LBR-1921</t>
  </si>
  <si>
    <t>LCPY</t>
  </si>
  <si>
    <t>FP-LBR-1943</t>
  </si>
  <si>
    <t>LCPZ</t>
  </si>
  <si>
    <t>FP-LBR-1957</t>
  </si>
  <si>
    <t>LCQA</t>
  </si>
  <si>
    <t>FP-LBR-1901</t>
  </si>
  <si>
    <t>LCQB</t>
  </si>
  <si>
    <t>FP-LBR-1904</t>
  </si>
  <si>
    <t>LCQC</t>
  </si>
  <si>
    <t>FP-LBR-1905</t>
  </si>
  <si>
    <t>LCQD</t>
  </si>
  <si>
    <t>FP-LBR-1907</t>
  </si>
  <si>
    <t>LCQE</t>
  </si>
  <si>
    <t>FP-LBR-1849</t>
  </si>
  <si>
    <t>LCQF</t>
  </si>
  <si>
    <t>FP-LBR-0520</t>
  </si>
  <si>
    <t>LCQG</t>
  </si>
  <si>
    <t>FP-LBR-0530</t>
  </si>
  <si>
    <t>LCQH</t>
  </si>
  <si>
    <t>FP-LBR-0181</t>
  </si>
  <si>
    <t>LCQI</t>
  </si>
  <si>
    <t>FP-LBR-0242</t>
  </si>
  <si>
    <t>LCQJ</t>
  </si>
  <si>
    <t>FP-LBR-0229</t>
  </si>
  <si>
    <t>LCQK</t>
  </si>
  <si>
    <t>FP-LBR-2193</t>
  </si>
  <si>
    <t>LCQL</t>
  </si>
  <si>
    <t>FP-LBR-2194</t>
  </si>
  <si>
    <t>LCQM</t>
  </si>
  <si>
    <t>FP-LBR-2209</t>
  </si>
  <si>
    <t>LCQN</t>
  </si>
  <si>
    <t>FP-LBR-2210</t>
  </si>
  <si>
    <t>LCQO</t>
  </si>
  <si>
    <t>FP-LBR-0415</t>
  </si>
  <si>
    <t>LCQP</t>
  </si>
  <si>
    <t>FP-LBR-0537</t>
  </si>
  <si>
    <t>LCQQ</t>
  </si>
  <si>
    <t>FP-LBR-0418</t>
  </si>
  <si>
    <t>LCQR</t>
  </si>
  <si>
    <t>FP-LBR-0540</t>
  </si>
  <si>
    <t>LCQS</t>
  </si>
  <si>
    <t>FP-LBR-0177</t>
  </si>
  <si>
    <t>LCQT</t>
  </si>
  <si>
    <t>FP-LBR-0184</t>
  </si>
  <si>
    <t>LCQU</t>
  </si>
  <si>
    <t>FP-LBR-0185</t>
  </si>
  <si>
    <t>LCQV</t>
  </si>
  <si>
    <t>FP-LBR-0186</t>
  </si>
  <si>
    <t>LCQW</t>
  </si>
  <si>
    <t>FP-LBR-0187</t>
  </si>
  <si>
    <t>LCQX</t>
  </si>
  <si>
    <t>FP-LBR-0188</t>
  </si>
  <si>
    <t>LCQY</t>
  </si>
  <si>
    <t>FP-LBR-0189</t>
  </si>
  <si>
    <t>LCQZ</t>
  </si>
  <si>
    <t>FP-LBR-0190</t>
  </si>
  <si>
    <t>LCRA</t>
  </si>
  <si>
    <t>FP-LBR-0191</t>
  </si>
  <si>
    <t>LCRB</t>
  </si>
  <si>
    <t>FP-LBR-1871</t>
  </si>
  <si>
    <t>LCRC</t>
  </si>
  <si>
    <t>FP-LBR-1964</t>
  </si>
  <si>
    <t>LCRD</t>
  </si>
  <si>
    <t>FP-LBR-1246</t>
  </si>
  <si>
    <t>LCRE</t>
  </si>
  <si>
    <t>FP-LBR-1256</t>
  </si>
  <si>
    <t>LCRF</t>
  </si>
  <si>
    <t>FP-LBR-1251</t>
  </si>
  <si>
    <t>LCRG</t>
  </si>
  <si>
    <t>FP-LBR-1261</t>
  </si>
  <si>
    <t>LCRH</t>
  </si>
  <si>
    <t>FP-LBR-1294</t>
  </si>
  <si>
    <t>LCRI</t>
  </si>
  <si>
    <t>FP-LBR-1295</t>
  </si>
  <si>
    <t>LCRJ</t>
  </si>
  <si>
    <t>FP-LBR-1296</t>
  </si>
  <si>
    <t>LCRK</t>
  </si>
  <si>
    <t>FP-LBR-1297</t>
  </si>
  <si>
    <t>LCRL</t>
  </si>
  <si>
    <t>FP-LBR-1298</t>
  </si>
  <si>
    <t>LCRM</t>
  </si>
  <si>
    <t>FP-LBR-0268</t>
  </si>
  <si>
    <t>LCRN</t>
  </si>
  <si>
    <t>FP-LBR-0269</t>
  </si>
  <si>
    <t>LCRO</t>
  </si>
  <si>
    <t>FP-LBR-0270</t>
  </si>
  <si>
    <t>LCRP</t>
  </si>
  <si>
    <t>FP-LBR-0271</t>
  </si>
  <si>
    <t>LCRQ</t>
  </si>
  <si>
    <t>FP-LBR-0900</t>
  </si>
  <si>
    <t>LCRR</t>
  </si>
  <si>
    <t>FP-LBR-1532</t>
  </si>
  <si>
    <t>LCRS</t>
  </si>
  <si>
    <t>FP-LBR-1533</t>
  </si>
  <si>
    <t>LCRT</t>
  </si>
  <si>
    <t>FP-LBR-1534</t>
  </si>
  <si>
    <t>LCRU</t>
  </si>
  <si>
    <t>FP-LBR-1535</t>
  </si>
  <si>
    <t>LCRV</t>
  </si>
  <si>
    <t>FP-LBR-1536</t>
  </si>
  <si>
    <t>LCRW</t>
  </si>
  <si>
    <t>FP-LBR-0272</t>
  </si>
  <si>
    <t>LCRX</t>
  </si>
  <si>
    <t>FP-LBR-0420</t>
  </si>
  <si>
    <t>LCRY</t>
  </si>
  <si>
    <t>FP-LBR-0542</t>
  </si>
  <si>
    <t>LCRZ</t>
  </si>
  <si>
    <t>FP-LBR-0422</t>
  </si>
  <si>
    <t>LCSA</t>
  </si>
  <si>
    <t>FP-LBR-0544</t>
  </si>
  <si>
    <t>LCSB</t>
  </si>
  <si>
    <t>FP-LBR-1412</t>
  </si>
  <si>
    <t>LCSC</t>
  </si>
  <si>
    <t>FP-LBR-1413</t>
  </si>
  <si>
    <t>LCSF</t>
  </si>
  <si>
    <t>FP-LBR-0939</t>
  </si>
  <si>
    <t>LCSG</t>
  </si>
  <si>
    <t>FP-LBR-0942</t>
  </si>
  <si>
    <t>LCXQ</t>
  </si>
  <si>
    <t>FP-LBR-0295</t>
  </si>
  <si>
    <t>LCXR</t>
  </si>
  <si>
    <t>FP-LBR-0179</t>
  </si>
  <si>
    <t>LCXS</t>
  </si>
  <si>
    <t>FP-LBR-0416</t>
  </si>
  <si>
    <t>LCXT</t>
  </si>
  <si>
    <t>FP-LBR-0538</t>
  </si>
  <si>
    <t>LCXU</t>
  </si>
  <si>
    <t>FP-LBR-0547</t>
  </si>
  <si>
    <t>LCXV</t>
  </si>
  <si>
    <t>FP-LBR-2228</t>
  </si>
  <si>
    <t>Latest Publication Date</t>
  </si>
  <si>
    <t>LCXW</t>
  </si>
  <si>
    <t>FP-LBR-2229</t>
  </si>
  <si>
    <t>LCXX</t>
  </si>
  <si>
    <t>FP-LBR-2230</t>
  </si>
  <si>
    <t>Prv Week</t>
  </si>
  <si>
    <t>Prv Year</t>
  </si>
  <si>
    <t>Date of the assessment</t>
  </si>
  <si>
    <t>Year</t>
  </si>
  <si>
    <t>Month</t>
  </si>
  <si>
    <t>Pub Date</t>
  </si>
  <si>
    <r>
      <rPr>
        <b/>
        <sz val="11"/>
        <color theme="1"/>
        <rFont val="Calibri"/>
        <family val="2"/>
        <scheme val="minor"/>
      </rPr>
      <t>Random Lengths Lumber Reports</t>
    </r>
    <r>
      <rPr>
        <sz val="11"/>
        <color theme="1"/>
        <rFont val="Calibri"/>
        <family val="2"/>
        <scheme val="minor"/>
      </rPr>
      <t xml:space="preserve"> are published </t>
    </r>
    <r>
      <rPr>
        <b/>
        <sz val="11"/>
        <color theme="1"/>
        <rFont val="Calibri"/>
        <family val="2"/>
        <scheme val="minor"/>
      </rPr>
      <t xml:space="preserve">every </t>
    </r>
    <r>
      <rPr>
        <b/>
        <u/>
        <sz val="11"/>
        <color theme="1"/>
        <rFont val="Calibri"/>
        <family val="2"/>
        <scheme val="minor"/>
      </rPr>
      <t>Thursday</t>
    </r>
    <r>
      <rPr>
        <sz val="11"/>
        <color theme="1"/>
        <rFont val="Calibri"/>
        <family val="2"/>
        <scheme val="minor"/>
      </rPr>
      <t xml:space="preserve">. </t>
    </r>
  </si>
  <si>
    <t>FP-LBR-1185",,"Low",_varPrvWeekDate,)</t>
  </si>
  <si>
    <t>FP-LBR-1185",,"Low",_varPrvYearDate,)</t>
  </si>
  <si>
    <t>FP-LBR-1186",,"Low",_varPrvWeekDate,)</t>
  </si>
  <si>
    <t>FP-LBR-1187",,"Low",_varPrvWeekDate,)</t>
  </si>
  <si>
    <t>FP-LBR-1188",,"Low",_varPrvWeekDate,)</t>
  </si>
  <si>
    <t>FP-LBR-1189",,"Low",_varPrvWeekDate,)</t>
  </si>
  <si>
    <t>FP-LBR-1190",,"Low",_varPrvWeekDate,)</t>
  </si>
  <si>
    <t>FP-LBR-1191",,"Low",_varPrvWeekDate,)</t>
  </si>
  <si>
    <t>FP-LBR-1192",,"Low",_varPrvWeekDate,)</t>
  </si>
  <si>
    <t>FP-LBR-1193",,"Low",_varPrvWeekDate,)</t>
  </si>
  <si>
    <t>FP-LBR-1194",,"Low",_varPrvWeekDate,)</t>
  </si>
  <si>
    <t>FP-LBR-1195",,"Low",_varPrvWeekDate,)</t>
  </si>
  <si>
    <t>FP-LBR-1196",,"Low",_varPrvWeekDate,)</t>
  </si>
  <si>
    <t>FP-LBR-1186",,"Low",_varPrvYearDate,)</t>
  </si>
  <si>
    <t>FP-LBR-1187",,"Low",_varPrvYearDate,)</t>
  </si>
  <si>
    <t>FP-LBR-1188",,"Low",_varPrvYearDate,)</t>
  </si>
  <si>
    <t>FP-LBR-1189",,"Low",_varPrvYearDate,)</t>
  </si>
  <si>
    <t>FP-LBR-1190",,"Low",_varPrvYearDate,)</t>
  </si>
  <si>
    <t>FP-LBR-1191",,"Low",_varPrvYearDate,)</t>
  </si>
  <si>
    <t>FP-LBR-1192",,"Low",_varPrvYearDate,)</t>
  </si>
  <si>
    <t>FP-LBR-1193",,"Low",_varPrvYearDate,)</t>
  </si>
  <si>
    <t>FP-LBR-1194",,"Low",_varPrvYearDate,)</t>
  </si>
  <si>
    <t>FP-LBR-1195",,"Low",_varPrvYearDate,)</t>
  </si>
  <si>
    <t>FP-LBR-1196",,"Low",_varPrvYearDate,)</t>
  </si>
  <si>
    <t>Specified publication date</t>
  </si>
  <si>
    <t>Previous week of specified publication date</t>
  </si>
  <si>
    <t>Previous year of specified publication date</t>
  </si>
  <si>
    <t>LCYA</t>
  </si>
  <si>
    <t>LCYB</t>
  </si>
  <si>
    <t>FP-LBR-2237</t>
  </si>
  <si>
    <t>LCYC</t>
  </si>
  <si>
    <t>LCYD</t>
  </si>
  <si>
    <t>LCYE</t>
  </si>
  <si>
    <t>LCYF</t>
  </si>
  <si>
    <t>LCYG</t>
  </si>
  <si>
    <t>LCYH</t>
  </si>
  <si>
    <t>LCYI</t>
  </si>
  <si>
    <t>LCYJ</t>
  </si>
  <si>
    <t>LCYK</t>
  </si>
  <si>
    <t>LCYL</t>
  </si>
  <si>
    <t>FP-LBR-2250</t>
  </si>
  <si>
    <t>FP-LBR-2251</t>
  </si>
  <si>
    <t>FP-LBR-2252</t>
  </si>
  <si>
    <t>FP-LBR-2253</t>
  </si>
  <si>
    <t>FP-LBR-2254</t>
  </si>
  <si>
    <t>FP-LBR-2255</t>
  </si>
  <si>
    <t>FP-LBR-2256</t>
  </si>
  <si>
    <t>FP-LBR-2257</t>
  </si>
  <si>
    <t>FP-LBR-2258</t>
  </si>
  <si>
    <t>FP-LBR-2259</t>
  </si>
  <si>
    <t>FP-LBR-2260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</si>
</sst>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[$-409]d\-mmm\-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14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1" fillId="0" borderId="0" xfId="0" applyFont="1"/>
    <xf numFmtId="14" fontId="0" fillId="0" borderId="0" xfId="0" applyNumberFormat="1" applyAlignment="1">
      <alignment horizontal="center"/>
    </xf>
    <xf numFmtId="165" fontId="1" fillId="2" borderId="0" xfId="0" applyNumberFormat="1" applyFont="1" applyFill="1"/>
    <xf numFmtId="0" fontId="1" fillId="3" borderId="0" xfId="0" applyFont="1" applyFill="1"/>
    <xf numFmtId="0" fontId="0" fillId="3" borderId="0" xfId="0" applyFill="1"/>
    <xf numFmtId="0" fontId="0" fillId="5" borderId="0" xfId="0" applyFill="1"/>
    <xf numFmtId="14" fontId="0" fillId="5" borderId="0" xfId="0" applyNumberFormat="1" applyFill="1"/>
    <xf numFmtId="0" fontId="1" fillId="6" borderId="0" xfId="0" applyFont="1" applyFill="1"/>
    <xf numFmtId="0" fontId="0" fillId="6" borderId="0" xfId="0" applyFill="1"/>
    <xf numFmtId="0" fontId="5" fillId="4" borderId="0" xfId="0" applyFont="1" applyFill="1" applyAlignment="1">
      <alignment vertical="center"/>
    </xf>
    <xf numFmtId="0" fontId="0" fillId="0" borderId="0" xfId="0" applyNumberFormat="1"/>
    <xf numFmtId="0" fontId="0" fillId="0" borderId="0" xfId="0" applyFill="1"/>
    <xf numFmtId="14" fontId="0" fillId="0" borderId="0" xfId="0" applyNumberFormat="1" applyFill="1"/>
    <xf numFmtId="0" fontId="5" fillId="4" borderId="0" xfId="0" applyNumberFormat="1" applyFont="1" applyFill="1" applyAlignment="1">
      <alignment vertical="center"/>
    </xf>
    <xf numFmtId="0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0</xdr:row>
      <xdr:rowOff>9526</xdr:rowOff>
    </xdr:from>
    <xdr:to>
      <xdr:col>19</xdr:col>
      <xdr:colOff>585107</xdr:colOff>
      <xdr:row>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21ED788-7F7F-4085-BE08-CAA6EFFD8273}"/>
            </a:ext>
          </a:extLst>
        </xdr:cNvPr>
        <xdr:cNvSpPr txBox="1"/>
      </xdr:nvSpPr>
      <xdr:spPr>
        <a:xfrm>
          <a:off x="10756446" y="9526"/>
          <a:ext cx="6660697" cy="425903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/>
            <a:t>This worksheet</a:t>
          </a:r>
          <a:r>
            <a:rPr lang="en-US" sz="1200" b="1" baseline="0"/>
            <a:t> can ONLY be used to generate the latest end-of-week prices </a:t>
          </a:r>
          <a:r>
            <a:rPr lang="en-US" sz="1200" b="1" u="sng" baseline="0"/>
            <a:t>before</a:t>
          </a:r>
          <a:r>
            <a:rPr lang="en-US" sz="1200" b="1" baseline="0"/>
            <a:t> the mid week values are published.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1495425</xdr:colOff>
      <xdr:row>5</xdr:row>
      <xdr:rowOff>104776</xdr:rowOff>
    </xdr:from>
    <xdr:to>
      <xdr:col>6</xdr:col>
      <xdr:colOff>409575</xdr:colOff>
      <xdr:row>8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6ADC1B6-ACBD-4C5B-BBE6-C15037843239}"/>
            </a:ext>
          </a:extLst>
        </xdr:cNvPr>
        <xdr:cNvSpPr txBox="1"/>
      </xdr:nvSpPr>
      <xdr:spPr>
        <a:xfrm>
          <a:off x="1495425" y="1057276"/>
          <a:ext cx="4752975" cy="46672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/>
            <a:t>Specify a past publication date in the highlighted cell (B4)</a:t>
          </a:r>
          <a:endParaRPr 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81339-0A45-43DC-ABC1-E8A4AEDCD9AB}">
  <dimension ref="A1:I1409"/>
  <sheetViews>
    <sheetView tabSelected="1" zoomScaleNormal="100"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12.7109375" bestFit="1" customWidth="1"/>
    <col min="2" max="2" width="23.140625" customWidth="1"/>
    <col min="3" max="5" width="19.5703125" customWidth="1"/>
    <col min="6" max="6" width="22" customWidth="1"/>
    <col min="7" max="7" width="13.7109375" customWidth="1"/>
    <col min="8" max="8" width="22" customWidth="1"/>
    <col min="9" max="9" width="21.140625" hidden="1" customWidth="1"/>
  </cols>
  <sheetData>
    <row r="1" spans="1:9" ht="42.75" customHeigh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8" t="s">
        <v>5</v>
      </c>
      <c r="G1" s="8" t="s">
        <v>6</v>
      </c>
      <c r="H1" s="8" t="s">
        <v>7</v>
      </c>
      <c r="I1" s="8" t="s">
        <v>8</v>
      </c>
    </row>
    <row r="2" spans="1:9" x14ac:dyDescent="0.25">
      <c r="A2" t="s">
        <v>9</v>
      </c>
      <c r="B2" s="14" cm="1">
        <f t="array" ref="B2">_xll.GetLatestPrice(F2,,G2)</f>
        <v>455</v>
      </c>
      <c r="C2" s="1" cm="1">
        <f t="array" ref="C2">_xll.GetLatestPrice(F2,"Actual","AssessmentDate")</f>
        <v>45826.645833333336</v>
      </c>
      <c r="D2">
        <f>YEAR(C2)</f>
        <v>2025</v>
      </c>
      <c r="E2">
        <f>MONTH(C2)</f>
        <v>6</v>
      </c>
      <c r="F2" s="9" t="s">
        <v>10</v>
      </c>
      <c r="G2" s="9" t="s">
        <v>11</v>
      </c>
      <c r="H2" s="9" t="s">
        <v>12</v>
      </c>
    </row>
    <row r="3" spans="1:9" x14ac:dyDescent="0.25">
      <c r="A3" t="s">
        <v>13</v>
      </c>
      <c r="B3" s="14" cm="1">
        <f t="array" ref="B3">_xll.GetLatestPrice(F3,,G3)</f>
        <v>395</v>
      </c>
      <c r="C3" s="1" cm="1">
        <f t="array" ref="C3">_xll.GetLatestPrice(F3,"Actual","AssessmentDate")</f>
        <v>45826.645833333336</v>
      </c>
      <c r="D3">
        <f t="shared" ref="D3:D66" si="0">YEAR(C3)</f>
        <v>2025</v>
      </c>
      <c r="E3">
        <f t="shared" ref="E3:E66" si="1">MONTH(C3)</f>
        <v>6</v>
      </c>
      <c r="F3" s="9" t="s">
        <v>14</v>
      </c>
      <c r="G3" s="9" t="s">
        <v>11</v>
      </c>
      <c r="H3" s="9" t="s">
        <v>12</v>
      </c>
    </row>
    <row r="4" spans="1:9" x14ac:dyDescent="0.25">
      <c r="A4" t="s">
        <v>15</v>
      </c>
      <c r="B4" s="14" cm="1">
        <f t="array" ref="B4">_xll.GetLatestPrice(F4,,G4)</f>
        <v>410</v>
      </c>
      <c r="C4" s="1" cm="1">
        <f t="array" ref="C4">_xll.GetLatestPrice(F4,"Actual","AssessmentDate")</f>
        <v>45826.645833333336</v>
      </c>
      <c r="D4">
        <f t="shared" si="0"/>
        <v>2025</v>
      </c>
      <c r="E4">
        <f t="shared" si="1"/>
        <v>6</v>
      </c>
      <c r="F4" s="9" t="s">
        <v>16</v>
      </c>
      <c r="G4" s="9" t="s">
        <v>11</v>
      </c>
      <c r="H4" s="9" t="s">
        <v>12</v>
      </c>
    </row>
    <row r="5" spans="1:9" x14ac:dyDescent="0.25">
      <c r="A5" t="s">
        <v>17</v>
      </c>
      <c r="B5" s="14" cm="1">
        <f t="array" ref="B5">_xll.GetLatestPrice(F5,,G5)</f>
        <v>390</v>
      </c>
      <c r="C5" s="1" cm="1">
        <f t="array" ref="C5">_xll.GetLatestPrice(F5,"Actual","AssessmentDate")</f>
        <v>45826.645833333336</v>
      </c>
      <c r="D5">
        <f t="shared" si="0"/>
        <v>2025</v>
      </c>
      <c r="E5">
        <f t="shared" si="1"/>
        <v>6</v>
      </c>
      <c r="F5" s="9" t="s">
        <v>18</v>
      </c>
      <c r="G5" s="9" t="s">
        <v>11</v>
      </c>
      <c r="H5" s="9" t="s">
        <v>12</v>
      </c>
    </row>
    <row r="6" spans="1:9" x14ac:dyDescent="0.25">
      <c r="A6" t="s">
        <v>19</v>
      </c>
      <c r="B6" s="14" cm="1">
        <f t="array" ref="B6">_xll.GetLatestPrice(F6,,G6)</f>
        <v>335</v>
      </c>
      <c r="C6" s="1" cm="1">
        <f t="array" ref="C6">_xll.GetLatestPrice(F6,"Actual","AssessmentDate")</f>
        <v>45826.645833333336</v>
      </c>
      <c r="D6">
        <f t="shared" si="0"/>
        <v>2025</v>
      </c>
      <c r="E6">
        <f t="shared" si="1"/>
        <v>6</v>
      </c>
      <c r="F6" s="9" t="s">
        <v>20</v>
      </c>
      <c r="G6" s="9" t="s">
        <v>11</v>
      </c>
      <c r="H6" s="9" t="s">
        <v>12</v>
      </c>
    </row>
    <row r="7" spans="1:9" x14ac:dyDescent="0.25">
      <c r="A7" t="s">
        <v>21</v>
      </c>
      <c r="B7" s="14" cm="1">
        <f t="array" ref="B7">_xll.GetLatestPrice(F7,,G7)</f>
        <v>225</v>
      </c>
      <c r="C7" s="1" cm="1">
        <f t="array" ref="C7">_xll.GetLatestPrice(F7,"Actual","AssessmentDate")</f>
        <v>45826.645833333336</v>
      </c>
      <c r="D7">
        <f t="shared" si="0"/>
        <v>2025</v>
      </c>
      <c r="E7">
        <f t="shared" si="1"/>
        <v>6</v>
      </c>
      <c r="F7" s="9" t="s">
        <v>22</v>
      </c>
      <c r="G7" s="9" t="s">
        <v>11</v>
      </c>
      <c r="H7" s="9" t="s">
        <v>12</v>
      </c>
    </row>
    <row r="8" spans="1:9" x14ac:dyDescent="0.25">
      <c r="A8" t="s">
        <v>23</v>
      </c>
      <c r="B8" s="14" cm="1">
        <f t="array" ref="B8">_xll.GetLatestPrice(F8,,G8)</f>
        <v>165</v>
      </c>
      <c r="C8" s="1" cm="1">
        <f t="array" ref="C8">_xll.GetLatestPrice(F8,"Actual","AssessmentDate")</f>
        <v>45826.645833333336</v>
      </c>
      <c r="D8">
        <f t="shared" si="0"/>
        <v>2025</v>
      </c>
      <c r="E8">
        <f t="shared" si="1"/>
        <v>6</v>
      </c>
      <c r="F8" s="9" t="s">
        <v>24</v>
      </c>
      <c r="G8" s="9" t="s">
        <v>11</v>
      </c>
      <c r="H8" s="9" t="s">
        <v>12</v>
      </c>
    </row>
    <row r="9" spans="1:9" x14ac:dyDescent="0.25">
      <c r="A9" t="s">
        <v>25</v>
      </c>
      <c r="B9" s="14" cm="1">
        <f t="array" ref="B9">_xll.GetLatestPrice(F9,,G9)</f>
        <v>165</v>
      </c>
      <c r="C9" s="1" cm="1">
        <f t="array" ref="C9">_xll.GetLatestPrice(F9,"Actual","AssessmentDate")</f>
        <v>45826.645833333336</v>
      </c>
      <c r="D9">
        <f t="shared" si="0"/>
        <v>2025</v>
      </c>
      <c r="E9">
        <f t="shared" si="1"/>
        <v>6</v>
      </c>
      <c r="F9" s="9" t="s">
        <v>26</v>
      </c>
      <c r="G9" s="9" t="s">
        <v>11</v>
      </c>
      <c r="H9" s="9" t="s">
        <v>12</v>
      </c>
    </row>
    <row r="10" spans="1:9" x14ac:dyDescent="0.25">
      <c r="A10" t="s">
        <v>27</v>
      </c>
      <c r="B10" s="14" cm="1">
        <f t="array" ref="B10">_xll.GetLatestPrice(F10,,G10)</f>
        <v>170</v>
      </c>
      <c r="C10" s="1" cm="1">
        <f t="array" ref="C10">_xll.GetLatestPrice(F10,"Actual","AssessmentDate")</f>
        <v>45826.645833333336</v>
      </c>
      <c r="D10">
        <f t="shared" si="0"/>
        <v>2025</v>
      </c>
      <c r="E10">
        <f t="shared" si="1"/>
        <v>6</v>
      </c>
      <c r="F10" s="9" t="s">
        <v>28</v>
      </c>
      <c r="G10" s="9" t="s">
        <v>11</v>
      </c>
      <c r="H10" s="9" t="s">
        <v>12</v>
      </c>
    </row>
    <row r="11" spans="1:9" x14ac:dyDescent="0.25">
      <c r="A11" t="s">
        <v>29</v>
      </c>
      <c r="B11" s="14" cm="1">
        <f t="array" ref="B11">_xll.GetLatestPrice(F11,,G11)</f>
        <v>402</v>
      </c>
      <c r="C11" s="1" cm="1">
        <f t="array" ref="C11">_xll.GetLatestPrice(F11,"Actual","AssessmentDate")</f>
        <v>45826.645833333336</v>
      </c>
      <c r="D11">
        <f t="shared" si="0"/>
        <v>2025</v>
      </c>
      <c r="E11">
        <f t="shared" si="1"/>
        <v>6</v>
      </c>
      <c r="F11" s="9" t="s">
        <v>30</v>
      </c>
      <c r="G11" s="9" t="s">
        <v>11</v>
      </c>
      <c r="H11" s="9" t="s">
        <v>12</v>
      </c>
    </row>
    <row r="12" spans="1:9" x14ac:dyDescent="0.25">
      <c r="A12" t="s">
        <v>31</v>
      </c>
      <c r="B12" s="14" cm="1">
        <f t="array" ref="B12">_xll.GetLatestPrice(F12,,G12)</f>
        <v>470</v>
      </c>
      <c r="C12" s="1" cm="1">
        <f t="array" ref="C12">_xll.GetLatestPrice(F12,"Actual","AssessmentDate")</f>
        <v>45826.645833333336</v>
      </c>
      <c r="D12">
        <f t="shared" si="0"/>
        <v>2025</v>
      </c>
      <c r="E12">
        <f t="shared" si="1"/>
        <v>6</v>
      </c>
      <c r="F12" s="9" t="s">
        <v>32</v>
      </c>
      <c r="G12" s="9" t="s">
        <v>11</v>
      </c>
      <c r="H12" s="9" t="s">
        <v>12</v>
      </c>
    </row>
    <row r="13" spans="1:9" x14ac:dyDescent="0.25">
      <c r="A13" t="s">
        <v>33</v>
      </c>
      <c r="B13" s="14" cm="1">
        <f t="array" ref="B13">_xll.GetLatestPrice(F13,,G13)</f>
        <v>415</v>
      </c>
      <c r="C13" s="1" cm="1">
        <f t="array" ref="C13">_xll.GetLatestPrice(F13,"Actual","AssessmentDate")</f>
        <v>45826.645833333336</v>
      </c>
      <c r="D13">
        <f t="shared" si="0"/>
        <v>2025</v>
      </c>
      <c r="E13">
        <f t="shared" si="1"/>
        <v>6</v>
      </c>
      <c r="F13" s="9" t="s">
        <v>34</v>
      </c>
      <c r="G13" s="9" t="s">
        <v>11</v>
      </c>
      <c r="H13" s="9" t="s">
        <v>12</v>
      </c>
    </row>
    <row r="14" spans="1:9" x14ac:dyDescent="0.25">
      <c r="A14" t="s">
        <v>35</v>
      </c>
      <c r="B14" s="14" cm="1">
        <f t="array" ref="B14">_xll.GetLatestPrice(F14,,G14)</f>
        <v>410</v>
      </c>
      <c r="C14" s="1" cm="1">
        <f t="array" ref="C14">_xll.GetLatestPrice(F14,"Actual","AssessmentDate")</f>
        <v>45826.645833333336</v>
      </c>
      <c r="D14">
        <f t="shared" si="0"/>
        <v>2025</v>
      </c>
      <c r="E14">
        <f t="shared" si="1"/>
        <v>6</v>
      </c>
      <c r="F14" s="9" t="s">
        <v>36</v>
      </c>
      <c r="G14" s="9" t="s">
        <v>11</v>
      </c>
      <c r="H14" s="9" t="s">
        <v>12</v>
      </c>
    </row>
    <row r="15" spans="1:9" x14ac:dyDescent="0.25">
      <c r="A15" t="s">
        <v>37</v>
      </c>
      <c r="B15" s="14" cm="1">
        <f t="array" ref="B15">_xll.GetLatestPrice(F15,,G15)</f>
        <v>620</v>
      </c>
      <c r="C15" s="1" cm="1">
        <f t="array" ref="C15">_xll.GetLatestPrice(F15,"Actual","AssessmentDate")</f>
        <v>45826.645833333336</v>
      </c>
      <c r="D15">
        <f t="shared" si="0"/>
        <v>2025</v>
      </c>
      <c r="E15">
        <f t="shared" si="1"/>
        <v>6</v>
      </c>
      <c r="F15" s="9" t="s">
        <v>38</v>
      </c>
      <c r="G15" s="9" t="s">
        <v>11</v>
      </c>
      <c r="H15" s="9" t="s">
        <v>12</v>
      </c>
    </row>
    <row r="16" spans="1:9" x14ac:dyDescent="0.25">
      <c r="A16" t="s">
        <v>39</v>
      </c>
      <c r="B16" s="14" cm="1">
        <f t="array" ref="B16">_xll.GetLatestPrice(F16,,G16)</f>
        <v>515</v>
      </c>
      <c r="C16" s="1" cm="1">
        <f t="array" ref="C16">_xll.GetLatestPrice(F16,"Actual","AssessmentDate")</f>
        <v>45826.645833333336</v>
      </c>
      <c r="D16">
        <f t="shared" si="0"/>
        <v>2025</v>
      </c>
      <c r="E16">
        <f t="shared" si="1"/>
        <v>6</v>
      </c>
      <c r="F16" s="9" t="s">
        <v>40</v>
      </c>
      <c r="G16" s="9" t="s">
        <v>11</v>
      </c>
      <c r="H16" s="9" t="s">
        <v>12</v>
      </c>
    </row>
    <row r="17" spans="1:8" x14ac:dyDescent="0.25">
      <c r="A17" t="s">
        <v>41</v>
      </c>
      <c r="B17" s="14" cm="1">
        <f t="array" ref="B17">_xll.GetLatestPrice(F17,,G17)</f>
        <v>305</v>
      </c>
      <c r="C17" s="1" cm="1">
        <f t="array" ref="C17">_xll.GetLatestPrice(F17,"Actual","AssessmentDate")</f>
        <v>45826.645833333336</v>
      </c>
      <c r="D17">
        <f t="shared" si="0"/>
        <v>2025</v>
      </c>
      <c r="E17">
        <f t="shared" si="1"/>
        <v>6</v>
      </c>
      <c r="F17" s="9" t="s">
        <v>42</v>
      </c>
      <c r="G17" s="9" t="s">
        <v>11</v>
      </c>
      <c r="H17" s="9" t="s">
        <v>12</v>
      </c>
    </row>
    <row r="18" spans="1:8" x14ac:dyDescent="0.25">
      <c r="A18" t="s">
        <v>43</v>
      </c>
      <c r="B18" s="14" cm="1">
        <f t="array" ref="B18">_xll.GetLatestPrice(F18,,G18)</f>
        <v>260</v>
      </c>
      <c r="C18" s="1" cm="1">
        <f t="array" ref="C18">_xll.GetLatestPrice(F18,"Actual","AssessmentDate")</f>
        <v>45826.645833333336</v>
      </c>
      <c r="D18">
        <f t="shared" si="0"/>
        <v>2025</v>
      </c>
      <c r="E18">
        <f t="shared" si="1"/>
        <v>6</v>
      </c>
      <c r="F18" s="9" t="s">
        <v>44</v>
      </c>
      <c r="G18" s="9" t="s">
        <v>11</v>
      </c>
      <c r="H18" s="9" t="s">
        <v>12</v>
      </c>
    </row>
    <row r="19" spans="1:8" x14ac:dyDescent="0.25">
      <c r="A19" t="s">
        <v>45</v>
      </c>
      <c r="B19" s="14" cm="1">
        <f t="array" ref="B19">_xll.GetLatestPrice(F19,,G19)</f>
        <v>195</v>
      </c>
      <c r="C19" s="1" cm="1">
        <f t="array" ref="C19">_xll.GetLatestPrice(F19,"Actual","AssessmentDate")</f>
        <v>45826.645833333336</v>
      </c>
      <c r="D19">
        <f t="shared" si="0"/>
        <v>2025</v>
      </c>
      <c r="E19">
        <f t="shared" si="1"/>
        <v>6</v>
      </c>
      <c r="F19" s="9" t="s">
        <v>46</v>
      </c>
      <c r="G19" s="9" t="s">
        <v>11</v>
      </c>
      <c r="H19" s="9" t="s">
        <v>12</v>
      </c>
    </row>
    <row r="20" spans="1:8" x14ac:dyDescent="0.25">
      <c r="A20" t="s">
        <v>47</v>
      </c>
      <c r="B20" s="14" cm="1">
        <f t="array" ref="B20">_xll.GetLatestPrice(F20,,G20)</f>
        <v>578</v>
      </c>
      <c r="C20" s="1" cm="1">
        <f t="array" ref="C20">_xll.GetLatestPrice(F20,"Actual","AssessmentDate")</f>
        <v>45826.649791666663</v>
      </c>
      <c r="D20">
        <f t="shared" si="0"/>
        <v>2025</v>
      </c>
      <c r="E20">
        <f t="shared" si="1"/>
        <v>6</v>
      </c>
      <c r="F20" s="9" t="s">
        <v>48</v>
      </c>
      <c r="G20" s="9" t="s">
        <v>11</v>
      </c>
      <c r="H20" s="9" t="s">
        <v>12</v>
      </c>
    </row>
    <row r="21" spans="1:8" x14ac:dyDescent="0.25">
      <c r="A21" t="s">
        <v>49</v>
      </c>
      <c r="B21" s="14" cm="1">
        <f t="array" ref="B21">_xll.GetLatestPrice(F21,,G21)</f>
        <v>556</v>
      </c>
      <c r="C21" s="1" cm="1">
        <f t="array" ref="C21">_xll.GetLatestPrice(F21,"Actual","AssessmentDate")</f>
        <v>45826.649791666663</v>
      </c>
      <c r="D21">
        <f t="shared" si="0"/>
        <v>2025</v>
      </c>
      <c r="E21">
        <f t="shared" si="1"/>
        <v>6</v>
      </c>
      <c r="F21" s="9" t="s">
        <v>50</v>
      </c>
      <c r="G21" s="9" t="s">
        <v>11</v>
      </c>
      <c r="H21" s="9" t="s">
        <v>12</v>
      </c>
    </row>
    <row r="22" spans="1:8" x14ac:dyDescent="0.25">
      <c r="A22" t="s">
        <v>51</v>
      </c>
      <c r="B22" s="14" cm="1">
        <f t="array" ref="B22">_xll.GetLatestPrice(F22,,G22)</f>
        <v>557</v>
      </c>
      <c r="C22" s="1" cm="1">
        <f t="array" ref="C22">_xll.GetLatestPrice(F22,"Actual","AssessmentDate")</f>
        <v>45826.649791666663</v>
      </c>
      <c r="D22">
        <f t="shared" si="0"/>
        <v>2025</v>
      </c>
      <c r="E22">
        <f t="shared" si="1"/>
        <v>6</v>
      </c>
      <c r="F22" s="9" t="s">
        <v>52</v>
      </c>
      <c r="G22" s="9" t="s">
        <v>11</v>
      </c>
      <c r="H22" s="9" t="s">
        <v>12</v>
      </c>
    </row>
    <row r="23" spans="1:8" x14ac:dyDescent="0.25">
      <c r="A23" t="s">
        <v>53</v>
      </c>
      <c r="B23" s="14" cm="1">
        <f t="array" ref="B23">_xll.GetLatestPrice(F23,,G23)</f>
        <v>555</v>
      </c>
      <c r="C23" s="1" cm="1">
        <f t="array" ref="C23">_xll.GetLatestPrice(F23,"Actual","AssessmentDate")</f>
        <v>45826.649791666663</v>
      </c>
      <c r="D23">
        <f t="shared" si="0"/>
        <v>2025</v>
      </c>
      <c r="E23">
        <f t="shared" si="1"/>
        <v>6</v>
      </c>
      <c r="F23" s="9" t="s">
        <v>54</v>
      </c>
      <c r="G23" s="9" t="s">
        <v>11</v>
      </c>
      <c r="H23" s="9" t="s">
        <v>12</v>
      </c>
    </row>
    <row r="24" spans="1:8" x14ac:dyDescent="0.25">
      <c r="A24" t="s">
        <v>55</v>
      </c>
      <c r="B24" s="14" cm="1">
        <f t="array" ref="B24">_xll.GetLatestPrice(F24,,G24)</f>
        <v>495</v>
      </c>
      <c r="C24" s="1" cm="1">
        <f t="array" ref="C24">_xll.GetLatestPrice(F24,"Actual","AssessmentDate")</f>
        <v>45826.645833333336</v>
      </c>
      <c r="D24">
        <f t="shared" si="0"/>
        <v>2025</v>
      </c>
      <c r="E24">
        <f t="shared" si="1"/>
        <v>6</v>
      </c>
      <c r="F24" s="9" t="s">
        <v>56</v>
      </c>
      <c r="G24" s="9" t="s">
        <v>11</v>
      </c>
      <c r="H24" s="9" t="s">
        <v>12</v>
      </c>
    </row>
    <row r="25" spans="1:8" x14ac:dyDescent="0.25">
      <c r="A25" t="s">
        <v>57</v>
      </c>
      <c r="B25" s="14" cm="1">
        <f t="array" ref="B25">_xll.GetLatestPrice(F25,,G25)</f>
        <v>465</v>
      </c>
      <c r="C25" s="1" cm="1">
        <f t="array" ref="C25">_xll.GetLatestPrice(F25,"Actual","AssessmentDate")</f>
        <v>45826.645833333336</v>
      </c>
      <c r="D25">
        <f t="shared" si="0"/>
        <v>2025</v>
      </c>
      <c r="E25">
        <f t="shared" si="1"/>
        <v>6</v>
      </c>
      <c r="F25" s="9" t="s">
        <v>58</v>
      </c>
      <c r="G25" s="9" t="s">
        <v>11</v>
      </c>
      <c r="H25" s="9" t="s">
        <v>12</v>
      </c>
    </row>
    <row r="26" spans="1:8" x14ac:dyDescent="0.25">
      <c r="A26" t="s">
        <v>59</v>
      </c>
      <c r="B26" s="14" cm="1">
        <f t="array" ref="B26">_xll.GetLatestPrice(F26,,G26)</f>
        <v>400</v>
      </c>
      <c r="C26" s="1" cm="1">
        <f t="array" ref="C26">_xll.GetLatestPrice(F26,"Actual","AssessmentDate")</f>
        <v>45826.645833333336</v>
      </c>
      <c r="D26">
        <f t="shared" si="0"/>
        <v>2025</v>
      </c>
      <c r="E26">
        <f t="shared" si="1"/>
        <v>6</v>
      </c>
      <c r="F26" s="9" t="s">
        <v>60</v>
      </c>
      <c r="G26" s="9" t="s">
        <v>11</v>
      </c>
      <c r="H26" s="9" t="s">
        <v>12</v>
      </c>
    </row>
    <row r="27" spans="1:8" x14ac:dyDescent="0.25">
      <c r="A27" t="s">
        <v>61</v>
      </c>
      <c r="B27" s="14" cm="1">
        <f t="array" ref="B27">_xll.GetLatestPrice(F27,,G27)</f>
        <v>425</v>
      </c>
      <c r="C27" s="1" cm="1">
        <f t="array" ref="C27">_xll.GetLatestPrice(F27,"Actual","AssessmentDate")</f>
        <v>45826.645833333336</v>
      </c>
      <c r="D27">
        <f t="shared" si="0"/>
        <v>2025</v>
      </c>
      <c r="E27">
        <f t="shared" si="1"/>
        <v>6</v>
      </c>
      <c r="F27" s="9" t="s">
        <v>62</v>
      </c>
      <c r="G27" s="9" t="s">
        <v>11</v>
      </c>
      <c r="H27" s="9" t="s">
        <v>12</v>
      </c>
    </row>
    <row r="28" spans="1:8" x14ac:dyDescent="0.25">
      <c r="A28" t="s">
        <v>63</v>
      </c>
      <c r="B28" s="14" cm="1">
        <f t="array" ref="B28">_xll.GetLatestPrice(F28,,G28)</f>
        <v>400</v>
      </c>
      <c r="C28" s="1" cm="1">
        <f t="array" ref="C28">_xll.GetLatestPrice(F28,"Actual","AssessmentDate")</f>
        <v>45826.645833333336</v>
      </c>
      <c r="D28">
        <f t="shared" si="0"/>
        <v>2025</v>
      </c>
      <c r="E28">
        <f t="shared" si="1"/>
        <v>6</v>
      </c>
      <c r="F28" s="9" t="s">
        <v>64</v>
      </c>
      <c r="G28" s="9" t="s">
        <v>11</v>
      </c>
      <c r="H28" s="9" t="s">
        <v>12</v>
      </c>
    </row>
    <row r="29" spans="1:8" x14ac:dyDescent="0.25">
      <c r="A29" t="s">
        <v>65</v>
      </c>
      <c r="B29" s="14" cm="1">
        <f t="array" ref="B29">_xll.GetLatestPrice(F29,,G29)</f>
        <v>340</v>
      </c>
      <c r="C29" s="1" cm="1">
        <f t="array" ref="C29">_xll.GetLatestPrice(F29,"Actual","AssessmentDate")</f>
        <v>45826.645833333336</v>
      </c>
      <c r="D29">
        <f t="shared" si="0"/>
        <v>2025</v>
      </c>
      <c r="E29">
        <f t="shared" si="1"/>
        <v>6</v>
      </c>
      <c r="F29" s="9" t="s">
        <v>66</v>
      </c>
      <c r="G29" s="9" t="s">
        <v>11</v>
      </c>
      <c r="H29" s="9" t="s">
        <v>12</v>
      </c>
    </row>
    <row r="30" spans="1:8" x14ac:dyDescent="0.25">
      <c r="A30" t="s">
        <v>67</v>
      </c>
      <c r="B30" s="14" cm="1">
        <f t="array" ref="B30">_xll.GetLatestPrice(F30,,G30)</f>
        <v>285</v>
      </c>
      <c r="C30" s="1" cm="1">
        <f t="array" ref="C30">_xll.GetLatestPrice(F30,"Actual","AssessmentDate")</f>
        <v>45826.645833333336</v>
      </c>
      <c r="D30">
        <f t="shared" si="0"/>
        <v>2025</v>
      </c>
      <c r="E30">
        <f t="shared" si="1"/>
        <v>6</v>
      </c>
      <c r="F30" s="9" t="s">
        <v>68</v>
      </c>
      <c r="G30" s="9" t="s">
        <v>11</v>
      </c>
      <c r="H30" s="9" t="s">
        <v>12</v>
      </c>
    </row>
    <row r="31" spans="1:8" x14ac:dyDescent="0.25">
      <c r="A31" t="s">
        <v>69</v>
      </c>
      <c r="B31" s="14" cm="1">
        <f t="array" ref="B31">_xll.GetLatestPrice(F31,,G31)</f>
        <v>210</v>
      </c>
      <c r="C31" s="1" cm="1">
        <f t="array" ref="C31">_xll.GetLatestPrice(F31,"Actual","AssessmentDate")</f>
        <v>45826.645833333336</v>
      </c>
      <c r="D31">
        <f t="shared" si="0"/>
        <v>2025</v>
      </c>
      <c r="E31">
        <f t="shared" si="1"/>
        <v>6</v>
      </c>
      <c r="F31" s="9" t="s">
        <v>70</v>
      </c>
      <c r="G31" s="9" t="s">
        <v>11</v>
      </c>
      <c r="H31" s="9" t="s">
        <v>12</v>
      </c>
    </row>
    <row r="32" spans="1:8" x14ac:dyDescent="0.25">
      <c r="A32" t="s">
        <v>71</v>
      </c>
      <c r="B32" s="14" cm="1">
        <f t="array" ref="B32">_xll.GetLatestPrice(F32,,G32)</f>
        <v>210</v>
      </c>
      <c r="C32" s="1" cm="1">
        <f t="array" ref="C32">_xll.GetLatestPrice(F32,"Actual","AssessmentDate")</f>
        <v>45826.645833333336</v>
      </c>
      <c r="D32">
        <f t="shared" si="0"/>
        <v>2025</v>
      </c>
      <c r="E32">
        <f t="shared" si="1"/>
        <v>6</v>
      </c>
      <c r="F32" s="9" t="s">
        <v>72</v>
      </c>
      <c r="G32" s="9" t="s">
        <v>11</v>
      </c>
      <c r="H32" s="9" t="s">
        <v>12</v>
      </c>
    </row>
    <row r="33" spans="1:8" x14ac:dyDescent="0.25">
      <c r="A33" t="s">
        <v>73</v>
      </c>
      <c r="B33" s="14" cm="1">
        <f t="array" ref="B33">_xll.GetLatestPrice(F33,,G33)</f>
        <v>210</v>
      </c>
      <c r="C33" s="1" cm="1">
        <f t="array" ref="C33">_xll.GetLatestPrice(F33,"Actual","AssessmentDate")</f>
        <v>45826.645833333336</v>
      </c>
      <c r="D33">
        <f t="shared" si="0"/>
        <v>2025</v>
      </c>
      <c r="E33">
        <f t="shared" si="1"/>
        <v>6</v>
      </c>
      <c r="F33" s="9" t="s">
        <v>74</v>
      </c>
      <c r="G33" s="9" t="s">
        <v>11</v>
      </c>
      <c r="H33" s="9" t="s">
        <v>12</v>
      </c>
    </row>
    <row r="34" spans="1:8" x14ac:dyDescent="0.25">
      <c r="A34" t="s">
        <v>75</v>
      </c>
      <c r="B34" s="14" cm="1">
        <f t="array" ref="B34">_xll.GetLatestPrice(F34,,G34)</f>
        <v>380</v>
      </c>
      <c r="C34" s="1" cm="1">
        <f t="array" ref="C34">_xll.GetLatestPrice(F34,"Actual","AssessmentDate")</f>
        <v>45826.645833333336</v>
      </c>
      <c r="D34">
        <f t="shared" si="0"/>
        <v>2025</v>
      </c>
      <c r="E34">
        <f t="shared" si="1"/>
        <v>6</v>
      </c>
      <c r="F34" s="9" t="s">
        <v>76</v>
      </c>
      <c r="G34" s="9" t="s">
        <v>11</v>
      </c>
      <c r="H34" s="9" t="s">
        <v>12</v>
      </c>
    </row>
    <row r="35" spans="1:8" x14ac:dyDescent="0.25">
      <c r="A35" t="s">
        <v>77</v>
      </c>
      <c r="B35" s="14" cm="1">
        <f t="array" ref="B35">_xll.GetLatestPrice(F35,,G35)</f>
        <v>465</v>
      </c>
      <c r="C35" s="1" cm="1">
        <f t="array" ref="C35">_xll.GetLatestPrice(F35,"Actual","AssessmentDate")</f>
        <v>45826.645833333336</v>
      </c>
      <c r="D35">
        <f t="shared" si="0"/>
        <v>2025</v>
      </c>
      <c r="E35">
        <f t="shared" si="1"/>
        <v>6</v>
      </c>
      <c r="F35" s="9" t="s">
        <v>78</v>
      </c>
      <c r="G35" s="9" t="s">
        <v>11</v>
      </c>
      <c r="H35" s="9" t="s">
        <v>12</v>
      </c>
    </row>
    <row r="36" spans="1:8" x14ac:dyDescent="0.25">
      <c r="A36" t="s">
        <v>79</v>
      </c>
      <c r="B36" s="14" cm="1">
        <f t="array" ref="B36">_xll.GetLatestPrice(F36,,G36)</f>
        <v>415</v>
      </c>
      <c r="C36" s="1" cm="1">
        <f t="array" ref="C36">_xll.GetLatestPrice(F36,"Actual","AssessmentDate")</f>
        <v>45826.645833333336</v>
      </c>
      <c r="D36">
        <f t="shared" si="0"/>
        <v>2025</v>
      </c>
      <c r="E36">
        <f t="shared" si="1"/>
        <v>6</v>
      </c>
      <c r="F36" s="9" t="s">
        <v>80</v>
      </c>
      <c r="G36" s="9" t="s">
        <v>11</v>
      </c>
      <c r="H36" s="9" t="s">
        <v>12</v>
      </c>
    </row>
    <row r="37" spans="1:8" x14ac:dyDescent="0.25">
      <c r="A37" t="s">
        <v>81</v>
      </c>
      <c r="B37" s="14" cm="1">
        <f t="array" ref="B37">_xll.GetLatestPrice(F37,,G37)</f>
        <v>10</v>
      </c>
      <c r="C37" s="1" cm="1">
        <f t="array" ref="C37">_xll.GetLatestPrice(F37,"Actual","AssessmentDate")</f>
        <v>45434.605520833335</v>
      </c>
      <c r="D37">
        <f t="shared" si="0"/>
        <v>2024</v>
      </c>
      <c r="E37">
        <f t="shared" si="1"/>
        <v>5</v>
      </c>
      <c r="F37" s="9" t="s">
        <v>82</v>
      </c>
      <c r="G37" s="9" t="s">
        <v>11</v>
      </c>
      <c r="H37" s="9" t="s">
        <v>12</v>
      </c>
    </row>
    <row r="38" spans="1:8" x14ac:dyDescent="0.25">
      <c r="A38" t="s">
        <v>83</v>
      </c>
      <c r="B38" s="14" cm="1">
        <f t="array" ref="B38">_xll.GetLatestPrice(F38,,G38)</f>
        <v>195</v>
      </c>
      <c r="C38" s="1" cm="1">
        <f t="array" ref="C38">_xll.GetLatestPrice(F38,"Actual","AssessmentDate")</f>
        <v>45826.645833333336</v>
      </c>
      <c r="D38">
        <f t="shared" si="0"/>
        <v>2025</v>
      </c>
      <c r="E38">
        <f t="shared" si="1"/>
        <v>6</v>
      </c>
      <c r="F38" s="9" t="s">
        <v>84</v>
      </c>
      <c r="G38" s="9" t="s">
        <v>11</v>
      </c>
      <c r="H38" s="9" t="s">
        <v>12</v>
      </c>
    </row>
    <row r="39" spans="1:8" x14ac:dyDescent="0.25">
      <c r="A39" t="s">
        <v>85</v>
      </c>
      <c r="B39" s="14" cm="1">
        <f t="array" ref="B39">_xll.GetLatestPrice(F39,,G39)</f>
        <v>445</v>
      </c>
      <c r="C39" s="1" cm="1">
        <f t="array" ref="C39">_xll.GetLatestPrice(F39,"Actual","AssessmentDate")</f>
        <v>45826.649791666663</v>
      </c>
      <c r="D39">
        <f t="shared" si="0"/>
        <v>2025</v>
      </c>
      <c r="E39">
        <f t="shared" si="1"/>
        <v>6</v>
      </c>
      <c r="F39" s="9" t="s">
        <v>86</v>
      </c>
      <c r="G39" s="9" t="s">
        <v>11</v>
      </c>
      <c r="H39" s="9" t="s">
        <v>12</v>
      </c>
    </row>
    <row r="40" spans="1:8" x14ac:dyDescent="0.25">
      <c r="A40" t="s">
        <v>87</v>
      </c>
      <c r="B40" s="14" cm="1">
        <f t="array" ref="B40">_xll.GetLatestPrice(F40,,G40)</f>
        <v>392</v>
      </c>
      <c r="C40" s="1" cm="1">
        <f t="array" ref="C40">_xll.GetLatestPrice(F40,"Actual","AssessmentDate")</f>
        <v>45826.649791666663</v>
      </c>
      <c r="D40">
        <f t="shared" si="0"/>
        <v>2025</v>
      </c>
      <c r="E40">
        <f t="shared" si="1"/>
        <v>6</v>
      </c>
      <c r="F40" s="9" t="s">
        <v>88</v>
      </c>
      <c r="G40" s="9" t="s">
        <v>11</v>
      </c>
      <c r="H40" s="9" t="s">
        <v>12</v>
      </c>
    </row>
    <row r="41" spans="1:8" x14ac:dyDescent="0.25">
      <c r="A41" t="s">
        <v>89</v>
      </c>
      <c r="B41" s="14" cm="1">
        <f t="array" ref="B41">_xll.GetLatestPrice(F41,,G41)</f>
        <v>405</v>
      </c>
      <c r="C41" s="1" cm="1">
        <f t="array" ref="C41">_xll.GetLatestPrice(F41,"Actual","AssessmentDate")</f>
        <v>45826.649791666663</v>
      </c>
      <c r="D41">
        <f t="shared" si="0"/>
        <v>2025</v>
      </c>
      <c r="E41">
        <f t="shared" si="1"/>
        <v>6</v>
      </c>
      <c r="F41" s="9" t="s">
        <v>90</v>
      </c>
      <c r="G41" s="9" t="s">
        <v>11</v>
      </c>
      <c r="H41" s="9" t="s">
        <v>12</v>
      </c>
    </row>
    <row r="42" spans="1:8" x14ac:dyDescent="0.25">
      <c r="A42" t="s">
        <v>91</v>
      </c>
      <c r="B42" s="14" cm="1">
        <f t="array" ref="B42">_xll.GetLatestPrice(F42,,G42)</f>
        <v>465</v>
      </c>
      <c r="C42" s="1" cm="1">
        <f t="array" ref="C42">_xll.GetLatestPrice(F42,"Actual","AssessmentDate")</f>
        <v>45826.645833333336</v>
      </c>
      <c r="D42">
        <f t="shared" si="0"/>
        <v>2025</v>
      </c>
      <c r="E42">
        <f t="shared" si="1"/>
        <v>6</v>
      </c>
      <c r="F42" s="9" t="s">
        <v>92</v>
      </c>
      <c r="G42" s="9" t="s">
        <v>11</v>
      </c>
      <c r="H42" s="9" t="s">
        <v>12</v>
      </c>
    </row>
    <row r="43" spans="1:8" x14ac:dyDescent="0.25">
      <c r="A43" t="s">
        <v>93</v>
      </c>
      <c r="B43" s="14" cm="1">
        <f t="array" ref="B43">_xll.GetLatestPrice(F43,,G43)</f>
        <v>405</v>
      </c>
      <c r="C43" s="1" cm="1">
        <f t="array" ref="C43">_xll.GetLatestPrice(F43,"Actual","AssessmentDate")</f>
        <v>45826.645833333336</v>
      </c>
      <c r="D43">
        <f t="shared" si="0"/>
        <v>2025</v>
      </c>
      <c r="E43">
        <f t="shared" si="1"/>
        <v>6</v>
      </c>
      <c r="F43" s="9" t="s">
        <v>94</v>
      </c>
      <c r="G43" s="9" t="s">
        <v>11</v>
      </c>
      <c r="H43" s="9" t="s">
        <v>12</v>
      </c>
    </row>
    <row r="44" spans="1:8" x14ac:dyDescent="0.25">
      <c r="A44" t="s">
        <v>95</v>
      </c>
      <c r="B44" s="14" cm="1">
        <f t="array" ref="B44">_xll.GetLatestPrice(F44,,G44)</f>
        <v>425</v>
      </c>
      <c r="C44" s="1" cm="1">
        <f t="array" ref="C44">_xll.GetLatestPrice(F44,"Actual","AssessmentDate")</f>
        <v>45826.645833333336</v>
      </c>
      <c r="D44">
        <f t="shared" si="0"/>
        <v>2025</v>
      </c>
      <c r="E44">
        <f t="shared" si="1"/>
        <v>6</v>
      </c>
      <c r="F44" s="9" t="s">
        <v>96</v>
      </c>
      <c r="G44" s="9" t="s">
        <v>11</v>
      </c>
      <c r="H44" s="9" t="s">
        <v>12</v>
      </c>
    </row>
    <row r="45" spans="1:8" x14ac:dyDescent="0.25">
      <c r="A45" t="s">
        <v>97</v>
      </c>
      <c r="B45" s="14" cm="1">
        <f t="array" ref="B45">_xll.GetLatestPrice(F45,,G45)</f>
        <v>400</v>
      </c>
      <c r="C45" s="1" cm="1">
        <f t="array" ref="C45">_xll.GetLatestPrice(F45,"Actual","AssessmentDate")</f>
        <v>45826.645833333336</v>
      </c>
      <c r="D45">
        <f t="shared" si="0"/>
        <v>2025</v>
      </c>
      <c r="E45">
        <f t="shared" si="1"/>
        <v>6</v>
      </c>
      <c r="F45" s="9" t="s">
        <v>98</v>
      </c>
      <c r="G45" s="9" t="s">
        <v>11</v>
      </c>
      <c r="H45" s="9" t="s">
        <v>12</v>
      </c>
    </row>
    <row r="46" spans="1:8" x14ac:dyDescent="0.25">
      <c r="A46" t="s">
        <v>99</v>
      </c>
      <c r="B46" s="14" cm="1">
        <f t="array" ref="B46">_xll.GetLatestPrice(F46,,G46)</f>
        <v>340</v>
      </c>
      <c r="C46" s="1" cm="1">
        <f t="array" ref="C46">_xll.GetLatestPrice(F46,"Actual","AssessmentDate")</f>
        <v>45826.645833333336</v>
      </c>
      <c r="D46">
        <f t="shared" si="0"/>
        <v>2025</v>
      </c>
      <c r="E46">
        <f t="shared" si="1"/>
        <v>6</v>
      </c>
      <c r="F46" s="9" t="s">
        <v>100</v>
      </c>
      <c r="G46" s="9" t="s">
        <v>11</v>
      </c>
      <c r="H46" s="9" t="s">
        <v>12</v>
      </c>
    </row>
    <row r="47" spans="1:8" x14ac:dyDescent="0.25">
      <c r="A47" t="s">
        <v>101</v>
      </c>
      <c r="B47" s="14" cm="1">
        <f t="array" ref="B47">_xll.GetLatestPrice(F47,,G47)</f>
        <v>265</v>
      </c>
      <c r="C47" s="1" cm="1">
        <f t="array" ref="C47">_xll.GetLatestPrice(F47,"Actual","AssessmentDate")</f>
        <v>45826.645833333336</v>
      </c>
      <c r="D47">
        <f t="shared" si="0"/>
        <v>2025</v>
      </c>
      <c r="E47">
        <f t="shared" si="1"/>
        <v>6</v>
      </c>
      <c r="F47" s="9" t="s">
        <v>102</v>
      </c>
      <c r="G47" s="9" t="s">
        <v>11</v>
      </c>
      <c r="H47" s="9" t="s">
        <v>12</v>
      </c>
    </row>
    <row r="48" spans="1:8" x14ac:dyDescent="0.25">
      <c r="A48" t="s">
        <v>103</v>
      </c>
      <c r="B48" s="14" cm="1">
        <f t="array" ref="B48">_xll.GetLatestPrice(F48,,G48)</f>
        <v>215</v>
      </c>
      <c r="C48" s="1" cm="1">
        <f t="array" ref="C48">_xll.GetLatestPrice(F48,"Actual","AssessmentDate")</f>
        <v>45826.645833333336</v>
      </c>
      <c r="D48">
        <f t="shared" si="0"/>
        <v>2025</v>
      </c>
      <c r="E48">
        <f t="shared" si="1"/>
        <v>6</v>
      </c>
      <c r="F48" s="9" t="s">
        <v>104</v>
      </c>
      <c r="G48" s="9" t="s">
        <v>11</v>
      </c>
      <c r="H48" s="9" t="s">
        <v>12</v>
      </c>
    </row>
    <row r="49" spans="1:8" x14ac:dyDescent="0.25">
      <c r="A49" t="s">
        <v>105</v>
      </c>
      <c r="B49" s="14" cm="1">
        <f t="array" ref="B49">_xll.GetLatestPrice(F49,,G49)</f>
        <v>215</v>
      </c>
      <c r="C49" s="1" cm="1">
        <f t="array" ref="C49">_xll.GetLatestPrice(F49,"Actual","AssessmentDate")</f>
        <v>45826.645833333336</v>
      </c>
      <c r="D49">
        <f t="shared" si="0"/>
        <v>2025</v>
      </c>
      <c r="E49">
        <f t="shared" si="1"/>
        <v>6</v>
      </c>
      <c r="F49" s="9" t="s">
        <v>106</v>
      </c>
      <c r="G49" s="9" t="s">
        <v>11</v>
      </c>
      <c r="H49" s="9" t="s">
        <v>12</v>
      </c>
    </row>
    <row r="50" spans="1:8" x14ac:dyDescent="0.25">
      <c r="A50" t="s">
        <v>107</v>
      </c>
      <c r="B50" s="14" cm="1">
        <f t="array" ref="B50">_xll.GetLatestPrice(F50,,G50)</f>
        <v>215</v>
      </c>
      <c r="C50" s="1" cm="1">
        <f t="array" ref="C50">_xll.GetLatestPrice(F50,"Actual","AssessmentDate")</f>
        <v>45826.645833333336</v>
      </c>
      <c r="D50">
        <f t="shared" si="0"/>
        <v>2025</v>
      </c>
      <c r="E50">
        <f t="shared" si="1"/>
        <v>6</v>
      </c>
      <c r="F50" s="9" t="s">
        <v>108</v>
      </c>
      <c r="G50" s="9" t="s">
        <v>11</v>
      </c>
      <c r="H50" s="9" t="s">
        <v>12</v>
      </c>
    </row>
    <row r="51" spans="1:8" x14ac:dyDescent="0.25">
      <c r="A51" t="s">
        <v>109</v>
      </c>
      <c r="B51" s="14" cm="1">
        <f t="array" ref="B51">_xll.GetLatestPrice(F51,,G51)</f>
        <v>465</v>
      </c>
      <c r="C51" s="1" cm="1">
        <f t="array" ref="C51">_xll.GetLatestPrice(F51,"Actual","AssessmentDate")</f>
        <v>45826.645833333336</v>
      </c>
      <c r="D51">
        <f t="shared" si="0"/>
        <v>2025</v>
      </c>
      <c r="E51">
        <f t="shared" si="1"/>
        <v>6</v>
      </c>
      <c r="F51" s="9" t="s">
        <v>110</v>
      </c>
      <c r="G51" s="9" t="s">
        <v>11</v>
      </c>
      <c r="H51" s="9" t="s">
        <v>12</v>
      </c>
    </row>
    <row r="52" spans="1:8" x14ac:dyDescent="0.25">
      <c r="A52" t="s">
        <v>111</v>
      </c>
      <c r="B52" s="14" cm="1">
        <f t="array" ref="B52">_xll.GetLatestPrice(F52,,G52)</f>
        <v>20</v>
      </c>
      <c r="C52" s="1" cm="1">
        <f t="array" ref="C52">_xll.GetLatestPrice(F52,"Actual","AssessmentDate")</f>
        <v>45434.605520833335</v>
      </c>
      <c r="D52">
        <f t="shared" si="0"/>
        <v>2024</v>
      </c>
      <c r="E52">
        <f t="shared" si="1"/>
        <v>5</v>
      </c>
      <c r="F52" s="9" t="s">
        <v>82</v>
      </c>
      <c r="G52" s="9" t="s">
        <v>112</v>
      </c>
      <c r="H52" s="9" t="s">
        <v>12</v>
      </c>
    </row>
    <row r="53" spans="1:8" x14ac:dyDescent="0.25">
      <c r="A53" t="s">
        <v>113</v>
      </c>
      <c r="B53" s="14" cm="1">
        <f t="array" ref="B53">_xll.GetLatestPrice(F53,,G53)</f>
        <v>195</v>
      </c>
      <c r="C53" s="1" cm="1">
        <f t="array" ref="C53">_xll.GetLatestPrice(F53,"Actual","AssessmentDate")</f>
        <v>45826.645833333336</v>
      </c>
      <c r="D53">
        <f t="shared" si="0"/>
        <v>2025</v>
      </c>
      <c r="E53">
        <f t="shared" si="1"/>
        <v>6</v>
      </c>
      <c r="F53" s="9" t="s">
        <v>114</v>
      </c>
      <c r="G53" s="9" t="s">
        <v>11</v>
      </c>
      <c r="H53" s="9" t="s">
        <v>12</v>
      </c>
    </row>
    <row r="54" spans="1:8" x14ac:dyDescent="0.25">
      <c r="A54" t="s">
        <v>115</v>
      </c>
      <c r="B54" s="14" cm="1">
        <f t="array" ref="B54">_xll.GetLatestPrice(F54,,G54)</f>
        <v>490</v>
      </c>
      <c r="C54" s="1" cm="1">
        <f t="array" ref="C54">_xll.GetLatestPrice(F54,"Actual","AssessmentDate")</f>
        <v>45826.645833333336</v>
      </c>
      <c r="D54">
        <f t="shared" si="0"/>
        <v>2025</v>
      </c>
      <c r="E54">
        <f t="shared" si="1"/>
        <v>6</v>
      </c>
      <c r="F54" s="9" t="s">
        <v>116</v>
      </c>
      <c r="G54" s="9" t="s">
        <v>11</v>
      </c>
      <c r="H54" s="9" t="s">
        <v>12</v>
      </c>
    </row>
    <row r="55" spans="1:8" x14ac:dyDescent="0.25">
      <c r="A55" t="s">
        <v>117</v>
      </c>
      <c r="B55" s="14" cm="1">
        <f t="array" ref="B55">_xll.GetLatestPrice(F55,,G55)</f>
        <v>470</v>
      </c>
      <c r="C55" s="1" cm="1">
        <f t="array" ref="C55">_xll.GetLatestPrice(F55,"Actual","AssessmentDate")</f>
        <v>45826.645833333336</v>
      </c>
      <c r="D55">
        <f t="shared" si="0"/>
        <v>2025</v>
      </c>
      <c r="E55">
        <f t="shared" si="1"/>
        <v>6</v>
      </c>
      <c r="F55" s="9" t="s">
        <v>118</v>
      </c>
      <c r="G55" s="9" t="s">
        <v>11</v>
      </c>
      <c r="H55" s="9" t="s">
        <v>12</v>
      </c>
    </row>
    <row r="56" spans="1:8" x14ac:dyDescent="0.25">
      <c r="A56" t="s">
        <v>119</v>
      </c>
      <c r="B56" s="14" cm="1">
        <f t="array" ref="B56">_xll.GetLatestPrice(F56,,G56)</f>
        <v>655</v>
      </c>
      <c r="C56" s="1" cm="1">
        <f t="array" ref="C56">_xll.GetLatestPrice(F56,"Actual","AssessmentDate")</f>
        <v>45826.645833333336</v>
      </c>
      <c r="D56">
        <f t="shared" si="0"/>
        <v>2025</v>
      </c>
      <c r="E56">
        <f t="shared" si="1"/>
        <v>6</v>
      </c>
      <c r="F56" s="9" t="s">
        <v>120</v>
      </c>
      <c r="G56" s="9" t="s">
        <v>11</v>
      </c>
      <c r="H56" s="9" t="s">
        <v>12</v>
      </c>
    </row>
    <row r="57" spans="1:8" x14ac:dyDescent="0.25">
      <c r="A57" t="s">
        <v>121</v>
      </c>
      <c r="B57" s="14" cm="1">
        <f t="array" ref="B57">_xll.GetLatestPrice(F57,,G57)</f>
        <v>560</v>
      </c>
      <c r="C57" s="1" cm="1">
        <f t="array" ref="C57">_xll.GetLatestPrice(F57,"Actual","AssessmentDate")</f>
        <v>45826.645833333336</v>
      </c>
      <c r="D57">
        <f t="shared" si="0"/>
        <v>2025</v>
      </c>
      <c r="E57">
        <f t="shared" si="1"/>
        <v>6</v>
      </c>
      <c r="F57" s="9" t="s">
        <v>122</v>
      </c>
      <c r="G57" s="9" t="s">
        <v>11</v>
      </c>
      <c r="H57" s="9" t="s">
        <v>12</v>
      </c>
    </row>
    <row r="58" spans="1:8" x14ac:dyDescent="0.25">
      <c r="A58" t="s">
        <v>123</v>
      </c>
      <c r="B58" s="14" cm="1">
        <f t="array" ref="B58">_xll.GetLatestPrice(F58,,G58)</f>
        <v>370</v>
      </c>
      <c r="C58" s="1" cm="1">
        <f t="array" ref="C58">_xll.GetLatestPrice(F58,"Actual","AssessmentDate")</f>
        <v>45826.645833333336</v>
      </c>
      <c r="D58">
        <f t="shared" si="0"/>
        <v>2025</v>
      </c>
      <c r="E58">
        <f t="shared" si="1"/>
        <v>6</v>
      </c>
      <c r="F58" s="9" t="s">
        <v>124</v>
      </c>
      <c r="G58" s="9" t="s">
        <v>11</v>
      </c>
      <c r="H58" s="9" t="s">
        <v>12</v>
      </c>
    </row>
    <row r="59" spans="1:8" x14ac:dyDescent="0.25">
      <c r="A59" t="s">
        <v>125</v>
      </c>
      <c r="B59" s="14" cm="1">
        <f t="array" ref="B59">_xll.GetLatestPrice(F59,,G59)</f>
        <v>330</v>
      </c>
      <c r="C59" s="1" cm="1">
        <f t="array" ref="C59">_xll.GetLatestPrice(F59,"Actual","AssessmentDate")</f>
        <v>45826.645833333336</v>
      </c>
      <c r="D59">
        <f t="shared" si="0"/>
        <v>2025</v>
      </c>
      <c r="E59">
        <f t="shared" si="1"/>
        <v>6</v>
      </c>
      <c r="F59" s="9" t="s">
        <v>126</v>
      </c>
      <c r="G59" s="9" t="s">
        <v>11</v>
      </c>
      <c r="H59" s="9" t="s">
        <v>12</v>
      </c>
    </row>
    <row r="60" spans="1:8" x14ac:dyDescent="0.25">
      <c r="A60" t="s">
        <v>127</v>
      </c>
      <c r="B60" s="14" cm="1">
        <f t="array" ref="B60">_xll.GetLatestPrice(F60,,G60)</f>
        <v>210</v>
      </c>
      <c r="C60" s="1" cm="1">
        <f t="array" ref="C60">_xll.GetLatestPrice(F60,"Actual","AssessmentDate")</f>
        <v>45826.645833333336</v>
      </c>
      <c r="D60">
        <f t="shared" si="0"/>
        <v>2025</v>
      </c>
      <c r="E60">
        <f t="shared" si="1"/>
        <v>6</v>
      </c>
      <c r="F60" s="9" t="s">
        <v>128</v>
      </c>
      <c r="G60" s="9" t="s">
        <v>11</v>
      </c>
      <c r="H60" s="9" t="s">
        <v>12</v>
      </c>
    </row>
    <row r="61" spans="1:8" x14ac:dyDescent="0.25">
      <c r="A61" t="s">
        <v>129</v>
      </c>
      <c r="B61" s="14" cm="1">
        <f t="array" ref="B61">_xll.GetLatestPrice(F61,,G61)</f>
        <v>210</v>
      </c>
      <c r="C61" s="1" cm="1">
        <f t="array" ref="C61">_xll.GetLatestPrice(F61,"Actual","AssessmentDate")</f>
        <v>45826.645833333336</v>
      </c>
      <c r="D61">
        <f t="shared" si="0"/>
        <v>2025</v>
      </c>
      <c r="E61">
        <f t="shared" si="1"/>
        <v>6</v>
      </c>
      <c r="F61" s="9" t="s">
        <v>130</v>
      </c>
      <c r="G61" s="9" t="s">
        <v>11</v>
      </c>
      <c r="H61" s="9" t="s">
        <v>12</v>
      </c>
    </row>
    <row r="62" spans="1:8" x14ac:dyDescent="0.25">
      <c r="A62" t="s">
        <v>131</v>
      </c>
      <c r="B62" s="14" cm="1">
        <f t="array" ref="B62">_xll.GetLatestPrice(F62,,G62)</f>
        <v>220</v>
      </c>
      <c r="C62" s="1" cm="1">
        <f t="array" ref="C62">_xll.GetLatestPrice(F62,"Actual","AssessmentDate")</f>
        <v>45826.645833333336</v>
      </c>
      <c r="D62">
        <f t="shared" si="0"/>
        <v>2025</v>
      </c>
      <c r="E62">
        <f t="shared" si="1"/>
        <v>6</v>
      </c>
      <c r="F62" s="9" t="s">
        <v>132</v>
      </c>
      <c r="G62" s="9" t="s">
        <v>11</v>
      </c>
      <c r="H62" s="9" t="s">
        <v>12</v>
      </c>
    </row>
    <row r="63" spans="1:8" x14ac:dyDescent="0.25">
      <c r="A63" t="s">
        <v>133</v>
      </c>
      <c r="B63" s="14" cm="1">
        <f t="array" ref="B63">_xll.GetLatestPrice(F63,,G63)</f>
        <v>420</v>
      </c>
      <c r="C63" s="1" cm="1">
        <f t="array" ref="C63">_xll.GetLatestPrice(F63,"Actual","AssessmentDate")</f>
        <v>45826.645833333336</v>
      </c>
      <c r="D63">
        <f t="shared" si="0"/>
        <v>2025</v>
      </c>
      <c r="E63">
        <f t="shared" si="1"/>
        <v>6</v>
      </c>
      <c r="F63" s="9" t="s">
        <v>134</v>
      </c>
      <c r="G63" s="9" t="s">
        <v>11</v>
      </c>
      <c r="H63" s="9" t="s">
        <v>12</v>
      </c>
    </row>
    <row r="64" spans="1:8" x14ac:dyDescent="0.25">
      <c r="A64" t="s">
        <v>135</v>
      </c>
      <c r="B64" s="14" cm="1">
        <f t="array" ref="B64">_xll.GetLatestPrice(F64,,G64)</f>
        <v>635</v>
      </c>
      <c r="C64" s="1" cm="1">
        <f t="array" ref="C64">_xll.GetLatestPrice(F64,"Actual","AssessmentDate")</f>
        <v>45826.647499999999</v>
      </c>
      <c r="D64">
        <f t="shared" si="0"/>
        <v>2025</v>
      </c>
      <c r="E64">
        <f t="shared" si="1"/>
        <v>6</v>
      </c>
      <c r="F64" s="9" t="s">
        <v>136</v>
      </c>
      <c r="G64" s="9" t="s">
        <v>11</v>
      </c>
      <c r="H64" s="9" t="s">
        <v>12</v>
      </c>
    </row>
    <row r="65" spans="1:8" x14ac:dyDescent="0.25">
      <c r="A65" t="s">
        <v>137</v>
      </c>
      <c r="B65" s="14" cm="1">
        <f t="array" ref="B65">_xll.GetLatestPrice(F65,,G65)</f>
        <v>590</v>
      </c>
      <c r="C65" s="1" cm="1">
        <f t="array" ref="C65">_xll.GetLatestPrice(F65,"Actual","AssessmentDate")</f>
        <v>45826.647499999999</v>
      </c>
      <c r="D65">
        <f t="shared" si="0"/>
        <v>2025</v>
      </c>
      <c r="E65">
        <f t="shared" si="1"/>
        <v>6</v>
      </c>
      <c r="F65" s="9" t="s">
        <v>138</v>
      </c>
      <c r="G65" s="9" t="s">
        <v>11</v>
      </c>
      <c r="H65" s="9" t="s">
        <v>12</v>
      </c>
    </row>
    <row r="66" spans="1:8" x14ac:dyDescent="0.25">
      <c r="A66" t="s">
        <v>139</v>
      </c>
      <c r="B66" s="14" cm="1">
        <f t="array" ref="B66">_xll.GetLatestPrice(F66,,G66)</f>
        <v>585</v>
      </c>
      <c r="C66" s="1" cm="1">
        <f t="array" ref="C66">_xll.GetLatestPrice(F66,"Actual","AssessmentDate")</f>
        <v>45826.647499999999</v>
      </c>
      <c r="D66">
        <f t="shared" si="0"/>
        <v>2025</v>
      </c>
      <c r="E66">
        <f t="shared" si="1"/>
        <v>6</v>
      </c>
      <c r="F66" s="9" t="s">
        <v>140</v>
      </c>
      <c r="G66" s="9" t="s">
        <v>11</v>
      </c>
      <c r="H66" s="9" t="s">
        <v>12</v>
      </c>
    </row>
    <row r="67" spans="1:8" x14ac:dyDescent="0.25">
      <c r="A67" t="s">
        <v>141</v>
      </c>
      <c r="B67" s="14" cm="1">
        <f t="array" ref="B67">_xll.GetLatestPrice(F67,,G67)</f>
        <v>780</v>
      </c>
      <c r="C67" s="1" cm="1">
        <f t="array" ref="C67">_xll.GetLatestPrice(F67,"Actual","AssessmentDate")</f>
        <v>45826.647499999999</v>
      </c>
      <c r="D67">
        <f t="shared" ref="D67:D130" si="2">YEAR(C67)</f>
        <v>2025</v>
      </c>
      <c r="E67">
        <f t="shared" ref="E67:E130" si="3">MONTH(C67)</f>
        <v>6</v>
      </c>
      <c r="F67" s="9" t="s">
        <v>142</v>
      </c>
      <c r="G67" s="9" t="s">
        <v>11</v>
      </c>
      <c r="H67" s="9" t="s">
        <v>12</v>
      </c>
    </row>
    <row r="68" spans="1:8" x14ac:dyDescent="0.25">
      <c r="A68" t="s">
        <v>143</v>
      </c>
      <c r="B68" s="14" cm="1">
        <f t="array" ref="B68">_xll.GetLatestPrice(F68,,G68)</f>
        <v>675</v>
      </c>
      <c r="C68" s="1" cm="1">
        <f t="array" ref="C68">_xll.GetLatestPrice(F68,"Actual","AssessmentDate")</f>
        <v>45826.647499999999</v>
      </c>
      <c r="D68">
        <f t="shared" si="2"/>
        <v>2025</v>
      </c>
      <c r="E68">
        <f t="shared" si="3"/>
        <v>6</v>
      </c>
      <c r="F68" s="9" t="s">
        <v>144</v>
      </c>
      <c r="G68" s="9" t="s">
        <v>11</v>
      </c>
      <c r="H68" s="9" t="s">
        <v>12</v>
      </c>
    </row>
    <row r="69" spans="1:8" x14ac:dyDescent="0.25">
      <c r="A69" t="s">
        <v>145</v>
      </c>
      <c r="B69" s="14" cm="1">
        <f t="array" ref="B69">_xll.GetLatestPrice(F69,,G69)</f>
        <v>584</v>
      </c>
      <c r="C69" s="1" cm="1">
        <f t="array" ref="C69">_xll.GetLatestPrice(F69,"Actual","AssessmentDate")</f>
        <v>45826.649791666663</v>
      </c>
      <c r="D69">
        <f t="shared" si="2"/>
        <v>2025</v>
      </c>
      <c r="E69">
        <f t="shared" si="3"/>
        <v>6</v>
      </c>
      <c r="F69" s="9" t="s">
        <v>146</v>
      </c>
      <c r="G69" s="9" t="s">
        <v>11</v>
      </c>
      <c r="H69" s="9" t="s">
        <v>12</v>
      </c>
    </row>
    <row r="70" spans="1:8" x14ac:dyDescent="0.25">
      <c r="A70" t="s">
        <v>147</v>
      </c>
      <c r="B70" s="14" cm="1">
        <f t="array" ref="B70">_xll.GetLatestPrice(F70,,G70)</f>
        <v>559</v>
      </c>
      <c r="C70" s="1" cm="1">
        <f t="array" ref="C70">_xll.GetLatestPrice(F70,"Actual","AssessmentDate")</f>
        <v>45826.649791666663</v>
      </c>
      <c r="D70">
        <f t="shared" si="2"/>
        <v>2025</v>
      </c>
      <c r="E70">
        <f t="shared" si="3"/>
        <v>6</v>
      </c>
      <c r="F70" s="9" t="s">
        <v>148</v>
      </c>
      <c r="G70" s="9" t="s">
        <v>11</v>
      </c>
      <c r="H70" s="9" t="s">
        <v>12</v>
      </c>
    </row>
    <row r="71" spans="1:8" x14ac:dyDescent="0.25">
      <c r="A71" t="s">
        <v>149</v>
      </c>
      <c r="B71" s="14" cm="1">
        <f t="array" ref="B71">_xll.GetLatestPrice(F71,,G71)</f>
        <v>569</v>
      </c>
      <c r="C71" s="1" cm="1">
        <f t="array" ref="C71">_xll.GetLatestPrice(F71,"Actual","AssessmentDate")</f>
        <v>45826.649791666663</v>
      </c>
      <c r="D71">
        <f t="shared" si="2"/>
        <v>2025</v>
      </c>
      <c r="E71">
        <f t="shared" si="3"/>
        <v>6</v>
      </c>
      <c r="F71" s="9" t="s">
        <v>150</v>
      </c>
      <c r="G71" s="9" t="s">
        <v>11</v>
      </c>
      <c r="H71" s="9" t="s">
        <v>12</v>
      </c>
    </row>
    <row r="72" spans="1:8" x14ac:dyDescent="0.25">
      <c r="A72" t="s">
        <v>151</v>
      </c>
      <c r="B72" s="14" cm="1">
        <f t="array" ref="B72">_xll.GetLatestPrice(F72,,G72)</f>
        <v>510</v>
      </c>
      <c r="C72" s="1" cm="1">
        <f t="array" ref="C72">_xll.GetLatestPrice(F72,"Actual","AssessmentDate")</f>
        <v>45826.645833333336</v>
      </c>
      <c r="D72">
        <f t="shared" si="2"/>
        <v>2025</v>
      </c>
      <c r="E72">
        <f t="shared" si="3"/>
        <v>6</v>
      </c>
      <c r="F72" s="9" t="s">
        <v>152</v>
      </c>
      <c r="G72" s="9" t="s">
        <v>11</v>
      </c>
      <c r="H72" s="9" t="s">
        <v>12</v>
      </c>
    </row>
    <row r="73" spans="1:8" x14ac:dyDescent="0.25">
      <c r="A73" t="s">
        <v>153</v>
      </c>
      <c r="B73" s="14" cm="1">
        <f t="array" ref="B73">_xll.GetLatestPrice(F73,,G73)</f>
        <v>488</v>
      </c>
      <c r="C73" s="1" cm="1">
        <f t="array" ref="C73">_xll.GetLatestPrice(F73,"Actual","AssessmentDate")</f>
        <v>45826.645833333336</v>
      </c>
      <c r="D73">
        <f t="shared" si="2"/>
        <v>2025</v>
      </c>
      <c r="E73">
        <f t="shared" si="3"/>
        <v>6</v>
      </c>
      <c r="F73" s="9" t="s">
        <v>154</v>
      </c>
      <c r="G73" s="9" t="s">
        <v>11</v>
      </c>
      <c r="H73" s="9" t="s">
        <v>12</v>
      </c>
    </row>
    <row r="74" spans="1:8" x14ac:dyDescent="0.25">
      <c r="A74" t="s">
        <v>155</v>
      </c>
      <c r="B74" s="14" cm="1">
        <f t="array" ref="B74">_xll.GetLatestPrice(F74,,G74)</f>
        <v>475</v>
      </c>
      <c r="C74" s="1" cm="1">
        <f t="array" ref="C74">_xll.GetLatestPrice(F74,"Actual","AssessmentDate")</f>
        <v>45826.645833333336</v>
      </c>
      <c r="D74">
        <f t="shared" si="2"/>
        <v>2025</v>
      </c>
      <c r="E74">
        <f t="shared" si="3"/>
        <v>6</v>
      </c>
      <c r="F74" s="9" t="s">
        <v>156</v>
      </c>
      <c r="G74" s="9" t="s">
        <v>11</v>
      </c>
      <c r="H74" s="9" t="s">
        <v>12</v>
      </c>
    </row>
    <row r="75" spans="1:8" x14ac:dyDescent="0.25">
      <c r="A75" t="s">
        <v>157</v>
      </c>
      <c r="B75" s="14" cm="1">
        <f t="array" ref="B75">_xll.GetLatestPrice(F75,,G75)</f>
        <v>630</v>
      </c>
      <c r="C75" s="1" cm="1">
        <f t="array" ref="C75">_xll.GetLatestPrice(F75,"Actual","AssessmentDate")</f>
        <v>45826.645833333336</v>
      </c>
      <c r="D75">
        <f t="shared" si="2"/>
        <v>2025</v>
      </c>
      <c r="E75">
        <f t="shared" si="3"/>
        <v>6</v>
      </c>
      <c r="F75" s="9" t="s">
        <v>158</v>
      </c>
      <c r="G75" s="9" t="s">
        <v>11</v>
      </c>
      <c r="H75" s="9" t="s">
        <v>12</v>
      </c>
    </row>
    <row r="76" spans="1:8" x14ac:dyDescent="0.25">
      <c r="A76" t="s">
        <v>159</v>
      </c>
      <c r="B76" s="14" cm="1">
        <f t="array" ref="B76">_xll.GetLatestPrice(F76,,G76)</f>
        <v>565</v>
      </c>
      <c r="C76" s="1" cm="1">
        <f t="array" ref="C76">_xll.GetLatestPrice(F76,"Actual","AssessmentDate")</f>
        <v>45826.645833333336</v>
      </c>
      <c r="D76">
        <f t="shared" si="2"/>
        <v>2025</v>
      </c>
      <c r="E76">
        <f t="shared" si="3"/>
        <v>6</v>
      </c>
      <c r="F76" s="9" t="s">
        <v>160</v>
      </c>
      <c r="G76" s="9" t="s">
        <v>11</v>
      </c>
      <c r="H76" s="9" t="s">
        <v>12</v>
      </c>
    </row>
    <row r="77" spans="1:8" x14ac:dyDescent="0.25">
      <c r="A77" t="s">
        <v>161</v>
      </c>
      <c r="B77" s="14" cm="1">
        <f t="array" ref="B77">_xll.GetLatestPrice(F77,,G77)</f>
        <v>345</v>
      </c>
      <c r="C77" s="1" cm="1">
        <f t="array" ref="C77">_xll.GetLatestPrice(F77,"Actual","AssessmentDate")</f>
        <v>45826.645833333336</v>
      </c>
      <c r="D77">
        <f t="shared" si="2"/>
        <v>2025</v>
      </c>
      <c r="E77">
        <f t="shared" si="3"/>
        <v>6</v>
      </c>
      <c r="F77" s="9" t="s">
        <v>162</v>
      </c>
      <c r="G77" s="9" t="s">
        <v>11</v>
      </c>
      <c r="H77" s="9" t="s">
        <v>12</v>
      </c>
    </row>
    <row r="78" spans="1:8" x14ac:dyDescent="0.25">
      <c r="A78" t="s">
        <v>163</v>
      </c>
      <c r="B78" s="14" cm="1">
        <f t="array" ref="B78">_xll.GetLatestPrice(F78,,G78)</f>
        <v>285</v>
      </c>
      <c r="C78" s="1" cm="1">
        <f t="array" ref="C78">_xll.GetLatestPrice(F78,"Actual","AssessmentDate")</f>
        <v>45826.645833333336</v>
      </c>
      <c r="D78">
        <f t="shared" si="2"/>
        <v>2025</v>
      </c>
      <c r="E78">
        <f t="shared" si="3"/>
        <v>6</v>
      </c>
      <c r="F78" s="9" t="s">
        <v>164</v>
      </c>
      <c r="G78" s="9" t="s">
        <v>11</v>
      </c>
      <c r="H78" s="9" t="s">
        <v>12</v>
      </c>
    </row>
    <row r="79" spans="1:8" x14ac:dyDescent="0.25">
      <c r="A79" t="s">
        <v>165</v>
      </c>
      <c r="B79" s="14" cm="1">
        <f t="array" ref="B79">_xll.GetLatestPrice(F79,,G79)</f>
        <v>210</v>
      </c>
      <c r="C79" s="1" cm="1">
        <f t="array" ref="C79">_xll.GetLatestPrice(F79,"Actual","AssessmentDate")</f>
        <v>45826.645833333336</v>
      </c>
      <c r="D79">
        <f t="shared" si="2"/>
        <v>2025</v>
      </c>
      <c r="E79">
        <f t="shared" si="3"/>
        <v>6</v>
      </c>
      <c r="F79" s="9" t="s">
        <v>166</v>
      </c>
      <c r="G79" s="9" t="s">
        <v>11</v>
      </c>
      <c r="H79" s="9" t="s">
        <v>12</v>
      </c>
    </row>
    <row r="80" spans="1:8" x14ac:dyDescent="0.25">
      <c r="A80" t="s">
        <v>167</v>
      </c>
      <c r="B80" s="14" cm="1">
        <f t="array" ref="B80">_xll.GetLatestPrice(F80,,G80)</f>
        <v>210</v>
      </c>
      <c r="C80" s="1" cm="1">
        <f t="array" ref="C80">_xll.GetLatestPrice(F80,"Actual","AssessmentDate")</f>
        <v>45826.645833333336</v>
      </c>
      <c r="D80">
        <f t="shared" si="2"/>
        <v>2025</v>
      </c>
      <c r="E80">
        <f t="shared" si="3"/>
        <v>6</v>
      </c>
      <c r="F80" s="9" t="s">
        <v>168</v>
      </c>
      <c r="G80" s="9" t="s">
        <v>11</v>
      </c>
      <c r="H80" s="9" t="s">
        <v>12</v>
      </c>
    </row>
    <row r="81" spans="1:8" x14ac:dyDescent="0.25">
      <c r="A81" t="s">
        <v>169</v>
      </c>
      <c r="B81" s="14" cm="1">
        <f t="array" ref="B81">_xll.GetLatestPrice(F81,,G81)</f>
        <v>210</v>
      </c>
      <c r="C81" s="1" cm="1">
        <f t="array" ref="C81">_xll.GetLatestPrice(F81,"Actual","AssessmentDate")</f>
        <v>45826.645833333336</v>
      </c>
      <c r="D81">
        <f t="shared" si="2"/>
        <v>2025</v>
      </c>
      <c r="E81">
        <f t="shared" si="3"/>
        <v>6</v>
      </c>
      <c r="F81" s="9" t="s">
        <v>170</v>
      </c>
      <c r="G81" s="9" t="s">
        <v>11</v>
      </c>
      <c r="H81" s="9" t="s">
        <v>12</v>
      </c>
    </row>
    <row r="82" spans="1:8" x14ac:dyDescent="0.25">
      <c r="A82" t="s">
        <v>171</v>
      </c>
      <c r="B82" s="14" cm="1">
        <f t="array" ref="B82">_xll.GetLatestPrice(F82,,G82)</f>
        <v>385</v>
      </c>
      <c r="C82" s="1" cm="1">
        <f t="array" ref="C82">_xll.GetLatestPrice(F82,"Actual","AssessmentDate")</f>
        <v>45826.645833333336</v>
      </c>
      <c r="D82">
        <f t="shared" si="2"/>
        <v>2025</v>
      </c>
      <c r="E82">
        <f t="shared" si="3"/>
        <v>6</v>
      </c>
      <c r="F82" s="9" t="s">
        <v>172</v>
      </c>
      <c r="G82" s="9" t="s">
        <v>11</v>
      </c>
      <c r="H82" s="9" t="s">
        <v>12</v>
      </c>
    </row>
    <row r="83" spans="1:8" x14ac:dyDescent="0.25">
      <c r="A83" t="s">
        <v>173</v>
      </c>
      <c r="B83" s="14" cm="1">
        <f t="array" ref="B83">_xll.GetLatestPrice(F83,,G83)</f>
        <v>470</v>
      </c>
      <c r="C83" s="1" cm="1">
        <f t="array" ref="C83">_xll.GetLatestPrice(F83,"Actual","AssessmentDate")</f>
        <v>45826.645833333336</v>
      </c>
      <c r="D83">
        <f t="shared" si="2"/>
        <v>2025</v>
      </c>
      <c r="E83">
        <f t="shared" si="3"/>
        <v>6</v>
      </c>
      <c r="F83" s="9" t="s">
        <v>174</v>
      </c>
      <c r="G83" s="9" t="s">
        <v>11</v>
      </c>
      <c r="H83" s="9" t="s">
        <v>12</v>
      </c>
    </row>
    <row r="84" spans="1:8" x14ac:dyDescent="0.25">
      <c r="A84" t="s">
        <v>175</v>
      </c>
      <c r="B84" s="14" cm="1">
        <f t="array" ref="B84">_xll.GetLatestPrice(F84,,G84)</f>
        <v>425</v>
      </c>
      <c r="C84" s="1" cm="1">
        <f t="array" ref="C84">_xll.GetLatestPrice(F84,"Actual","AssessmentDate")</f>
        <v>45826.645833333336</v>
      </c>
      <c r="D84">
        <f t="shared" si="2"/>
        <v>2025</v>
      </c>
      <c r="E84">
        <f t="shared" si="3"/>
        <v>6</v>
      </c>
      <c r="F84" s="9" t="s">
        <v>176</v>
      </c>
      <c r="G84" s="9" t="s">
        <v>11</v>
      </c>
      <c r="H84" s="9" t="s">
        <v>12</v>
      </c>
    </row>
    <row r="85" spans="1:8" x14ac:dyDescent="0.25">
      <c r="A85" t="s">
        <v>177</v>
      </c>
      <c r="B85" s="14" cm="1">
        <f t="array" ref="B85">_xll.GetLatestPrice(F85,,G85)</f>
        <v>615</v>
      </c>
      <c r="C85" s="1" cm="1">
        <f t="array" ref="C85">_xll.GetLatestPrice(F85,"Actual","AssessmentDate")</f>
        <v>45826.649791666663</v>
      </c>
      <c r="D85">
        <f t="shared" si="2"/>
        <v>2025</v>
      </c>
      <c r="E85">
        <f t="shared" si="3"/>
        <v>6</v>
      </c>
      <c r="F85" s="9" t="s">
        <v>178</v>
      </c>
      <c r="G85" s="9" t="s">
        <v>11</v>
      </c>
      <c r="H85" s="9" t="s">
        <v>12</v>
      </c>
    </row>
    <row r="86" spans="1:8" x14ac:dyDescent="0.25">
      <c r="A86" t="s">
        <v>179</v>
      </c>
      <c r="B86" s="14" cm="1">
        <f t="array" ref="B86">_xll.GetLatestPrice(F86,,G86)</f>
        <v>588</v>
      </c>
      <c r="C86" s="1" cm="1">
        <f t="array" ref="C86">_xll.GetLatestPrice(F86,"Actual","AssessmentDate")</f>
        <v>45826.649791666663</v>
      </c>
      <c r="D86">
        <f t="shared" si="2"/>
        <v>2025</v>
      </c>
      <c r="E86">
        <f t="shared" si="3"/>
        <v>6</v>
      </c>
      <c r="F86" s="9" t="s">
        <v>180</v>
      </c>
      <c r="G86" s="9" t="s">
        <v>11</v>
      </c>
      <c r="H86" s="9" t="s">
        <v>12</v>
      </c>
    </row>
    <row r="87" spans="1:8" x14ac:dyDescent="0.25">
      <c r="A87" t="s">
        <v>181</v>
      </c>
      <c r="B87" s="14" cm="1">
        <f t="array" ref="B87">_xll.GetLatestPrice(F87,,G87)</f>
        <v>602</v>
      </c>
      <c r="C87" s="1" cm="1">
        <f t="array" ref="C87">_xll.GetLatestPrice(F87,"Actual","AssessmentDate")</f>
        <v>45826.649791666663</v>
      </c>
      <c r="D87">
        <f t="shared" si="2"/>
        <v>2025</v>
      </c>
      <c r="E87">
        <f t="shared" si="3"/>
        <v>6</v>
      </c>
      <c r="F87" s="9" t="s">
        <v>182</v>
      </c>
      <c r="G87" s="9" t="s">
        <v>11</v>
      </c>
      <c r="H87" s="9" t="s">
        <v>12</v>
      </c>
    </row>
    <row r="88" spans="1:8" x14ac:dyDescent="0.25">
      <c r="A88" t="s">
        <v>183</v>
      </c>
      <c r="B88" s="14" cm="1">
        <f t="array" ref="B88">_xll.GetLatestPrice(F88,,G88)</f>
        <v>352</v>
      </c>
      <c r="C88" s="1" cm="1">
        <f t="array" ref="C88">_xll.GetLatestPrice(F88,"Actual","AssessmentDate")</f>
        <v>45826.645833333336</v>
      </c>
      <c r="D88">
        <f t="shared" si="2"/>
        <v>2025</v>
      </c>
      <c r="E88">
        <f t="shared" si="3"/>
        <v>6</v>
      </c>
      <c r="F88" s="9" t="s">
        <v>184</v>
      </c>
      <c r="G88" s="9" t="s">
        <v>11</v>
      </c>
      <c r="H88" s="9" t="s">
        <v>12</v>
      </c>
    </row>
    <row r="89" spans="1:8" x14ac:dyDescent="0.25">
      <c r="A89" t="s">
        <v>185</v>
      </c>
      <c r="B89" s="14" cm="1">
        <f t="array" ref="B89">_xll.GetLatestPrice(F89,,G89)</f>
        <v>264</v>
      </c>
      <c r="C89" s="1" cm="1">
        <f t="array" ref="C89">_xll.GetLatestPrice(F89,"Actual","AssessmentDate")</f>
        <v>45826.645833333336</v>
      </c>
      <c r="D89">
        <f t="shared" si="2"/>
        <v>2025</v>
      </c>
      <c r="E89">
        <f t="shared" si="3"/>
        <v>6</v>
      </c>
      <c r="F89" s="9" t="s">
        <v>186</v>
      </c>
      <c r="G89" s="9" t="s">
        <v>11</v>
      </c>
      <c r="H89" s="9" t="s">
        <v>12</v>
      </c>
    </row>
    <row r="90" spans="1:8" x14ac:dyDescent="0.25">
      <c r="A90" t="s">
        <v>187</v>
      </c>
      <c r="B90" s="14" cm="1">
        <f t="array" ref="B90">_xll.GetLatestPrice(F90,,G90)</f>
        <v>285</v>
      </c>
      <c r="C90" s="1" cm="1">
        <f t="array" ref="C90">_xll.GetLatestPrice(F90,"Actual","AssessmentDate")</f>
        <v>45826.645833333336</v>
      </c>
      <c r="D90">
        <f t="shared" si="2"/>
        <v>2025</v>
      </c>
      <c r="E90">
        <f t="shared" si="3"/>
        <v>6</v>
      </c>
      <c r="F90" s="9" t="s">
        <v>188</v>
      </c>
      <c r="G90" s="9" t="s">
        <v>11</v>
      </c>
      <c r="H90" s="9" t="s">
        <v>12</v>
      </c>
    </row>
    <row r="91" spans="1:8" x14ac:dyDescent="0.25">
      <c r="A91" t="s">
        <v>189</v>
      </c>
      <c r="B91" s="14" cm="1">
        <f t="array" ref="B91">_xll.GetLatestPrice(F91,,G91)</f>
        <v>314</v>
      </c>
      <c r="C91" s="1" cm="1">
        <f t="array" ref="C91">_xll.GetLatestPrice(F91,"Actual","AssessmentDate")</f>
        <v>45826.645833333336</v>
      </c>
      <c r="D91">
        <f t="shared" si="2"/>
        <v>2025</v>
      </c>
      <c r="E91">
        <f t="shared" si="3"/>
        <v>6</v>
      </c>
      <c r="F91" s="9" t="s">
        <v>190</v>
      </c>
      <c r="G91" s="9" t="s">
        <v>11</v>
      </c>
      <c r="H91" s="9" t="s">
        <v>12</v>
      </c>
    </row>
    <row r="92" spans="1:8" x14ac:dyDescent="0.25">
      <c r="A92" t="s">
        <v>191</v>
      </c>
      <c r="B92" s="14" cm="1">
        <f t="array" ref="B92">_xll.GetLatestPrice(F92,,G92)</f>
        <v>357</v>
      </c>
      <c r="C92" s="1" cm="1">
        <f t="array" ref="C92">_xll.GetLatestPrice(F92,"Actual","AssessmentDate")</f>
        <v>45826.645833333336</v>
      </c>
      <c r="D92">
        <f t="shared" si="2"/>
        <v>2025</v>
      </c>
      <c r="E92">
        <f t="shared" si="3"/>
        <v>6</v>
      </c>
      <c r="F92" s="9" t="s">
        <v>192</v>
      </c>
      <c r="G92" s="9" t="s">
        <v>11</v>
      </c>
      <c r="H92" s="9" t="s">
        <v>12</v>
      </c>
    </row>
    <row r="93" spans="1:8" x14ac:dyDescent="0.25">
      <c r="A93" t="s">
        <v>193</v>
      </c>
      <c r="B93" s="14" cm="1">
        <f t="array" ref="B93">_xll.GetLatestPrice(F93,,G93)</f>
        <v>300</v>
      </c>
      <c r="C93" s="1" cm="1">
        <f t="array" ref="C93">_xll.GetLatestPrice(F93,"Actual","AssessmentDate")</f>
        <v>45826.645833333336</v>
      </c>
      <c r="D93">
        <f t="shared" si="2"/>
        <v>2025</v>
      </c>
      <c r="E93">
        <f t="shared" si="3"/>
        <v>6</v>
      </c>
      <c r="F93" s="9" t="s">
        <v>194</v>
      </c>
      <c r="G93" s="9" t="s">
        <v>11</v>
      </c>
      <c r="H93" s="9" t="s">
        <v>12</v>
      </c>
    </row>
    <row r="94" spans="1:8" x14ac:dyDescent="0.25">
      <c r="A94" t="s">
        <v>195</v>
      </c>
      <c r="B94" s="14" cm="1">
        <f t="array" ref="B94">_xll.GetLatestPrice(F94,,G94)</f>
        <v>210</v>
      </c>
      <c r="C94" s="1" cm="1">
        <f t="array" ref="C94">_xll.GetLatestPrice(F94,"Actual","AssessmentDate")</f>
        <v>45826.645833333336</v>
      </c>
      <c r="D94">
        <f t="shared" si="2"/>
        <v>2025</v>
      </c>
      <c r="E94">
        <f t="shared" si="3"/>
        <v>6</v>
      </c>
      <c r="F94" s="9" t="s">
        <v>196</v>
      </c>
      <c r="G94" s="9" t="s">
        <v>11</v>
      </c>
      <c r="H94" s="9" t="s">
        <v>12</v>
      </c>
    </row>
    <row r="95" spans="1:8" x14ac:dyDescent="0.25">
      <c r="A95" t="s">
        <v>197</v>
      </c>
      <c r="B95" s="14" cm="1">
        <f t="array" ref="B95">_xll.GetLatestPrice(F95,,G95)</f>
        <v>225</v>
      </c>
      <c r="C95" s="1" cm="1">
        <f t="array" ref="C95">_xll.GetLatestPrice(F95,"Actual","AssessmentDate")</f>
        <v>45826.645833333336</v>
      </c>
      <c r="D95">
        <f t="shared" si="2"/>
        <v>2025</v>
      </c>
      <c r="E95">
        <f t="shared" si="3"/>
        <v>6</v>
      </c>
      <c r="F95" s="9" t="s">
        <v>198</v>
      </c>
      <c r="G95" s="9" t="s">
        <v>11</v>
      </c>
      <c r="H95" s="9" t="s">
        <v>12</v>
      </c>
    </row>
    <row r="96" spans="1:8" x14ac:dyDescent="0.25">
      <c r="A96" t="s">
        <v>199</v>
      </c>
      <c r="B96" s="14" cm="1">
        <f t="array" ref="B96">_xll.GetLatestPrice(F96,,G96)</f>
        <v>220</v>
      </c>
      <c r="C96" s="1" cm="1">
        <f t="array" ref="C96">_xll.GetLatestPrice(F96,"Actual","AssessmentDate")</f>
        <v>45826.645833333336</v>
      </c>
      <c r="D96">
        <f t="shared" si="2"/>
        <v>2025</v>
      </c>
      <c r="E96">
        <f t="shared" si="3"/>
        <v>6</v>
      </c>
      <c r="F96" s="9" t="s">
        <v>200</v>
      </c>
      <c r="G96" s="9" t="s">
        <v>11</v>
      </c>
      <c r="H96" s="9" t="s">
        <v>12</v>
      </c>
    </row>
    <row r="97" spans="1:8" x14ac:dyDescent="0.25">
      <c r="A97" t="s">
        <v>201</v>
      </c>
      <c r="B97" s="14" cm="1">
        <f t="array" ref="B97">_xll.GetLatestPrice(F97,,G97)</f>
        <v>240</v>
      </c>
      <c r="C97" s="1" cm="1">
        <f t="array" ref="C97">_xll.GetLatestPrice(F97,"Actual","AssessmentDate")</f>
        <v>45826.645833333336</v>
      </c>
      <c r="D97">
        <f t="shared" si="2"/>
        <v>2025</v>
      </c>
      <c r="E97">
        <f t="shared" si="3"/>
        <v>6</v>
      </c>
      <c r="F97" s="9" t="s">
        <v>202</v>
      </c>
      <c r="G97" s="9" t="s">
        <v>11</v>
      </c>
      <c r="H97" s="9" t="s">
        <v>12</v>
      </c>
    </row>
    <row r="98" spans="1:8" x14ac:dyDescent="0.25">
      <c r="A98" t="s">
        <v>203</v>
      </c>
      <c r="B98" s="14" cm="1">
        <f t="array" ref="B98">_xll.GetLatestPrice(F98,,G98)</f>
        <v>518</v>
      </c>
      <c r="C98" s="1" cm="1">
        <f t="array" ref="C98">_xll.GetLatestPrice(F98,"Actual","AssessmentDate")</f>
        <v>45826.649791666663</v>
      </c>
      <c r="D98">
        <f t="shared" si="2"/>
        <v>2025</v>
      </c>
      <c r="E98">
        <f t="shared" si="3"/>
        <v>6</v>
      </c>
      <c r="F98" s="9" t="s">
        <v>204</v>
      </c>
      <c r="G98" s="9" t="s">
        <v>11</v>
      </c>
      <c r="H98" s="9" t="s">
        <v>12</v>
      </c>
    </row>
    <row r="99" spans="1:8" x14ac:dyDescent="0.25">
      <c r="A99" t="s">
        <v>205</v>
      </c>
      <c r="B99" s="14" cm="1">
        <f t="array" ref="B99">_xll.GetLatestPrice(F99,,G99)</f>
        <v>493</v>
      </c>
      <c r="C99" s="1" cm="1">
        <f t="array" ref="C99">_xll.GetLatestPrice(F99,"Actual","AssessmentDate")</f>
        <v>45826.649791666663</v>
      </c>
      <c r="D99">
        <f t="shared" si="2"/>
        <v>2025</v>
      </c>
      <c r="E99">
        <f t="shared" si="3"/>
        <v>6</v>
      </c>
      <c r="F99" s="9" t="s">
        <v>206</v>
      </c>
      <c r="G99" s="9" t="s">
        <v>11</v>
      </c>
      <c r="H99" s="9" t="s">
        <v>12</v>
      </c>
    </row>
    <row r="100" spans="1:8" x14ac:dyDescent="0.25">
      <c r="A100" t="s">
        <v>207</v>
      </c>
      <c r="B100" s="14" cm="1">
        <f t="array" ref="B100">_xll.GetLatestPrice(F100,,G100)</f>
        <v>494</v>
      </c>
      <c r="C100" s="1" cm="1">
        <f t="array" ref="C100">_xll.GetLatestPrice(F100,"Actual","AssessmentDate")</f>
        <v>45826.649791666663</v>
      </c>
      <c r="D100">
        <f t="shared" si="2"/>
        <v>2025</v>
      </c>
      <c r="E100">
        <f t="shared" si="3"/>
        <v>6</v>
      </c>
      <c r="F100" s="9" t="s">
        <v>208</v>
      </c>
      <c r="G100" s="9" t="s">
        <v>11</v>
      </c>
      <c r="H100" s="9" t="s">
        <v>12</v>
      </c>
    </row>
    <row r="101" spans="1:8" x14ac:dyDescent="0.25">
      <c r="A101" t="s">
        <v>209</v>
      </c>
      <c r="B101" s="14" cm="1">
        <f t="array" ref="B101">_xll.GetLatestPrice(F101,,G101)</f>
        <v>490</v>
      </c>
      <c r="C101" s="1" cm="1">
        <f t="array" ref="C101">_xll.GetLatestPrice(F101,"Actual","AssessmentDate")</f>
        <v>45826.649791666663</v>
      </c>
      <c r="D101">
        <f t="shared" si="2"/>
        <v>2025</v>
      </c>
      <c r="E101">
        <f t="shared" si="3"/>
        <v>6</v>
      </c>
      <c r="F101" s="9" t="s">
        <v>210</v>
      </c>
      <c r="G101" s="9" t="s">
        <v>11</v>
      </c>
      <c r="H101" s="9" t="s">
        <v>12</v>
      </c>
    </row>
    <row r="102" spans="1:8" x14ac:dyDescent="0.25">
      <c r="A102" t="s">
        <v>211</v>
      </c>
      <c r="B102" s="14" cm="1">
        <f t="array" ref="B102">_xll.GetLatestPrice(F102,,G102)</f>
        <v>345</v>
      </c>
      <c r="C102" s="1" cm="1">
        <f t="array" ref="C102">_xll.GetLatestPrice(F102,"Actual","AssessmentDate")</f>
        <v>45826.645833333336</v>
      </c>
      <c r="D102">
        <f t="shared" si="2"/>
        <v>2025</v>
      </c>
      <c r="E102">
        <f t="shared" si="3"/>
        <v>6</v>
      </c>
      <c r="F102" s="9" t="s">
        <v>212</v>
      </c>
      <c r="G102" s="9" t="s">
        <v>11</v>
      </c>
      <c r="H102" s="9" t="s">
        <v>12</v>
      </c>
    </row>
    <row r="103" spans="1:8" x14ac:dyDescent="0.25">
      <c r="A103" t="s">
        <v>213</v>
      </c>
      <c r="B103" s="14" cm="1">
        <f t="array" ref="B103">_xll.GetLatestPrice(F103,,G103)</f>
        <v>265</v>
      </c>
      <c r="C103" s="1" cm="1">
        <f t="array" ref="C103">_xll.GetLatestPrice(F103,"Actual","AssessmentDate")</f>
        <v>45826.645833333336</v>
      </c>
      <c r="D103">
        <f t="shared" si="2"/>
        <v>2025</v>
      </c>
      <c r="E103">
        <f t="shared" si="3"/>
        <v>6</v>
      </c>
      <c r="F103" s="9" t="s">
        <v>214</v>
      </c>
      <c r="G103" s="9" t="s">
        <v>11</v>
      </c>
      <c r="H103" s="9" t="s">
        <v>12</v>
      </c>
    </row>
    <row r="104" spans="1:8" x14ac:dyDescent="0.25">
      <c r="A104" t="s">
        <v>215</v>
      </c>
      <c r="B104" s="14" cm="1">
        <f t="array" ref="B104">_xll.GetLatestPrice(F104,,G104)</f>
        <v>270</v>
      </c>
      <c r="C104" s="1" cm="1">
        <f t="array" ref="C104">_xll.GetLatestPrice(F104,"Actual","AssessmentDate")</f>
        <v>45826.645833333336</v>
      </c>
      <c r="D104">
        <f t="shared" si="2"/>
        <v>2025</v>
      </c>
      <c r="E104">
        <f t="shared" si="3"/>
        <v>6</v>
      </c>
      <c r="F104" s="9" t="s">
        <v>216</v>
      </c>
      <c r="G104" s="9" t="s">
        <v>11</v>
      </c>
      <c r="H104" s="9" t="s">
        <v>12</v>
      </c>
    </row>
    <row r="105" spans="1:8" x14ac:dyDescent="0.25">
      <c r="A105" t="s">
        <v>217</v>
      </c>
      <c r="B105" s="14" cm="1">
        <f t="array" ref="B105">_xll.GetLatestPrice(F105,,G105)</f>
        <v>295</v>
      </c>
      <c r="C105" s="1" cm="1">
        <f t="array" ref="C105">_xll.GetLatestPrice(F105,"Actual","AssessmentDate")</f>
        <v>45826.645833333336</v>
      </c>
      <c r="D105">
        <f t="shared" si="2"/>
        <v>2025</v>
      </c>
      <c r="E105">
        <f t="shared" si="3"/>
        <v>6</v>
      </c>
      <c r="F105" s="9" t="s">
        <v>218</v>
      </c>
      <c r="G105" s="9" t="s">
        <v>11</v>
      </c>
      <c r="H105" s="9" t="s">
        <v>12</v>
      </c>
    </row>
    <row r="106" spans="1:8" x14ac:dyDescent="0.25">
      <c r="A106" t="s">
        <v>219</v>
      </c>
      <c r="B106" s="14" cm="1">
        <f t="array" ref="B106">_xll.GetLatestPrice(F106,,G106)</f>
        <v>350</v>
      </c>
      <c r="C106" s="1" cm="1">
        <f t="array" ref="C106">_xll.GetLatestPrice(F106,"Actual","AssessmentDate")</f>
        <v>45826.645833333336</v>
      </c>
      <c r="D106">
        <f t="shared" si="2"/>
        <v>2025</v>
      </c>
      <c r="E106">
        <f t="shared" si="3"/>
        <v>6</v>
      </c>
      <c r="F106" s="9" t="s">
        <v>220</v>
      </c>
      <c r="G106" s="9" t="s">
        <v>11</v>
      </c>
      <c r="H106" s="9" t="s">
        <v>12</v>
      </c>
    </row>
    <row r="107" spans="1:8" x14ac:dyDescent="0.25">
      <c r="A107" t="s">
        <v>221</v>
      </c>
      <c r="B107" s="14" cm="1">
        <f t="array" ref="B107">_xll.GetLatestPrice(F107,,G107)</f>
        <v>295</v>
      </c>
      <c r="C107" s="1" cm="1">
        <f t="array" ref="C107">_xll.GetLatestPrice(F107,"Actual","AssessmentDate")</f>
        <v>45826.645833333336</v>
      </c>
      <c r="D107">
        <f t="shared" si="2"/>
        <v>2025</v>
      </c>
      <c r="E107">
        <f t="shared" si="3"/>
        <v>6</v>
      </c>
      <c r="F107" s="9" t="s">
        <v>222</v>
      </c>
      <c r="G107" s="9" t="s">
        <v>11</v>
      </c>
      <c r="H107" s="9" t="s">
        <v>12</v>
      </c>
    </row>
    <row r="108" spans="1:8" x14ac:dyDescent="0.25">
      <c r="A108" t="s">
        <v>223</v>
      </c>
      <c r="B108" s="14" cm="1">
        <f t="array" ref="B108">_xll.GetLatestPrice(F108,,G108)</f>
        <v>220</v>
      </c>
      <c r="C108" s="1" cm="1">
        <f t="array" ref="C108">_xll.GetLatestPrice(F108,"Actual","AssessmentDate")</f>
        <v>45826.645833333336</v>
      </c>
      <c r="D108">
        <f t="shared" si="2"/>
        <v>2025</v>
      </c>
      <c r="E108">
        <f t="shared" si="3"/>
        <v>6</v>
      </c>
      <c r="F108" s="9" t="s">
        <v>224</v>
      </c>
      <c r="G108" s="9" t="s">
        <v>11</v>
      </c>
      <c r="H108" s="9" t="s">
        <v>12</v>
      </c>
    </row>
    <row r="109" spans="1:8" x14ac:dyDescent="0.25">
      <c r="A109" t="s">
        <v>225</v>
      </c>
      <c r="B109" s="14" cm="1">
        <f t="array" ref="B109">_xll.GetLatestPrice(F109,,G109)</f>
        <v>250</v>
      </c>
      <c r="C109" s="1" cm="1">
        <f t="array" ref="C109">_xll.GetLatestPrice(F109,"Actual","AssessmentDate")</f>
        <v>45826.645833333336</v>
      </c>
      <c r="D109">
        <f t="shared" si="2"/>
        <v>2025</v>
      </c>
      <c r="E109">
        <f t="shared" si="3"/>
        <v>6</v>
      </c>
      <c r="F109" s="9" t="s">
        <v>226</v>
      </c>
      <c r="G109" s="9" t="s">
        <v>11</v>
      </c>
      <c r="H109" s="9" t="s">
        <v>12</v>
      </c>
    </row>
    <row r="110" spans="1:8" x14ac:dyDescent="0.25">
      <c r="A110" t="s">
        <v>227</v>
      </c>
      <c r="B110" s="14" cm="1">
        <f t="array" ref="B110">_xll.GetLatestPrice(F110,,G110)</f>
        <v>245</v>
      </c>
      <c r="C110" s="1" cm="1">
        <f t="array" ref="C110">_xll.GetLatestPrice(F110,"Actual","AssessmentDate")</f>
        <v>45826.645833333336</v>
      </c>
      <c r="D110">
        <f t="shared" si="2"/>
        <v>2025</v>
      </c>
      <c r="E110">
        <f t="shared" si="3"/>
        <v>6</v>
      </c>
      <c r="F110" s="9" t="s">
        <v>228</v>
      </c>
      <c r="G110" s="9" t="s">
        <v>11</v>
      </c>
      <c r="H110" s="9" t="s">
        <v>12</v>
      </c>
    </row>
    <row r="111" spans="1:8" x14ac:dyDescent="0.25">
      <c r="A111" t="s">
        <v>229</v>
      </c>
      <c r="B111" s="14" cm="1">
        <f t="array" ref="B111">_xll.GetLatestPrice(F111,,G111)</f>
        <v>270</v>
      </c>
      <c r="C111" s="1" cm="1">
        <f t="array" ref="C111">_xll.GetLatestPrice(F111,"Actual","AssessmentDate")</f>
        <v>45826.645833333336</v>
      </c>
      <c r="D111">
        <f t="shared" si="2"/>
        <v>2025</v>
      </c>
      <c r="E111">
        <f t="shared" si="3"/>
        <v>6</v>
      </c>
      <c r="F111" s="9" t="s">
        <v>230</v>
      </c>
      <c r="G111" s="9" t="s">
        <v>11</v>
      </c>
      <c r="H111" s="9" t="s">
        <v>12</v>
      </c>
    </row>
    <row r="112" spans="1:8" x14ac:dyDescent="0.25">
      <c r="A112" t="s">
        <v>231</v>
      </c>
      <c r="B112" s="14" cm="1">
        <f t="array" ref="B112">_xll.GetLatestPrice(F112,,G112)</f>
        <v>1390</v>
      </c>
      <c r="C112" s="1" cm="1">
        <f t="array" ref="C112">_xll.GetLatestPrice(F112,"Actual","AssessmentDate")</f>
        <v>45826.645833333336</v>
      </c>
      <c r="D112">
        <f t="shared" si="2"/>
        <v>2025</v>
      </c>
      <c r="E112">
        <f t="shared" si="3"/>
        <v>6</v>
      </c>
      <c r="F112" s="9" t="s">
        <v>232</v>
      </c>
      <c r="G112" s="9" t="s">
        <v>11</v>
      </c>
      <c r="H112" s="9" t="s">
        <v>12</v>
      </c>
    </row>
    <row r="113" spans="1:8" x14ac:dyDescent="0.25">
      <c r="A113" t="s">
        <v>233</v>
      </c>
      <c r="B113" s="14" cm="1">
        <f t="array" ref="B113">_xll.GetLatestPrice(F113,,G113)</f>
        <v>1435</v>
      </c>
      <c r="C113" s="1" cm="1">
        <f t="array" ref="C113">_xll.GetLatestPrice(F113,"Actual","AssessmentDate")</f>
        <v>45826.645833333336</v>
      </c>
      <c r="D113">
        <f t="shared" si="2"/>
        <v>2025</v>
      </c>
      <c r="E113">
        <f t="shared" si="3"/>
        <v>6</v>
      </c>
      <c r="F113" s="9" t="s">
        <v>234</v>
      </c>
      <c r="G113" s="9" t="s">
        <v>11</v>
      </c>
      <c r="H113" s="9" t="s">
        <v>12</v>
      </c>
    </row>
    <row r="114" spans="1:8" x14ac:dyDescent="0.25">
      <c r="A114" t="s">
        <v>235</v>
      </c>
      <c r="B114" s="14" cm="1">
        <f t="array" ref="B114">_xll.GetLatestPrice(F114,,G114)</f>
        <v>2165</v>
      </c>
      <c r="C114" s="1" cm="1">
        <f t="array" ref="C114">_xll.GetLatestPrice(F114,"Actual","AssessmentDate")</f>
        <v>45826.645833333336</v>
      </c>
      <c r="D114">
        <f t="shared" si="2"/>
        <v>2025</v>
      </c>
      <c r="E114">
        <f t="shared" si="3"/>
        <v>6</v>
      </c>
      <c r="F114" s="9" t="s">
        <v>236</v>
      </c>
      <c r="G114" s="9" t="s">
        <v>11</v>
      </c>
      <c r="H114" s="9" t="s">
        <v>12</v>
      </c>
    </row>
    <row r="115" spans="1:8" x14ac:dyDescent="0.25">
      <c r="A115" t="s">
        <v>237</v>
      </c>
      <c r="B115" s="14" cm="1">
        <f t="array" ref="B115">_xll.GetLatestPrice(F115,,G115)</f>
        <v>2175</v>
      </c>
      <c r="C115" s="1" cm="1">
        <f t="array" ref="C115">_xll.GetLatestPrice(F115,"Actual","AssessmentDate")</f>
        <v>45826.645833333336</v>
      </c>
      <c r="D115">
        <f t="shared" si="2"/>
        <v>2025</v>
      </c>
      <c r="E115">
        <f t="shared" si="3"/>
        <v>6</v>
      </c>
      <c r="F115" s="9" t="s">
        <v>238</v>
      </c>
      <c r="G115" s="9" t="s">
        <v>11</v>
      </c>
      <c r="H115" s="9" t="s">
        <v>12</v>
      </c>
    </row>
    <row r="116" spans="1:8" x14ac:dyDescent="0.25">
      <c r="A116" t="s">
        <v>239</v>
      </c>
      <c r="B116" s="14" cm="1">
        <f t="array" ref="B116">_xll.GetLatestPrice(F116,,G116)</f>
        <v>2410</v>
      </c>
      <c r="C116" s="1" cm="1">
        <f t="array" ref="C116">_xll.GetLatestPrice(F116,"Actual","AssessmentDate")</f>
        <v>45826.645833333336</v>
      </c>
      <c r="D116">
        <f t="shared" si="2"/>
        <v>2025</v>
      </c>
      <c r="E116">
        <f t="shared" si="3"/>
        <v>6</v>
      </c>
      <c r="F116" s="9" t="s">
        <v>240</v>
      </c>
      <c r="G116" s="9" t="s">
        <v>11</v>
      </c>
      <c r="H116" s="9" t="s">
        <v>12</v>
      </c>
    </row>
    <row r="117" spans="1:8" x14ac:dyDescent="0.25">
      <c r="A117" t="s">
        <v>241</v>
      </c>
      <c r="B117" s="14" cm="1">
        <f t="array" ref="B117">_xll.GetLatestPrice(F117,,G117)</f>
        <v>975</v>
      </c>
      <c r="C117" s="1" cm="1">
        <f t="array" ref="C117">_xll.GetLatestPrice(F117,"Actual","AssessmentDate")</f>
        <v>45826.645833333336</v>
      </c>
      <c r="D117">
        <f t="shared" si="2"/>
        <v>2025</v>
      </c>
      <c r="E117">
        <f t="shared" si="3"/>
        <v>6</v>
      </c>
      <c r="F117" s="9" t="s">
        <v>242</v>
      </c>
      <c r="G117" s="9" t="s">
        <v>11</v>
      </c>
      <c r="H117" s="9" t="s">
        <v>12</v>
      </c>
    </row>
    <row r="118" spans="1:8" x14ac:dyDescent="0.25">
      <c r="A118" t="s">
        <v>243</v>
      </c>
      <c r="B118" s="14" cm="1">
        <f t="array" ref="B118">_xll.GetLatestPrice(F118,,G118)</f>
        <v>1010</v>
      </c>
      <c r="C118" s="1" cm="1">
        <f t="array" ref="C118">_xll.GetLatestPrice(F118,"Actual","AssessmentDate")</f>
        <v>45826.645833333336</v>
      </c>
      <c r="D118">
        <f t="shared" si="2"/>
        <v>2025</v>
      </c>
      <c r="E118">
        <f t="shared" si="3"/>
        <v>6</v>
      </c>
      <c r="F118" s="9" t="s">
        <v>244</v>
      </c>
      <c r="G118" s="9" t="s">
        <v>11</v>
      </c>
      <c r="H118" s="9" t="s">
        <v>12</v>
      </c>
    </row>
    <row r="119" spans="1:8" x14ac:dyDescent="0.25">
      <c r="A119" t="s">
        <v>245</v>
      </c>
      <c r="B119" s="14" cm="1">
        <f t="array" ref="B119">_xll.GetLatestPrice(F119,,G119)</f>
        <v>385</v>
      </c>
      <c r="C119" s="1" cm="1">
        <f t="array" ref="C119">_xll.GetLatestPrice(F119,"Actual","AssessmentDate")</f>
        <v>45826.649791666663</v>
      </c>
      <c r="D119">
        <f t="shared" si="2"/>
        <v>2025</v>
      </c>
      <c r="E119">
        <f t="shared" si="3"/>
        <v>6</v>
      </c>
      <c r="F119" s="9" t="s">
        <v>246</v>
      </c>
      <c r="G119" s="9" t="s">
        <v>11</v>
      </c>
      <c r="H119" s="9" t="s">
        <v>12</v>
      </c>
    </row>
    <row r="120" spans="1:8" x14ac:dyDescent="0.25">
      <c r="A120" t="s">
        <v>247</v>
      </c>
      <c r="B120" s="14" cm="1">
        <f t="array" ref="B120">_xll.GetLatestPrice(F120,,G120)</f>
        <v>354</v>
      </c>
      <c r="C120" s="1" cm="1">
        <f t="array" ref="C120">_xll.GetLatestPrice(F120,"Actual","AssessmentDate")</f>
        <v>45826.649791666663</v>
      </c>
      <c r="D120">
        <f t="shared" si="2"/>
        <v>2025</v>
      </c>
      <c r="E120">
        <f t="shared" si="3"/>
        <v>6</v>
      </c>
      <c r="F120" s="9" t="s">
        <v>248</v>
      </c>
      <c r="G120" s="9" t="s">
        <v>11</v>
      </c>
      <c r="H120" s="9" t="s">
        <v>12</v>
      </c>
    </row>
    <row r="121" spans="1:8" x14ac:dyDescent="0.25">
      <c r="A121" t="s">
        <v>249</v>
      </c>
      <c r="B121" s="14" cm="1">
        <f t="array" ref="B121">_xll.GetLatestPrice(F121,,G121)</f>
        <v>367</v>
      </c>
      <c r="C121" s="1" cm="1">
        <f t="array" ref="C121">_xll.GetLatestPrice(F121,"Actual","AssessmentDate")</f>
        <v>45826.649791666663</v>
      </c>
      <c r="D121">
        <f t="shared" si="2"/>
        <v>2025</v>
      </c>
      <c r="E121">
        <f t="shared" si="3"/>
        <v>6</v>
      </c>
      <c r="F121" s="9" t="s">
        <v>250</v>
      </c>
      <c r="G121" s="9" t="s">
        <v>11</v>
      </c>
      <c r="H121" s="9" t="s">
        <v>12</v>
      </c>
    </row>
    <row r="122" spans="1:8" x14ac:dyDescent="0.25">
      <c r="A122" t="s">
        <v>251</v>
      </c>
      <c r="B122" s="14" cm="1">
        <f t="array" ref="B122">_xll.GetLatestPrice(F122,,G122)</f>
        <v>415</v>
      </c>
      <c r="C122" s="1" cm="1">
        <f t="array" ref="C122">_xll.GetLatestPrice(F122,"Actual","AssessmentDate")</f>
        <v>45826.645833333336</v>
      </c>
      <c r="D122">
        <f t="shared" si="2"/>
        <v>2025</v>
      </c>
      <c r="E122">
        <f t="shared" si="3"/>
        <v>6</v>
      </c>
      <c r="F122" s="9" t="s">
        <v>252</v>
      </c>
      <c r="G122" s="9" t="s">
        <v>11</v>
      </c>
      <c r="H122" s="9" t="s">
        <v>12</v>
      </c>
    </row>
    <row r="123" spans="1:8" x14ac:dyDescent="0.25">
      <c r="A123" t="s">
        <v>253</v>
      </c>
      <c r="B123" s="14" cm="1">
        <f t="array" ref="B123">_xll.GetLatestPrice(F123,,G123)</f>
        <v>290</v>
      </c>
      <c r="C123" s="1" cm="1">
        <f t="array" ref="C123">_xll.GetLatestPrice(F123,"Actual","AssessmentDate")</f>
        <v>45826.645833333336</v>
      </c>
      <c r="D123">
        <f t="shared" si="2"/>
        <v>2025</v>
      </c>
      <c r="E123">
        <f t="shared" si="3"/>
        <v>6</v>
      </c>
      <c r="F123" s="9" t="s">
        <v>254</v>
      </c>
      <c r="G123" s="9" t="s">
        <v>11</v>
      </c>
      <c r="H123" s="9" t="s">
        <v>12</v>
      </c>
    </row>
    <row r="124" spans="1:8" x14ac:dyDescent="0.25">
      <c r="A124" t="s">
        <v>255</v>
      </c>
      <c r="B124" s="14" cm="1">
        <f t="array" ref="B124">_xll.GetLatestPrice(F124,,G124)</f>
        <v>300</v>
      </c>
      <c r="C124" s="1" cm="1">
        <f t="array" ref="C124">_xll.GetLatestPrice(F124,"Actual","AssessmentDate")</f>
        <v>45826.645833333336</v>
      </c>
      <c r="D124">
        <f t="shared" si="2"/>
        <v>2025</v>
      </c>
      <c r="E124">
        <f t="shared" si="3"/>
        <v>6</v>
      </c>
      <c r="F124" s="9" t="s">
        <v>256</v>
      </c>
      <c r="G124" s="9" t="s">
        <v>11</v>
      </c>
      <c r="H124" s="9" t="s">
        <v>12</v>
      </c>
    </row>
    <row r="125" spans="1:8" x14ac:dyDescent="0.25">
      <c r="A125" t="s">
        <v>257</v>
      </c>
      <c r="B125" s="14" cm="1">
        <f t="array" ref="B125">_xll.GetLatestPrice(F125,,G125)</f>
        <v>355</v>
      </c>
      <c r="C125" s="1" cm="1">
        <f t="array" ref="C125">_xll.GetLatestPrice(F125,"Actual","AssessmentDate")</f>
        <v>45826.645833333336</v>
      </c>
      <c r="D125">
        <f t="shared" si="2"/>
        <v>2025</v>
      </c>
      <c r="E125">
        <f t="shared" si="3"/>
        <v>6</v>
      </c>
      <c r="F125" s="9" t="s">
        <v>258</v>
      </c>
      <c r="G125" s="9" t="s">
        <v>11</v>
      </c>
      <c r="H125" s="9" t="s">
        <v>12</v>
      </c>
    </row>
    <row r="126" spans="1:8" x14ac:dyDescent="0.25">
      <c r="A126" t="s">
        <v>259</v>
      </c>
      <c r="B126" s="14" cm="1">
        <f t="array" ref="B126">_xll.GetLatestPrice(F126,,G126)</f>
        <v>355</v>
      </c>
      <c r="C126" s="1" cm="1">
        <f t="array" ref="C126">_xll.GetLatestPrice(F126,"Actual","AssessmentDate")</f>
        <v>45826.645833333336</v>
      </c>
      <c r="D126">
        <f t="shared" si="2"/>
        <v>2025</v>
      </c>
      <c r="E126">
        <f t="shared" si="3"/>
        <v>6</v>
      </c>
      <c r="F126" s="9" t="s">
        <v>260</v>
      </c>
      <c r="G126" s="9" t="s">
        <v>11</v>
      </c>
      <c r="H126" s="9" t="s">
        <v>12</v>
      </c>
    </row>
    <row r="127" spans="1:8" x14ac:dyDescent="0.25">
      <c r="A127" t="s">
        <v>261</v>
      </c>
      <c r="B127" s="14" cm="1">
        <f t="array" ref="B127">_xll.GetLatestPrice(F127,,G127)</f>
        <v>330</v>
      </c>
      <c r="C127" s="1" cm="1">
        <f t="array" ref="C127">_xll.GetLatestPrice(F127,"Actual","AssessmentDate")</f>
        <v>45826.645833333336</v>
      </c>
      <c r="D127">
        <f t="shared" si="2"/>
        <v>2025</v>
      </c>
      <c r="E127">
        <f t="shared" si="3"/>
        <v>6</v>
      </c>
      <c r="F127" s="9" t="s">
        <v>262</v>
      </c>
      <c r="G127" s="9" t="s">
        <v>11</v>
      </c>
      <c r="H127" s="9" t="s">
        <v>12</v>
      </c>
    </row>
    <row r="128" spans="1:8" x14ac:dyDescent="0.25">
      <c r="A128" t="s">
        <v>263</v>
      </c>
      <c r="B128" s="14" cm="1">
        <f t="array" ref="B128">_xll.GetLatestPrice(F128,,G128)</f>
        <v>230</v>
      </c>
      <c r="C128" s="1" cm="1">
        <f t="array" ref="C128">_xll.GetLatestPrice(F128,"Actual","AssessmentDate")</f>
        <v>45826.645833333336</v>
      </c>
      <c r="D128">
        <f t="shared" si="2"/>
        <v>2025</v>
      </c>
      <c r="E128">
        <f t="shared" si="3"/>
        <v>6</v>
      </c>
      <c r="F128" s="9" t="s">
        <v>264</v>
      </c>
      <c r="G128" s="9" t="s">
        <v>11</v>
      </c>
      <c r="H128" s="9" t="s">
        <v>12</v>
      </c>
    </row>
    <row r="129" spans="1:8" x14ac:dyDescent="0.25">
      <c r="A129" t="s">
        <v>265</v>
      </c>
      <c r="B129" s="14" cm="1">
        <f t="array" ref="B129">_xll.GetLatestPrice(F129,,G129)</f>
        <v>245</v>
      </c>
      <c r="C129" s="1" cm="1">
        <f t="array" ref="C129">_xll.GetLatestPrice(F129,"Actual","AssessmentDate")</f>
        <v>45826.645833333336</v>
      </c>
      <c r="D129">
        <f t="shared" si="2"/>
        <v>2025</v>
      </c>
      <c r="E129">
        <f t="shared" si="3"/>
        <v>6</v>
      </c>
      <c r="F129" s="9" t="s">
        <v>266</v>
      </c>
      <c r="G129" s="9" t="s">
        <v>11</v>
      </c>
      <c r="H129" s="9" t="s">
        <v>12</v>
      </c>
    </row>
    <row r="130" spans="1:8" x14ac:dyDescent="0.25">
      <c r="A130" t="s">
        <v>267</v>
      </c>
      <c r="B130" s="14" cm="1">
        <f t="array" ref="B130">_xll.GetLatestPrice(F130,,G130)</f>
        <v>270</v>
      </c>
      <c r="C130" s="1" cm="1">
        <f t="array" ref="C130">_xll.GetLatestPrice(F130,"Actual","AssessmentDate")</f>
        <v>45826.645833333336</v>
      </c>
      <c r="D130">
        <f t="shared" si="2"/>
        <v>2025</v>
      </c>
      <c r="E130">
        <f t="shared" si="3"/>
        <v>6</v>
      </c>
      <c r="F130" s="9" t="s">
        <v>268</v>
      </c>
      <c r="G130" s="9" t="s">
        <v>11</v>
      </c>
      <c r="H130" s="9" t="s">
        <v>12</v>
      </c>
    </row>
    <row r="131" spans="1:8" x14ac:dyDescent="0.25">
      <c r="A131" t="s">
        <v>269</v>
      </c>
      <c r="B131" s="14" cm="1">
        <f t="array" ref="B131">_xll.GetLatestPrice(F131,,G131)</f>
        <v>285</v>
      </c>
      <c r="C131" s="1" cm="1">
        <f t="array" ref="C131">_xll.GetLatestPrice(F131,"Actual","AssessmentDate")</f>
        <v>45826.645833333336</v>
      </c>
      <c r="D131">
        <f t="shared" ref="D131:D194" si="4">YEAR(C131)</f>
        <v>2025</v>
      </c>
      <c r="E131">
        <f t="shared" ref="E131:E194" si="5">MONTH(C131)</f>
        <v>6</v>
      </c>
      <c r="F131" s="9" t="s">
        <v>270</v>
      </c>
      <c r="G131" s="9" t="s">
        <v>11</v>
      </c>
      <c r="H131" s="9" t="s">
        <v>12</v>
      </c>
    </row>
    <row r="132" spans="1:8" x14ac:dyDescent="0.25">
      <c r="A132" t="s">
        <v>271</v>
      </c>
      <c r="B132" s="14" cm="1">
        <f t="array" ref="B132">_xll.GetLatestPrice(F132,,G132)</f>
        <v>590</v>
      </c>
      <c r="C132" s="1" cm="1">
        <f t="array" ref="C132">_xll.GetLatestPrice(F132,"Actual","AssessmentDate")</f>
        <v>45826.648125</v>
      </c>
      <c r="D132">
        <f t="shared" si="4"/>
        <v>2025</v>
      </c>
      <c r="E132">
        <f t="shared" si="5"/>
        <v>6</v>
      </c>
      <c r="F132" s="9" t="s">
        <v>272</v>
      </c>
      <c r="G132" s="9" t="s">
        <v>11</v>
      </c>
      <c r="H132" s="9" t="s">
        <v>12</v>
      </c>
    </row>
    <row r="133" spans="1:8" x14ac:dyDescent="0.25">
      <c r="A133" t="s">
        <v>273</v>
      </c>
      <c r="B133" s="14" cm="1">
        <f t="array" ref="B133">_xll.GetLatestPrice(F133,,G133)</f>
        <v>591</v>
      </c>
      <c r="C133" s="1" cm="1">
        <f t="array" ref="C133">_xll.GetLatestPrice(F133,"Actual","AssessmentDate")</f>
        <v>45826.649791666663</v>
      </c>
      <c r="D133">
        <f t="shared" si="4"/>
        <v>2025</v>
      </c>
      <c r="E133">
        <f t="shared" si="5"/>
        <v>6</v>
      </c>
      <c r="F133" s="9" t="s">
        <v>274</v>
      </c>
      <c r="G133" s="9" t="s">
        <v>11</v>
      </c>
      <c r="H133" s="9" t="s">
        <v>12</v>
      </c>
    </row>
    <row r="134" spans="1:8" x14ac:dyDescent="0.25">
      <c r="A134" t="s">
        <v>275</v>
      </c>
      <c r="B134" s="14" cm="1">
        <f t="array" ref="B134">_xll.GetLatestPrice(F134,,G134)</f>
        <v>566</v>
      </c>
      <c r="C134" s="1" cm="1">
        <f t="array" ref="C134">_xll.GetLatestPrice(F134,"Actual","AssessmentDate")</f>
        <v>45826.648125</v>
      </c>
      <c r="D134">
        <f t="shared" si="4"/>
        <v>2025</v>
      </c>
      <c r="E134">
        <f t="shared" si="5"/>
        <v>6</v>
      </c>
      <c r="F134" s="9" t="s">
        <v>276</v>
      </c>
      <c r="G134" s="9" t="s">
        <v>11</v>
      </c>
      <c r="H134" s="9" t="s">
        <v>12</v>
      </c>
    </row>
    <row r="135" spans="1:8" x14ac:dyDescent="0.25">
      <c r="A135" t="s">
        <v>277</v>
      </c>
      <c r="B135" s="14" cm="1">
        <f t="array" ref="B135">_xll.GetLatestPrice(F135,,G135)</f>
        <v>573</v>
      </c>
      <c r="C135" s="1" cm="1">
        <f t="array" ref="C135">_xll.GetLatestPrice(F135,"Actual","AssessmentDate")</f>
        <v>45826.649791666663</v>
      </c>
      <c r="D135">
        <f t="shared" si="4"/>
        <v>2025</v>
      </c>
      <c r="E135">
        <f t="shared" si="5"/>
        <v>6</v>
      </c>
      <c r="F135" s="9" t="s">
        <v>278</v>
      </c>
      <c r="G135" s="9" t="s">
        <v>11</v>
      </c>
      <c r="H135" s="9" t="s">
        <v>12</v>
      </c>
    </row>
    <row r="136" spans="1:8" x14ac:dyDescent="0.25">
      <c r="A136" t="s">
        <v>279</v>
      </c>
      <c r="B136" s="14" cm="1">
        <f t="array" ref="B136">_xll.GetLatestPrice(F136,,G136)</f>
        <v>551</v>
      </c>
      <c r="C136" s="1" cm="1">
        <f t="array" ref="C136">_xll.GetLatestPrice(F136,"Actual","AssessmentDate")</f>
        <v>45826.649791666663</v>
      </c>
      <c r="D136">
        <f t="shared" si="4"/>
        <v>2025</v>
      </c>
      <c r="E136">
        <f t="shared" si="5"/>
        <v>6</v>
      </c>
      <c r="F136" s="9" t="s">
        <v>280</v>
      </c>
      <c r="G136" s="9" t="s">
        <v>11</v>
      </c>
      <c r="H136" s="9" t="s">
        <v>12</v>
      </c>
    </row>
    <row r="137" spans="1:8" x14ac:dyDescent="0.25">
      <c r="A137" t="s">
        <v>281</v>
      </c>
      <c r="B137" s="14" cm="1">
        <f t="array" ref="B137">_xll.GetLatestPrice(F137,,G137)</f>
        <v>770</v>
      </c>
      <c r="C137" s="1" cm="1">
        <f t="array" ref="C137">_xll.GetLatestPrice(F137,"Actual","AssessmentDate")</f>
        <v>45826.649791666663</v>
      </c>
      <c r="D137">
        <f t="shared" si="4"/>
        <v>2025</v>
      </c>
      <c r="E137">
        <f t="shared" si="5"/>
        <v>6</v>
      </c>
      <c r="F137" s="9" t="s">
        <v>282</v>
      </c>
      <c r="G137" s="9" t="s">
        <v>11</v>
      </c>
      <c r="H137" s="9" t="s">
        <v>12</v>
      </c>
    </row>
    <row r="138" spans="1:8" x14ac:dyDescent="0.25">
      <c r="A138" t="s">
        <v>283</v>
      </c>
      <c r="B138" s="14" cm="1">
        <f t="array" ref="B138">_xll.GetLatestPrice(F138,,G138)</f>
        <v>743</v>
      </c>
      <c r="C138" s="1" cm="1">
        <f t="array" ref="C138">_xll.GetLatestPrice(F138,"Actual","AssessmentDate")</f>
        <v>45826.649791666663</v>
      </c>
      <c r="D138">
        <f t="shared" si="4"/>
        <v>2025</v>
      </c>
      <c r="E138">
        <f t="shared" si="5"/>
        <v>6</v>
      </c>
      <c r="F138" s="9" t="s">
        <v>284</v>
      </c>
      <c r="G138" s="9" t="s">
        <v>11</v>
      </c>
      <c r="H138" s="9" t="s">
        <v>12</v>
      </c>
    </row>
    <row r="139" spans="1:8" x14ac:dyDescent="0.25">
      <c r="A139" t="s">
        <v>285</v>
      </c>
      <c r="B139" s="14" cm="1">
        <f t="array" ref="B139">_xll.GetLatestPrice(F139,,G139)</f>
        <v>757</v>
      </c>
      <c r="C139" s="1" cm="1">
        <f t="array" ref="C139">_xll.GetLatestPrice(F139,"Actual","AssessmentDate")</f>
        <v>45826.649791666663</v>
      </c>
      <c r="D139">
        <f t="shared" si="4"/>
        <v>2025</v>
      </c>
      <c r="E139">
        <f t="shared" si="5"/>
        <v>6</v>
      </c>
      <c r="F139" s="9" t="s">
        <v>286</v>
      </c>
      <c r="G139" s="9" t="s">
        <v>11</v>
      </c>
      <c r="H139" s="9" t="s">
        <v>12</v>
      </c>
    </row>
    <row r="140" spans="1:8" x14ac:dyDescent="0.25">
      <c r="A140" t="s">
        <v>287</v>
      </c>
      <c r="B140" s="14" cm="1">
        <f t="array" ref="B140">_xll.GetLatestPrice(F140,,G140)</f>
        <v>385</v>
      </c>
      <c r="C140" s="1" cm="1">
        <f t="array" ref="C140">_xll.GetLatestPrice(F140,"Actual","AssessmentDate")</f>
        <v>45826.645833333336</v>
      </c>
      <c r="D140">
        <f t="shared" si="4"/>
        <v>2025</v>
      </c>
      <c r="E140">
        <f t="shared" si="5"/>
        <v>6</v>
      </c>
      <c r="F140" s="9" t="s">
        <v>288</v>
      </c>
      <c r="G140" s="9" t="s">
        <v>11</v>
      </c>
      <c r="H140" s="9" t="s">
        <v>12</v>
      </c>
    </row>
    <row r="141" spans="1:8" x14ac:dyDescent="0.25">
      <c r="A141" t="s">
        <v>289</v>
      </c>
      <c r="B141" s="14" cm="1">
        <f t="array" ref="B141">_xll.GetLatestPrice(F141,,G141)</f>
        <v>465</v>
      </c>
      <c r="C141" s="1" cm="1">
        <f t="array" ref="C141">_xll.GetLatestPrice(F141,"Actual","AssessmentDate")</f>
        <v>45826.645833333336</v>
      </c>
      <c r="D141">
        <f t="shared" si="4"/>
        <v>2025</v>
      </c>
      <c r="E141">
        <f t="shared" si="5"/>
        <v>6</v>
      </c>
      <c r="F141" s="9" t="s">
        <v>290</v>
      </c>
      <c r="G141" s="9" t="s">
        <v>11</v>
      </c>
      <c r="H141" s="9" t="s">
        <v>12</v>
      </c>
    </row>
    <row r="142" spans="1:8" x14ac:dyDescent="0.25">
      <c r="A142" t="s">
        <v>291</v>
      </c>
      <c r="B142" s="14" cm="1">
        <f t="array" ref="B142">_xll.GetLatestPrice(F142,,G142)</f>
        <v>430</v>
      </c>
      <c r="C142" s="1" cm="1">
        <f t="array" ref="C142">_xll.GetLatestPrice(F142,"Actual","AssessmentDate")</f>
        <v>45826.645833333336</v>
      </c>
      <c r="D142">
        <f t="shared" si="4"/>
        <v>2025</v>
      </c>
      <c r="E142">
        <f t="shared" si="5"/>
        <v>6</v>
      </c>
      <c r="F142" s="9" t="s">
        <v>292</v>
      </c>
      <c r="G142" s="9" t="s">
        <v>11</v>
      </c>
      <c r="H142" s="9" t="s">
        <v>12</v>
      </c>
    </row>
    <row r="143" spans="1:8" x14ac:dyDescent="0.25">
      <c r="A143" t="s">
        <v>293</v>
      </c>
      <c r="B143" s="14" cm="1">
        <f t="array" ref="B143">_xll.GetLatestPrice(F143,,G143)</f>
        <v>463</v>
      </c>
      <c r="C143" s="1" cm="1">
        <f t="array" ref="C143">_xll.GetLatestPrice(F143,"Actual","AssessmentDate")</f>
        <v>45826.649791666663</v>
      </c>
      <c r="D143">
        <f t="shared" si="4"/>
        <v>2025</v>
      </c>
      <c r="E143">
        <f t="shared" si="5"/>
        <v>6</v>
      </c>
      <c r="F143" s="9" t="s">
        <v>294</v>
      </c>
      <c r="G143" s="9" t="s">
        <v>11</v>
      </c>
      <c r="H143" s="9" t="s">
        <v>12</v>
      </c>
    </row>
    <row r="144" spans="1:8" x14ac:dyDescent="0.25">
      <c r="A144" t="s">
        <v>295</v>
      </c>
      <c r="B144" s="14" cm="1">
        <f t="array" ref="B144">_xll.GetLatestPrice(F144,,G144)</f>
        <v>441</v>
      </c>
      <c r="C144" s="1" cm="1">
        <f t="array" ref="C144">_xll.GetLatestPrice(F144,"Actual","AssessmentDate")</f>
        <v>45826.649791666663</v>
      </c>
      <c r="D144">
        <f t="shared" si="4"/>
        <v>2025</v>
      </c>
      <c r="E144">
        <f t="shared" si="5"/>
        <v>6</v>
      </c>
      <c r="F144" s="9" t="s">
        <v>296</v>
      </c>
      <c r="G144" s="9" t="s">
        <v>11</v>
      </c>
      <c r="H144" s="9" t="s">
        <v>12</v>
      </c>
    </row>
    <row r="145" spans="1:8" x14ac:dyDescent="0.25">
      <c r="A145" t="s">
        <v>297</v>
      </c>
      <c r="B145" s="14" cm="1">
        <f t="array" ref="B145">_xll.GetLatestPrice(F145,,G145)</f>
        <v>442</v>
      </c>
      <c r="C145" s="1" cm="1">
        <f t="array" ref="C145">_xll.GetLatestPrice(F145,"Actual","AssessmentDate")</f>
        <v>45826.649791666663</v>
      </c>
      <c r="D145">
        <f t="shared" si="4"/>
        <v>2025</v>
      </c>
      <c r="E145">
        <f t="shared" si="5"/>
        <v>6</v>
      </c>
      <c r="F145" s="9" t="s">
        <v>298</v>
      </c>
      <c r="G145" s="9" t="s">
        <v>11</v>
      </c>
      <c r="H145" s="9" t="s">
        <v>12</v>
      </c>
    </row>
    <row r="146" spans="1:8" x14ac:dyDescent="0.25">
      <c r="A146" t="s">
        <v>299</v>
      </c>
      <c r="B146" s="14" cm="1">
        <f t="array" ref="B146">_xll.GetLatestPrice(F146,,G146)</f>
        <v>440</v>
      </c>
      <c r="C146" s="1" cm="1">
        <f t="array" ref="C146">_xll.GetLatestPrice(F146,"Actual","AssessmentDate")</f>
        <v>45826.649791666663</v>
      </c>
      <c r="D146">
        <f t="shared" si="4"/>
        <v>2025</v>
      </c>
      <c r="E146">
        <f t="shared" si="5"/>
        <v>6</v>
      </c>
      <c r="F146" s="9" t="s">
        <v>300</v>
      </c>
      <c r="G146" s="9" t="s">
        <v>11</v>
      </c>
      <c r="H146" s="9" t="s">
        <v>12</v>
      </c>
    </row>
    <row r="147" spans="1:8" x14ac:dyDescent="0.25">
      <c r="A147" t="s">
        <v>301</v>
      </c>
      <c r="B147" s="14" cm="1">
        <f t="array" ref="B147">_xll.GetLatestPrice(F147,,G147)</f>
        <v>425</v>
      </c>
      <c r="C147" s="1" cm="1">
        <f t="array" ref="C147">_xll.GetLatestPrice(F147,"Actual","AssessmentDate")</f>
        <v>45826.649791666663</v>
      </c>
      <c r="D147">
        <f t="shared" si="4"/>
        <v>2025</v>
      </c>
      <c r="E147">
        <f t="shared" si="5"/>
        <v>6</v>
      </c>
      <c r="F147" s="9" t="s">
        <v>302</v>
      </c>
      <c r="G147" s="9" t="s">
        <v>11</v>
      </c>
      <c r="H147" s="9" t="s">
        <v>12</v>
      </c>
    </row>
    <row r="148" spans="1:8" x14ac:dyDescent="0.25">
      <c r="A148" t="s">
        <v>303</v>
      </c>
      <c r="B148" s="14" cm="1">
        <f t="array" ref="B148">_xll.GetLatestPrice(F148,,G148)</f>
        <v>438</v>
      </c>
      <c r="C148" s="1" cm="1">
        <f t="array" ref="C148">_xll.GetLatestPrice(F148,"Actual","AssessmentDate")</f>
        <v>45826.649791666663</v>
      </c>
      <c r="D148">
        <f t="shared" si="4"/>
        <v>2025</v>
      </c>
      <c r="E148">
        <f t="shared" si="5"/>
        <v>6</v>
      </c>
      <c r="F148" s="9" t="s">
        <v>304</v>
      </c>
      <c r="G148" s="9" t="s">
        <v>11</v>
      </c>
      <c r="H148" s="9" t="s">
        <v>12</v>
      </c>
    </row>
    <row r="149" spans="1:8" x14ac:dyDescent="0.25">
      <c r="A149" t="s">
        <v>305</v>
      </c>
      <c r="B149" s="14" cm="1">
        <f t="array" ref="B149">_xll.GetLatestPrice(F149,,G149)</f>
        <v>509</v>
      </c>
      <c r="C149" s="1" cm="1">
        <f t="array" ref="C149">_xll.GetLatestPrice(F149,"Actual","AssessmentDate")</f>
        <v>45826.648125</v>
      </c>
      <c r="D149">
        <f t="shared" si="4"/>
        <v>2025</v>
      </c>
      <c r="E149">
        <f t="shared" si="5"/>
        <v>6</v>
      </c>
      <c r="F149" s="9" t="s">
        <v>306</v>
      </c>
      <c r="G149" s="9" t="s">
        <v>11</v>
      </c>
      <c r="H149" s="9" t="s">
        <v>12</v>
      </c>
    </row>
    <row r="150" spans="1:8" x14ac:dyDescent="0.25">
      <c r="A150" t="s">
        <v>307</v>
      </c>
      <c r="B150" s="14" cm="1">
        <f t="array" ref="B150">_xll.GetLatestPrice(F150,,G150)</f>
        <v>487</v>
      </c>
      <c r="C150" s="1" cm="1">
        <f t="array" ref="C150">_xll.GetLatestPrice(F150,"Actual","AssessmentDate")</f>
        <v>45826.648125</v>
      </c>
      <c r="D150">
        <f t="shared" si="4"/>
        <v>2025</v>
      </c>
      <c r="E150">
        <f t="shared" si="5"/>
        <v>6</v>
      </c>
      <c r="F150" s="9" t="s">
        <v>308</v>
      </c>
      <c r="G150" s="9" t="s">
        <v>11</v>
      </c>
      <c r="H150" s="9" t="s">
        <v>12</v>
      </c>
    </row>
    <row r="151" spans="1:8" x14ac:dyDescent="0.25">
      <c r="A151" t="s">
        <v>309</v>
      </c>
      <c r="B151" s="14" cm="1">
        <f t="array" ref="B151">_xll.GetLatestPrice(F151,,G151)</f>
        <v>566</v>
      </c>
      <c r="C151" s="1" cm="1">
        <f t="array" ref="C151">_xll.GetLatestPrice(F151,"Actual","AssessmentDate")</f>
        <v>45826.648125</v>
      </c>
      <c r="D151">
        <f t="shared" si="4"/>
        <v>2025</v>
      </c>
      <c r="E151">
        <f t="shared" si="5"/>
        <v>6</v>
      </c>
      <c r="F151" s="9" t="s">
        <v>276</v>
      </c>
      <c r="G151" s="9" t="s">
        <v>11</v>
      </c>
      <c r="H151" s="9" t="s">
        <v>12</v>
      </c>
    </row>
    <row r="152" spans="1:8" x14ac:dyDescent="0.25">
      <c r="A152" t="s">
        <v>310</v>
      </c>
      <c r="B152" s="14" cm="1">
        <f t="array" ref="B152">_xll.GetLatestPrice(F152,,G152)</f>
        <v>717</v>
      </c>
      <c r="C152" s="1" cm="1">
        <f t="array" ref="C152">_xll.GetLatestPrice(F152,"Actual","AssessmentDate")</f>
        <v>45826.648125</v>
      </c>
      <c r="D152">
        <f t="shared" si="4"/>
        <v>2025</v>
      </c>
      <c r="E152">
        <f t="shared" si="5"/>
        <v>6</v>
      </c>
      <c r="F152" s="9" t="s">
        <v>311</v>
      </c>
      <c r="G152" s="9" t="s">
        <v>11</v>
      </c>
      <c r="H152" s="9" t="s">
        <v>12</v>
      </c>
    </row>
    <row r="153" spans="1:8" x14ac:dyDescent="0.25">
      <c r="A153" t="s">
        <v>312</v>
      </c>
      <c r="B153" s="14" cm="1">
        <f t="array" ref="B153">_xll.GetLatestPrice(F153,,G153)</f>
        <v>475</v>
      </c>
      <c r="C153" s="1" cm="1">
        <f t="array" ref="C153">_xll.GetLatestPrice(F153,"Actual","AssessmentDate")</f>
        <v>45826.648125</v>
      </c>
      <c r="D153">
        <f t="shared" si="4"/>
        <v>2025</v>
      </c>
      <c r="E153">
        <f t="shared" si="5"/>
        <v>6</v>
      </c>
      <c r="F153" s="9" t="s">
        <v>313</v>
      </c>
      <c r="G153" s="9" t="s">
        <v>11</v>
      </c>
      <c r="H153" s="9" t="s">
        <v>12</v>
      </c>
    </row>
    <row r="154" spans="1:8" x14ac:dyDescent="0.25">
      <c r="A154" t="s">
        <v>314</v>
      </c>
      <c r="B154" s="14" cm="1">
        <f t="array" ref="B154">_xll.GetLatestPrice(F154,,G154)</f>
        <v>645</v>
      </c>
      <c r="C154" s="1" cm="1">
        <f t="array" ref="C154">_xll.GetLatestPrice(F154,"Actual","AssessmentDate")</f>
        <v>45826.645833333336</v>
      </c>
      <c r="D154">
        <f t="shared" si="4"/>
        <v>2025</v>
      </c>
      <c r="E154">
        <f t="shared" si="5"/>
        <v>6</v>
      </c>
      <c r="F154" s="9" t="s">
        <v>315</v>
      </c>
      <c r="G154" s="9" t="s">
        <v>11</v>
      </c>
      <c r="H154" s="9" t="s">
        <v>12</v>
      </c>
    </row>
    <row r="155" spans="1:8" x14ac:dyDescent="0.25">
      <c r="A155" t="s">
        <v>316</v>
      </c>
      <c r="B155" s="14" cm="1">
        <f t="array" ref="B155">_xll.GetLatestPrice(F155,,G155)</f>
        <v>615</v>
      </c>
      <c r="C155" s="1" cm="1">
        <f t="array" ref="C155">_xll.GetLatestPrice(F155,"Actual","AssessmentDate")</f>
        <v>45826.645833333336</v>
      </c>
      <c r="D155">
        <f t="shared" si="4"/>
        <v>2025</v>
      </c>
      <c r="E155">
        <f t="shared" si="5"/>
        <v>6</v>
      </c>
      <c r="F155" s="9" t="s">
        <v>317</v>
      </c>
      <c r="G155" s="9" t="s">
        <v>11</v>
      </c>
      <c r="H155" s="9" t="s">
        <v>12</v>
      </c>
    </row>
    <row r="156" spans="1:8" x14ac:dyDescent="0.25">
      <c r="A156" t="s">
        <v>318</v>
      </c>
      <c r="B156" s="14" cm="1">
        <f t="array" ref="B156">_xll.GetLatestPrice(F156,,G156)</f>
        <v>378</v>
      </c>
      <c r="C156" s="1" cm="1">
        <f t="array" ref="C156">_xll.GetLatestPrice(F156,"Actual","AssessmentDate")</f>
        <v>45826.645833333336</v>
      </c>
      <c r="D156">
        <f t="shared" si="4"/>
        <v>2025</v>
      </c>
      <c r="E156">
        <f t="shared" si="5"/>
        <v>6</v>
      </c>
      <c r="F156" s="9" t="s">
        <v>319</v>
      </c>
      <c r="G156" s="9" t="s">
        <v>11</v>
      </c>
      <c r="H156" s="9" t="s">
        <v>12</v>
      </c>
    </row>
    <row r="157" spans="1:8" x14ac:dyDescent="0.25">
      <c r="A157" t="s">
        <v>320</v>
      </c>
      <c r="B157" s="14" cm="1">
        <f t="array" ref="B157">_xll.GetLatestPrice(F157,,G157)</f>
        <v>295</v>
      </c>
      <c r="C157" s="1" cm="1">
        <f t="array" ref="C157">_xll.GetLatestPrice(F157,"Actual","AssessmentDate")</f>
        <v>45826.645833333336</v>
      </c>
      <c r="D157">
        <f t="shared" si="4"/>
        <v>2025</v>
      </c>
      <c r="E157">
        <f t="shared" si="5"/>
        <v>6</v>
      </c>
      <c r="F157" s="9" t="s">
        <v>321</v>
      </c>
      <c r="G157" s="9" t="s">
        <v>11</v>
      </c>
      <c r="H157" s="9" t="s">
        <v>12</v>
      </c>
    </row>
    <row r="158" spans="1:8" x14ac:dyDescent="0.25">
      <c r="A158" t="s">
        <v>322</v>
      </c>
      <c r="B158" s="14" cm="1">
        <f t="array" ref="B158">_xll.GetLatestPrice(F158,,G158)</f>
        <v>314</v>
      </c>
      <c r="C158" s="1" cm="1">
        <f t="array" ref="C158">_xll.GetLatestPrice(F158,"Actual","AssessmentDate")</f>
        <v>45826.645833333336</v>
      </c>
      <c r="D158">
        <f t="shared" si="4"/>
        <v>2025</v>
      </c>
      <c r="E158">
        <f t="shared" si="5"/>
        <v>6</v>
      </c>
      <c r="F158" s="9" t="s">
        <v>323</v>
      </c>
      <c r="G158" s="9" t="s">
        <v>11</v>
      </c>
      <c r="H158" s="9" t="s">
        <v>12</v>
      </c>
    </row>
    <row r="159" spans="1:8" x14ac:dyDescent="0.25">
      <c r="A159" t="s">
        <v>324</v>
      </c>
      <c r="B159" s="14" cm="1">
        <f t="array" ref="B159">_xll.GetLatestPrice(F159,,G159)</f>
        <v>420</v>
      </c>
      <c r="C159" s="1" cm="1">
        <f t="array" ref="C159">_xll.GetLatestPrice(F159,"Actual","AssessmentDate")</f>
        <v>45826.645833333336</v>
      </c>
      <c r="D159">
        <f t="shared" si="4"/>
        <v>2025</v>
      </c>
      <c r="E159">
        <f t="shared" si="5"/>
        <v>6</v>
      </c>
      <c r="F159" s="9" t="s">
        <v>325</v>
      </c>
      <c r="G159" s="9" t="s">
        <v>11</v>
      </c>
      <c r="H159" s="9" t="s">
        <v>12</v>
      </c>
    </row>
    <row r="160" spans="1:8" x14ac:dyDescent="0.25">
      <c r="A160" t="s">
        <v>326</v>
      </c>
      <c r="B160" s="14" cm="1">
        <f t="array" ref="B160">_xll.GetLatestPrice(F160,,G160)</f>
        <v>401</v>
      </c>
      <c r="C160" s="1" cm="1">
        <f t="array" ref="C160">_xll.GetLatestPrice(F160,"Actual","AssessmentDate")</f>
        <v>45826.645833333336</v>
      </c>
      <c r="D160">
        <f t="shared" si="4"/>
        <v>2025</v>
      </c>
      <c r="E160">
        <f t="shared" si="5"/>
        <v>6</v>
      </c>
      <c r="F160" s="9" t="s">
        <v>327</v>
      </c>
      <c r="G160" s="9" t="s">
        <v>11</v>
      </c>
      <c r="H160" s="9" t="s">
        <v>12</v>
      </c>
    </row>
    <row r="161" spans="1:8" x14ac:dyDescent="0.25">
      <c r="A161" t="s">
        <v>328</v>
      </c>
      <c r="B161" s="14" cm="1">
        <f t="array" ref="B161">_xll.GetLatestPrice(F161,,G161)</f>
        <v>530</v>
      </c>
      <c r="C161" s="1" cm="1">
        <f t="array" ref="C161">_xll.GetLatestPrice(F161,"Actual","AssessmentDate")</f>
        <v>45826.645833333336</v>
      </c>
      <c r="D161">
        <f t="shared" si="4"/>
        <v>2025</v>
      </c>
      <c r="E161">
        <f t="shared" si="5"/>
        <v>6</v>
      </c>
      <c r="F161" s="9" t="s">
        <v>329</v>
      </c>
      <c r="G161" s="9" t="s">
        <v>11</v>
      </c>
      <c r="H161" s="9" t="s">
        <v>12</v>
      </c>
    </row>
    <row r="162" spans="1:8" x14ac:dyDescent="0.25">
      <c r="A162" t="s">
        <v>330</v>
      </c>
      <c r="B162" s="14" cm="1">
        <f t="array" ref="B162">_xll.GetLatestPrice(F162,,G162)</f>
        <v>498</v>
      </c>
      <c r="C162" s="1" cm="1">
        <f t="array" ref="C162">_xll.GetLatestPrice(F162,"Actual","AssessmentDate")</f>
        <v>45826.648125</v>
      </c>
      <c r="D162">
        <f t="shared" si="4"/>
        <v>2025</v>
      </c>
      <c r="E162">
        <f t="shared" si="5"/>
        <v>6</v>
      </c>
      <c r="F162" s="9" t="s">
        <v>331</v>
      </c>
      <c r="G162" s="9" t="s">
        <v>11</v>
      </c>
      <c r="H162" s="9" t="s">
        <v>12</v>
      </c>
    </row>
    <row r="163" spans="1:8" x14ac:dyDescent="0.25">
      <c r="A163" t="s">
        <v>332</v>
      </c>
      <c r="B163" s="14" cm="1">
        <f t="array" ref="B163">_xll.GetLatestPrice(F163,,G163)</f>
        <v>499</v>
      </c>
      <c r="C163" s="1" cm="1">
        <f t="array" ref="C163">_xll.GetLatestPrice(F163,"Actual","AssessmentDate")</f>
        <v>45826.649791666663</v>
      </c>
      <c r="D163">
        <f t="shared" si="4"/>
        <v>2025</v>
      </c>
      <c r="E163">
        <f t="shared" si="5"/>
        <v>6</v>
      </c>
      <c r="F163" s="9" t="s">
        <v>333</v>
      </c>
      <c r="G163" s="9" t="s">
        <v>11</v>
      </c>
      <c r="H163" s="9" t="s">
        <v>12</v>
      </c>
    </row>
    <row r="164" spans="1:8" x14ac:dyDescent="0.25">
      <c r="A164" t="s">
        <v>334</v>
      </c>
      <c r="B164" s="14" cm="1">
        <f t="array" ref="B164">_xll.GetLatestPrice(F164,,G164)</f>
        <v>475</v>
      </c>
      <c r="C164" s="1" cm="1">
        <f t="array" ref="C164">_xll.GetLatestPrice(F164,"Actual","AssessmentDate")</f>
        <v>45826.648125</v>
      </c>
      <c r="D164">
        <f t="shared" si="4"/>
        <v>2025</v>
      </c>
      <c r="E164">
        <f t="shared" si="5"/>
        <v>6</v>
      </c>
      <c r="F164" s="9" t="s">
        <v>313</v>
      </c>
      <c r="G164" s="9" t="s">
        <v>11</v>
      </c>
      <c r="H164" s="9" t="s">
        <v>12</v>
      </c>
    </row>
    <row r="165" spans="1:8" x14ac:dyDescent="0.25">
      <c r="A165" t="s">
        <v>335</v>
      </c>
      <c r="B165" s="14" cm="1">
        <f t="array" ref="B165">_xll.GetLatestPrice(F165,,G165)</f>
        <v>481</v>
      </c>
      <c r="C165" s="1" cm="1">
        <f t="array" ref="C165">_xll.GetLatestPrice(F165,"Actual","AssessmentDate")</f>
        <v>45826.649791666663</v>
      </c>
      <c r="D165">
        <f t="shared" si="4"/>
        <v>2025</v>
      </c>
      <c r="E165">
        <f t="shared" si="5"/>
        <v>6</v>
      </c>
      <c r="F165" s="9" t="s">
        <v>336</v>
      </c>
      <c r="G165" s="9" t="s">
        <v>11</v>
      </c>
      <c r="H165" s="9" t="s">
        <v>12</v>
      </c>
    </row>
    <row r="166" spans="1:8" x14ac:dyDescent="0.25">
      <c r="A166" t="s">
        <v>337</v>
      </c>
      <c r="B166" s="14" cm="1">
        <f t="array" ref="B166">_xll.GetLatestPrice(F166,,G166)</f>
        <v>464</v>
      </c>
      <c r="C166" s="1" cm="1">
        <f t="array" ref="C166">_xll.GetLatestPrice(F166,"Actual","AssessmentDate")</f>
        <v>45826.649791666663</v>
      </c>
      <c r="D166">
        <f t="shared" si="4"/>
        <v>2025</v>
      </c>
      <c r="E166">
        <f t="shared" si="5"/>
        <v>6</v>
      </c>
      <c r="F166" s="9" t="s">
        <v>338</v>
      </c>
      <c r="G166" s="9" t="s">
        <v>11</v>
      </c>
      <c r="H166" s="9" t="s">
        <v>12</v>
      </c>
    </row>
    <row r="167" spans="1:8" x14ac:dyDescent="0.25">
      <c r="A167" t="s">
        <v>339</v>
      </c>
      <c r="B167" s="14" cm="1">
        <f t="array" ref="B167">_xll.GetLatestPrice(F167,,G167)</f>
        <v>533</v>
      </c>
      <c r="C167" s="1" cm="1">
        <f t="array" ref="C167">_xll.GetLatestPrice(F167,"Actual","AssessmentDate")</f>
        <v>45826.648125</v>
      </c>
      <c r="D167">
        <f t="shared" si="4"/>
        <v>2025</v>
      </c>
      <c r="E167">
        <f t="shared" si="5"/>
        <v>6</v>
      </c>
      <c r="F167" s="9" t="s">
        <v>340</v>
      </c>
      <c r="G167" s="9" t="s">
        <v>11</v>
      </c>
      <c r="H167" s="9" t="s">
        <v>12</v>
      </c>
    </row>
    <row r="168" spans="1:8" x14ac:dyDescent="0.25">
      <c r="A168" t="s">
        <v>341</v>
      </c>
      <c r="B168" s="14" cm="1">
        <f t="array" ref="B168">_xll.GetLatestPrice(F168,,G168)</f>
        <v>510</v>
      </c>
      <c r="C168" s="1" cm="1">
        <f t="array" ref="C168">_xll.GetLatestPrice(F168,"Actual","AssessmentDate")</f>
        <v>45826.648125</v>
      </c>
      <c r="D168">
        <f t="shared" si="4"/>
        <v>2025</v>
      </c>
      <c r="E168">
        <f t="shared" si="5"/>
        <v>6</v>
      </c>
      <c r="F168" s="9" t="s">
        <v>342</v>
      </c>
      <c r="G168" s="9" t="s">
        <v>11</v>
      </c>
      <c r="H168" s="9" t="s">
        <v>12</v>
      </c>
    </row>
    <row r="169" spans="1:8" x14ac:dyDescent="0.25">
      <c r="A169" t="s">
        <v>343</v>
      </c>
      <c r="B169" s="14" cm="1">
        <f t="array" ref="B169">_xll.GetLatestPrice(F169,,G169)</f>
        <v>590</v>
      </c>
      <c r="C169" s="1" cm="1">
        <f t="array" ref="C169">_xll.GetLatestPrice(F169,"Actual","AssessmentDate")</f>
        <v>45826.648125</v>
      </c>
      <c r="D169">
        <f t="shared" si="4"/>
        <v>2025</v>
      </c>
      <c r="E169">
        <f t="shared" si="5"/>
        <v>6</v>
      </c>
      <c r="F169" s="9" t="s">
        <v>272</v>
      </c>
      <c r="G169" s="9" t="s">
        <v>11</v>
      </c>
      <c r="H169" s="9" t="s">
        <v>12</v>
      </c>
    </row>
    <row r="170" spans="1:8" x14ac:dyDescent="0.25">
      <c r="A170" t="s">
        <v>344</v>
      </c>
      <c r="B170" s="14" cm="1">
        <f t="array" ref="B170">_xll.GetLatestPrice(F170,,G170)</f>
        <v>385</v>
      </c>
      <c r="C170" s="1" cm="1">
        <f t="array" ref="C170">_xll.GetLatestPrice(F170,"Actual","AssessmentDate")</f>
        <v>45826.648125</v>
      </c>
      <c r="D170">
        <f t="shared" si="4"/>
        <v>2025</v>
      </c>
      <c r="E170">
        <f t="shared" si="5"/>
        <v>6</v>
      </c>
      <c r="F170" s="9" t="s">
        <v>345</v>
      </c>
      <c r="G170" s="9" t="s">
        <v>11</v>
      </c>
      <c r="H170" s="9" t="s">
        <v>12</v>
      </c>
    </row>
    <row r="171" spans="1:8" x14ac:dyDescent="0.25">
      <c r="A171" t="s">
        <v>346</v>
      </c>
      <c r="B171" s="14" cm="1">
        <f t="array" ref="B171">_xll.GetLatestPrice(F171,,G171)</f>
        <v>498</v>
      </c>
      <c r="C171" s="1" cm="1">
        <f t="array" ref="C171">_xll.GetLatestPrice(F171,"Actual","AssessmentDate")</f>
        <v>45826.648125</v>
      </c>
      <c r="D171">
        <f t="shared" si="4"/>
        <v>2025</v>
      </c>
      <c r="E171">
        <f t="shared" si="5"/>
        <v>6</v>
      </c>
      <c r="F171" s="9" t="s">
        <v>331</v>
      </c>
      <c r="G171" s="9" t="s">
        <v>11</v>
      </c>
      <c r="H171" s="9" t="s">
        <v>12</v>
      </c>
    </row>
    <row r="172" spans="1:8" x14ac:dyDescent="0.25">
      <c r="A172" t="s">
        <v>347</v>
      </c>
      <c r="B172" s="14" cm="1">
        <f t="array" ref="B172">_xll.GetLatestPrice(F172,,G172)</f>
        <v>415</v>
      </c>
      <c r="C172" s="1" cm="1">
        <f t="array" ref="C172">_xll.GetLatestPrice(F172,"Actual","AssessmentDate")</f>
        <v>45826.645833333336</v>
      </c>
      <c r="D172">
        <f t="shared" si="4"/>
        <v>2025</v>
      </c>
      <c r="E172">
        <f t="shared" si="5"/>
        <v>6</v>
      </c>
      <c r="F172" s="9" t="s">
        <v>348</v>
      </c>
      <c r="G172" s="9" t="s">
        <v>11</v>
      </c>
      <c r="H172" s="9" t="s">
        <v>12</v>
      </c>
    </row>
    <row r="173" spans="1:8" x14ac:dyDescent="0.25">
      <c r="A173" t="s">
        <v>349</v>
      </c>
      <c r="B173" s="14" cm="1">
        <f t="array" ref="B173">_xll.GetLatestPrice(F173,,G173)</f>
        <v>575</v>
      </c>
      <c r="C173" s="1" cm="1">
        <f t="array" ref="C173">_xll.GetLatestPrice(F173,"Actual","AssessmentDate")</f>
        <v>45826.645833333336</v>
      </c>
      <c r="D173">
        <f t="shared" si="4"/>
        <v>2025</v>
      </c>
      <c r="E173">
        <f t="shared" si="5"/>
        <v>6</v>
      </c>
      <c r="F173" s="9" t="s">
        <v>350</v>
      </c>
      <c r="G173" s="9" t="s">
        <v>11</v>
      </c>
      <c r="H173" s="9" t="s">
        <v>12</v>
      </c>
    </row>
    <row r="174" spans="1:8" x14ac:dyDescent="0.25">
      <c r="A174" t="s">
        <v>351</v>
      </c>
      <c r="B174" s="14" cm="1">
        <f t="array" ref="B174">_xll.GetLatestPrice(F174,,G174)</f>
        <v>514</v>
      </c>
      <c r="C174" s="1" cm="1">
        <f t="array" ref="C174">_xll.GetLatestPrice(F174,"Actual","AssessmentDate")</f>
        <v>45826.649791666663</v>
      </c>
      <c r="D174">
        <f t="shared" si="4"/>
        <v>2025</v>
      </c>
      <c r="E174">
        <f t="shared" si="5"/>
        <v>6</v>
      </c>
      <c r="F174" s="9" t="s">
        <v>352</v>
      </c>
      <c r="G174" s="9" t="s">
        <v>11</v>
      </c>
      <c r="H174" s="9" t="s">
        <v>12</v>
      </c>
    </row>
    <row r="175" spans="1:8" x14ac:dyDescent="0.25">
      <c r="A175" t="s">
        <v>353</v>
      </c>
      <c r="B175" s="14" cm="1">
        <f t="array" ref="B175">_xll.GetLatestPrice(F175,,G175)</f>
        <v>489</v>
      </c>
      <c r="C175" s="1" cm="1">
        <f t="array" ref="C175">_xll.GetLatestPrice(F175,"Actual","AssessmentDate")</f>
        <v>45826.649791666663</v>
      </c>
      <c r="D175">
        <f t="shared" si="4"/>
        <v>2025</v>
      </c>
      <c r="E175">
        <f t="shared" si="5"/>
        <v>6</v>
      </c>
      <c r="F175" s="9" t="s">
        <v>354</v>
      </c>
      <c r="G175" s="9" t="s">
        <v>11</v>
      </c>
      <c r="H175" s="9" t="s">
        <v>12</v>
      </c>
    </row>
    <row r="176" spans="1:8" x14ac:dyDescent="0.25">
      <c r="A176" t="s">
        <v>355</v>
      </c>
      <c r="B176" s="14" cm="1">
        <f t="array" ref="B176">_xll.GetLatestPrice(F176,,G176)</f>
        <v>499</v>
      </c>
      <c r="C176" s="1" cm="1">
        <f t="array" ref="C176">_xll.GetLatestPrice(F176,"Actual","AssessmentDate")</f>
        <v>45826.649791666663</v>
      </c>
      <c r="D176">
        <f t="shared" si="4"/>
        <v>2025</v>
      </c>
      <c r="E176">
        <f t="shared" si="5"/>
        <v>6</v>
      </c>
      <c r="F176" s="9" t="s">
        <v>356</v>
      </c>
      <c r="G176" s="9" t="s">
        <v>11</v>
      </c>
      <c r="H176" s="9" t="s">
        <v>12</v>
      </c>
    </row>
    <row r="177" spans="1:8" x14ac:dyDescent="0.25">
      <c r="A177" t="s">
        <v>357</v>
      </c>
      <c r="B177" s="14" cm="1">
        <f t="array" ref="B177">_xll.GetLatestPrice(F177,,G177)</f>
        <v>535</v>
      </c>
      <c r="C177" s="1" cm="1">
        <f t="array" ref="C177">_xll.GetLatestPrice(F177,"Actual","AssessmentDate")</f>
        <v>45826.645833333336</v>
      </c>
      <c r="D177">
        <f t="shared" si="4"/>
        <v>2025</v>
      </c>
      <c r="E177">
        <f t="shared" si="5"/>
        <v>6</v>
      </c>
      <c r="F177" s="9" t="s">
        <v>358</v>
      </c>
      <c r="G177" s="9" t="s">
        <v>11</v>
      </c>
      <c r="H177" s="9" t="s">
        <v>12</v>
      </c>
    </row>
    <row r="178" spans="1:8" x14ac:dyDescent="0.25">
      <c r="A178" t="s">
        <v>359</v>
      </c>
      <c r="B178" s="14" cm="1">
        <f t="array" ref="B178">_xll.GetLatestPrice(F178,,G178)</f>
        <v>495</v>
      </c>
      <c r="C178" s="1" cm="1">
        <f t="array" ref="C178">_xll.GetLatestPrice(F178,"Actual","AssessmentDate")</f>
        <v>45826.645833333336</v>
      </c>
      <c r="D178">
        <f t="shared" si="4"/>
        <v>2025</v>
      </c>
      <c r="E178">
        <f t="shared" si="5"/>
        <v>6</v>
      </c>
      <c r="F178" s="9" t="s">
        <v>360</v>
      </c>
      <c r="G178" s="9" t="s">
        <v>11</v>
      </c>
      <c r="H178" s="9" t="s">
        <v>12</v>
      </c>
    </row>
    <row r="179" spans="1:8" x14ac:dyDescent="0.25">
      <c r="A179" t="s">
        <v>361</v>
      </c>
      <c r="B179" s="14" cm="1">
        <f t="array" ref="B179">_xll.GetLatestPrice(F179,,G179)</f>
        <v>490</v>
      </c>
      <c r="C179" s="1" cm="1">
        <f t="array" ref="C179">_xll.GetLatestPrice(F179,"Actual","AssessmentDate")</f>
        <v>45826.645833333336</v>
      </c>
      <c r="D179">
        <f t="shared" si="4"/>
        <v>2025</v>
      </c>
      <c r="E179">
        <f t="shared" si="5"/>
        <v>6</v>
      </c>
      <c r="F179" s="9" t="s">
        <v>362</v>
      </c>
      <c r="G179" s="9" t="s">
        <v>11</v>
      </c>
      <c r="H179" s="9" t="s">
        <v>12</v>
      </c>
    </row>
    <row r="180" spans="1:8" x14ac:dyDescent="0.25">
      <c r="A180" t="s">
        <v>363</v>
      </c>
      <c r="B180" s="14" cm="1">
        <f t="array" ref="B180">_xll.GetLatestPrice(F180,,G180)</f>
        <v>570</v>
      </c>
      <c r="C180" s="1" cm="1">
        <f t="array" ref="C180">_xll.GetLatestPrice(F180,"Actual","AssessmentDate")</f>
        <v>45826.645833333336</v>
      </c>
      <c r="D180">
        <f t="shared" si="4"/>
        <v>2025</v>
      </c>
      <c r="E180">
        <f t="shared" si="5"/>
        <v>6</v>
      </c>
      <c r="F180" s="9" t="s">
        <v>364</v>
      </c>
      <c r="G180" s="9" t="s">
        <v>11</v>
      </c>
      <c r="H180" s="9" t="s">
        <v>12</v>
      </c>
    </row>
    <row r="181" spans="1:8" x14ac:dyDescent="0.25">
      <c r="A181" t="s">
        <v>365</v>
      </c>
      <c r="B181" s="14" cm="1">
        <f t="array" ref="B181">_xll.GetLatestPrice(F181,,G181)</f>
        <v>395</v>
      </c>
      <c r="C181" s="1" cm="1">
        <f t="array" ref="C181">_xll.GetLatestPrice(F181,"Actual","AssessmentDate")</f>
        <v>45826.645833333336</v>
      </c>
      <c r="D181">
        <f t="shared" si="4"/>
        <v>2025</v>
      </c>
      <c r="E181">
        <f t="shared" si="5"/>
        <v>6</v>
      </c>
      <c r="F181" s="9" t="s">
        <v>366</v>
      </c>
      <c r="G181" s="9" t="s">
        <v>11</v>
      </c>
      <c r="H181" s="9" t="s">
        <v>12</v>
      </c>
    </row>
    <row r="182" spans="1:8" x14ac:dyDescent="0.25">
      <c r="A182" t="s">
        <v>367</v>
      </c>
      <c r="B182" s="14" cm="1">
        <f t="array" ref="B182">_xll.GetLatestPrice(F182,,G182)</f>
        <v>330</v>
      </c>
      <c r="C182" s="1" cm="1">
        <f t="array" ref="C182">_xll.GetLatestPrice(F182,"Actual","AssessmentDate")</f>
        <v>45826.645833333336</v>
      </c>
      <c r="D182">
        <f t="shared" si="4"/>
        <v>2025</v>
      </c>
      <c r="E182">
        <f t="shared" si="5"/>
        <v>6</v>
      </c>
      <c r="F182" s="9" t="s">
        <v>368</v>
      </c>
      <c r="G182" s="9" t="s">
        <v>11</v>
      </c>
      <c r="H182" s="9" t="s">
        <v>12</v>
      </c>
    </row>
    <row r="183" spans="1:8" x14ac:dyDescent="0.25">
      <c r="A183" t="s">
        <v>369</v>
      </c>
      <c r="B183" s="14" cm="1">
        <f t="array" ref="B183">_xll.GetLatestPrice(F183,,G183)</f>
        <v>480</v>
      </c>
      <c r="C183" s="1" cm="1">
        <f t="array" ref="C183">_xll.GetLatestPrice(F183,"Actual","AssessmentDate")</f>
        <v>45826.645833333336</v>
      </c>
      <c r="D183">
        <f t="shared" si="4"/>
        <v>2025</v>
      </c>
      <c r="E183">
        <f t="shared" si="5"/>
        <v>6</v>
      </c>
      <c r="F183" s="9" t="s">
        <v>370</v>
      </c>
      <c r="G183" s="9" t="s">
        <v>11</v>
      </c>
      <c r="H183" s="9" t="s">
        <v>12</v>
      </c>
    </row>
    <row r="184" spans="1:8" x14ac:dyDescent="0.25">
      <c r="A184" t="s">
        <v>371</v>
      </c>
      <c r="B184" s="14" cm="1">
        <f t="array" ref="B184">_xll.GetLatestPrice(F184,,G184)</f>
        <v>525</v>
      </c>
      <c r="C184" s="1" cm="1">
        <f t="array" ref="C184">_xll.GetLatestPrice(F184,"Actual","AssessmentDate")</f>
        <v>45826.645833333336</v>
      </c>
      <c r="D184">
        <f t="shared" si="4"/>
        <v>2025</v>
      </c>
      <c r="E184">
        <f t="shared" si="5"/>
        <v>6</v>
      </c>
      <c r="F184" s="9" t="s">
        <v>372</v>
      </c>
      <c r="G184" s="9" t="s">
        <v>11</v>
      </c>
      <c r="H184" s="9" t="s">
        <v>12</v>
      </c>
    </row>
    <row r="185" spans="1:8" x14ac:dyDescent="0.25">
      <c r="A185" t="s">
        <v>373</v>
      </c>
      <c r="B185" s="14" cm="1">
        <f t="array" ref="B185">_xll.GetLatestPrice(F185,,G185)</f>
        <v>510</v>
      </c>
      <c r="C185" s="1" cm="1">
        <f t="array" ref="C185">_xll.GetLatestPrice(F185,"Actual","AssessmentDate")</f>
        <v>45826.645833333336</v>
      </c>
      <c r="D185">
        <f t="shared" si="4"/>
        <v>2025</v>
      </c>
      <c r="E185">
        <f t="shared" si="5"/>
        <v>6</v>
      </c>
      <c r="F185" s="9" t="s">
        <v>374</v>
      </c>
      <c r="G185" s="9" t="s">
        <v>11</v>
      </c>
      <c r="H185" s="9" t="s">
        <v>12</v>
      </c>
    </row>
    <row r="186" spans="1:8" x14ac:dyDescent="0.25">
      <c r="A186" t="s">
        <v>375</v>
      </c>
      <c r="B186" s="14" cm="1">
        <f t="array" ref="B186">_xll.GetLatestPrice(F186,,G186)</f>
        <v>500</v>
      </c>
      <c r="C186" s="1" cm="1">
        <f t="array" ref="C186">_xll.GetLatestPrice(F186,"Actual","AssessmentDate")</f>
        <v>45826.645833333336</v>
      </c>
      <c r="D186">
        <f t="shared" si="4"/>
        <v>2025</v>
      </c>
      <c r="E186">
        <f t="shared" si="5"/>
        <v>6</v>
      </c>
      <c r="F186" s="9" t="s">
        <v>376</v>
      </c>
      <c r="G186" s="9" t="s">
        <v>11</v>
      </c>
      <c r="H186" s="9" t="s">
        <v>12</v>
      </c>
    </row>
    <row r="187" spans="1:8" x14ac:dyDescent="0.25">
      <c r="A187" t="s">
        <v>377</v>
      </c>
      <c r="B187" s="14" cm="1">
        <f t="array" ref="B187">_xll.GetLatestPrice(F187,,G187)</f>
        <v>430</v>
      </c>
      <c r="C187" s="1" cm="1">
        <f t="array" ref="C187">_xll.GetLatestPrice(F187,"Actual","AssessmentDate")</f>
        <v>45826.645833333336</v>
      </c>
      <c r="D187">
        <f t="shared" si="4"/>
        <v>2025</v>
      </c>
      <c r="E187">
        <f t="shared" si="5"/>
        <v>6</v>
      </c>
      <c r="F187" s="9" t="s">
        <v>378</v>
      </c>
      <c r="G187" s="9" t="s">
        <v>11</v>
      </c>
      <c r="H187" s="9" t="s">
        <v>12</v>
      </c>
    </row>
    <row r="188" spans="1:8" x14ac:dyDescent="0.25">
      <c r="A188" t="s">
        <v>379</v>
      </c>
      <c r="B188" s="14" cm="1">
        <f t="array" ref="B188">_xll.GetLatestPrice(F188,,G188)</f>
        <v>445</v>
      </c>
      <c r="C188" s="1" cm="1">
        <f t="array" ref="C188">_xll.GetLatestPrice(F188,"Actual","AssessmentDate")</f>
        <v>45826.645833333336</v>
      </c>
      <c r="D188">
        <f t="shared" si="4"/>
        <v>2025</v>
      </c>
      <c r="E188">
        <f t="shared" si="5"/>
        <v>6</v>
      </c>
      <c r="F188" s="9" t="s">
        <v>380</v>
      </c>
      <c r="G188" s="9" t="s">
        <v>11</v>
      </c>
      <c r="H188" s="9" t="s">
        <v>12</v>
      </c>
    </row>
    <row r="189" spans="1:8" x14ac:dyDescent="0.25">
      <c r="A189" t="s">
        <v>381</v>
      </c>
      <c r="B189" s="14" cm="1">
        <f t="array" ref="B189">_xll.GetLatestPrice(F189,,G189)</f>
        <v>605</v>
      </c>
      <c r="C189" s="1" cm="1">
        <f t="array" ref="C189">_xll.GetLatestPrice(F189,"Actual","AssessmentDate")</f>
        <v>45826.645833333336</v>
      </c>
      <c r="D189">
        <f t="shared" si="4"/>
        <v>2025</v>
      </c>
      <c r="E189">
        <f t="shared" si="5"/>
        <v>6</v>
      </c>
      <c r="F189" s="9" t="s">
        <v>382</v>
      </c>
      <c r="G189" s="9" t="s">
        <v>11</v>
      </c>
      <c r="H189" s="9" t="s">
        <v>12</v>
      </c>
    </row>
    <row r="190" spans="1:8" x14ac:dyDescent="0.25">
      <c r="A190" t="s">
        <v>383</v>
      </c>
      <c r="B190" s="14" cm="1">
        <f t="array" ref="B190">_xll.GetLatestPrice(F190,,G190)</f>
        <v>473</v>
      </c>
      <c r="C190" s="1" cm="1">
        <f t="array" ref="C190">_xll.GetLatestPrice(F190,"Actual","AssessmentDate")</f>
        <v>45826.649791666663</v>
      </c>
      <c r="D190">
        <f t="shared" si="4"/>
        <v>2025</v>
      </c>
      <c r="E190">
        <f t="shared" si="5"/>
        <v>6</v>
      </c>
      <c r="F190" s="9" t="s">
        <v>384</v>
      </c>
      <c r="G190" s="9" t="s">
        <v>11</v>
      </c>
      <c r="H190" s="9" t="s">
        <v>12</v>
      </c>
    </row>
    <row r="191" spans="1:8" x14ac:dyDescent="0.25">
      <c r="A191" t="s">
        <v>385</v>
      </c>
      <c r="B191" s="14" cm="1">
        <f t="array" ref="B191">_xll.GetLatestPrice(F191,,G191)</f>
        <v>487</v>
      </c>
      <c r="C191" s="1" cm="1">
        <f t="array" ref="C191">_xll.GetLatestPrice(F191,"Actual","AssessmentDate")</f>
        <v>45826.649791666663</v>
      </c>
      <c r="D191">
        <f t="shared" si="4"/>
        <v>2025</v>
      </c>
      <c r="E191">
        <f t="shared" si="5"/>
        <v>6</v>
      </c>
      <c r="F191" s="9" t="s">
        <v>386</v>
      </c>
      <c r="G191" s="9" t="s">
        <v>11</v>
      </c>
      <c r="H191" s="9" t="s">
        <v>12</v>
      </c>
    </row>
    <row r="192" spans="1:8" x14ac:dyDescent="0.25">
      <c r="A192" t="s">
        <v>387</v>
      </c>
      <c r="B192" s="14" cm="1">
        <f t="array" ref="B192">_xll.GetLatestPrice(F192,,G192)</f>
        <v>565</v>
      </c>
      <c r="C192" s="1" cm="1">
        <f t="array" ref="C192">_xll.GetLatestPrice(F192,"Actual","AssessmentDate")</f>
        <v>45826.645833333336</v>
      </c>
      <c r="D192">
        <f t="shared" si="4"/>
        <v>2025</v>
      </c>
      <c r="E192">
        <f t="shared" si="5"/>
        <v>6</v>
      </c>
      <c r="F192" s="9" t="s">
        <v>388</v>
      </c>
      <c r="G192" s="9" t="s">
        <v>11</v>
      </c>
      <c r="H192" s="9" t="s">
        <v>12</v>
      </c>
    </row>
    <row r="193" spans="1:8" x14ac:dyDescent="0.25">
      <c r="A193" t="s">
        <v>389</v>
      </c>
      <c r="B193" s="14" cm="1">
        <f t="array" ref="B193">_xll.GetLatestPrice(F193,,G193)</f>
        <v>490</v>
      </c>
      <c r="C193" s="1" cm="1">
        <f t="array" ref="C193">_xll.GetLatestPrice(F193,"Actual","AssessmentDate")</f>
        <v>45826.645833333336</v>
      </c>
      <c r="D193">
        <f t="shared" si="4"/>
        <v>2025</v>
      </c>
      <c r="E193">
        <f t="shared" si="5"/>
        <v>6</v>
      </c>
      <c r="F193" s="9" t="s">
        <v>390</v>
      </c>
      <c r="G193" s="9" t="s">
        <v>11</v>
      </c>
      <c r="H193" s="9" t="s">
        <v>12</v>
      </c>
    </row>
    <row r="194" spans="1:8" x14ac:dyDescent="0.25">
      <c r="A194" t="s">
        <v>391</v>
      </c>
      <c r="B194" s="14" cm="1">
        <f t="array" ref="B194">_xll.GetLatestPrice(F194,,G194)</f>
        <v>505</v>
      </c>
      <c r="C194" s="1" cm="1">
        <f t="array" ref="C194">_xll.GetLatestPrice(F194,"Actual","AssessmentDate")</f>
        <v>45826.645833333336</v>
      </c>
      <c r="D194">
        <f t="shared" si="4"/>
        <v>2025</v>
      </c>
      <c r="E194">
        <f t="shared" si="5"/>
        <v>6</v>
      </c>
      <c r="F194" s="9" t="s">
        <v>392</v>
      </c>
      <c r="G194" s="9" t="s">
        <v>11</v>
      </c>
      <c r="H194" s="9" t="s">
        <v>12</v>
      </c>
    </row>
    <row r="195" spans="1:8" x14ac:dyDescent="0.25">
      <c r="A195" t="s">
        <v>393</v>
      </c>
      <c r="B195" s="14" cm="1">
        <f t="array" ref="B195">_xll.GetLatestPrice(F195,,G195)</f>
        <v>400</v>
      </c>
      <c r="C195" s="1" cm="1">
        <f t="array" ref="C195">_xll.GetLatestPrice(F195,"Actual","AssessmentDate")</f>
        <v>45826.645833333336</v>
      </c>
      <c r="D195">
        <f t="shared" ref="D195:D258" si="6">YEAR(C195)</f>
        <v>2025</v>
      </c>
      <c r="E195">
        <f t="shared" ref="E195:E258" si="7">MONTH(C195)</f>
        <v>6</v>
      </c>
      <c r="F195" s="9" t="s">
        <v>394</v>
      </c>
      <c r="G195" s="9" t="s">
        <v>11</v>
      </c>
      <c r="H195" s="9" t="s">
        <v>12</v>
      </c>
    </row>
    <row r="196" spans="1:8" x14ac:dyDescent="0.25">
      <c r="A196" t="s">
        <v>395</v>
      </c>
      <c r="B196" s="14" cm="1">
        <f t="array" ref="B196">_xll.GetLatestPrice(F196,,G196)</f>
        <v>355</v>
      </c>
      <c r="C196" s="1" cm="1">
        <f t="array" ref="C196">_xll.GetLatestPrice(F196,"Actual","AssessmentDate")</f>
        <v>45826.645833333336</v>
      </c>
      <c r="D196">
        <f t="shared" si="6"/>
        <v>2025</v>
      </c>
      <c r="E196">
        <f t="shared" si="7"/>
        <v>6</v>
      </c>
      <c r="F196" s="9" t="s">
        <v>396</v>
      </c>
      <c r="G196" s="9" t="s">
        <v>11</v>
      </c>
      <c r="H196" s="9" t="s">
        <v>12</v>
      </c>
    </row>
    <row r="197" spans="1:8" x14ac:dyDescent="0.25">
      <c r="A197" t="s">
        <v>397</v>
      </c>
      <c r="B197" s="14" cm="1">
        <f t="array" ref="B197">_xll.GetLatestPrice(F197,,G197)</f>
        <v>495</v>
      </c>
      <c r="C197" s="1" cm="1">
        <f t="array" ref="C197">_xll.GetLatestPrice(F197,"Actual","AssessmentDate")</f>
        <v>45826.645833333336</v>
      </c>
      <c r="D197">
        <f t="shared" si="6"/>
        <v>2025</v>
      </c>
      <c r="E197">
        <f t="shared" si="7"/>
        <v>6</v>
      </c>
      <c r="F197" s="9" t="s">
        <v>398</v>
      </c>
      <c r="G197" s="9" t="s">
        <v>11</v>
      </c>
      <c r="H197" s="9" t="s">
        <v>12</v>
      </c>
    </row>
    <row r="198" spans="1:8" x14ac:dyDescent="0.25">
      <c r="A198" t="s">
        <v>399</v>
      </c>
      <c r="B198" s="14" cm="1">
        <f t="array" ref="B198">_xll.GetLatestPrice(F198,,G198)</f>
        <v>530</v>
      </c>
      <c r="C198" s="1" cm="1">
        <f t="array" ref="C198">_xll.GetLatestPrice(F198,"Actual","AssessmentDate")</f>
        <v>45826.645833333336</v>
      </c>
      <c r="D198">
        <f t="shared" si="6"/>
        <v>2025</v>
      </c>
      <c r="E198">
        <f t="shared" si="7"/>
        <v>6</v>
      </c>
      <c r="F198" s="9" t="s">
        <v>400</v>
      </c>
      <c r="G198" s="9" t="s">
        <v>11</v>
      </c>
      <c r="H198" s="9" t="s">
        <v>12</v>
      </c>
    </row>
    <row r="199" spans="1:8" x14ac:dyDescent="0.25">
      <c r="A199" t="s">
        <v>401</v>
      </c>
      <c r="B199" s="14" cm="1">
        <f t="array" ref="B199">_xll.GetLatestPrice(F199,,G199)</f>
        <v>510</v>
      </c>
      <c r="C199" s="1" cm="1">
        <f t="array" ref="C199">_xll.GetLatestPrice(F199,"Actual","AssessmentDate")</f>
        <v>45826.645833333336</v>
      </c>
      <c r="D199">
        <f t="shared" si="6"/>
        <v>2025</v>
      </c>
      <c r="E199">
        <f t="shared" si="7"/>
        <v>6</v>
      </c>
      <c r="F199" s="9" t="s">
        <v>402</v>
      </c>
      <c r="G199" s="9" t="s">
        <v>11</v>
      </c>
      <c r="H199" s="9" t="s">
        <v>12</v>
      </c>
    </row>
    <row r="200" spans="1:8" x14ac:dyDescent="0.25">
      <c r="A200" t="s">
        <v>403</v>
      </c>
      <c r="B200" s="14" cm="1">
        <f t="array" ref="B200">_xll.GetLatestPrice(F200,,G200)</f>
        <v>510</v>
      </c>
      <c r="C200" s="1" cm="1">
        <f t="array" ref="C200">_xll.GetLatestPrice(F200,"Actual","AssessmentDate")</f>
        <v>45826.645833333336</v>
      </c>
      <c r="D200">
        <f t="shared" si="6"/>
        <v>2025</v>
      </c>
      <c r="E200">
        <f t="shared" si="7"/>
        <v>6</v>
      </c>
      <c r="F200" s="9" t="s">
        <v>404</v>
      </c>
      <c r="G200" s="9" t="s">
        <v>11</v>
      </c>
      <c r="H200" s="9" t="s">
        <v>12</v>
      </c>
    </row>
    <row r="201" spans="1:8" x14ac:dyDescent="0.25">
      <c r="A201" t="s">
        <v>405</v>
      </c>
      <c r="B201" s="14" cm="1">
        <f t="array" ref="B201">_xll.GetLatestPrice(F201,,G201)</f>
        <v>425</v>
      </c>
      <c r="C201" s="1" cm="1">
        <f t="array" ref="C201">_xll.GetLatestPrice(F201,"Actual","AssessmentDate")</f>
        <v>45826.645833333336</v>
      </c>
      <c r="D201">
        <f t="shared" si="6"/>
        <v>2025</v>
      </c>
      <c r="E201">
        <f t="shared" si="7"/>
        <v>6</v>
      </c>
      <c r="F201" s="9" t="s">
        <v>406</v>
      </c>
      <c r="G201" s="9" t="s">
        <v>11</v>
      </c>
      <c r="H201" s="9" t="s">
        <v>12</v>
      </c>
    </row>
    <row r="202" spans="1:8" x14ac:dyDescent="0.25">
      <c r="A202" t="s">
        <v>407</v>
      </c>
      <c r="B202" s="14" cm="1">
        <f t="array" ref="B202">_xll.GetLatestPrice(F202,,G202)</f>
        <v>645</v>
      </c>
      <c r="C202" s="1" cm="1">
        <f t="array" ref="C202">_xll.GetLatestPrice(F202,"Actual","AssessmentDate")</f>
        <v>45826.645833333336</v>
      </c>
      <c r="D202">
        <f t="shared" si="6"/>
        <v>2025</v>
      </c>
      <c r="E202">
        <f t="shared" si="7"/>
        <v>6</v>
      </c>
      <c r="F202" s="9" t="s">
        <v>408</v>
      </c>
      <c r="G202" s="9" t="s">
        <v>11</v>
      </c>
      <c r="H202" s="9" t="s">
        <v>12</v>
      </c>
    </row>
    <row r="203" spans="1:8" x14ac:dyDescent="0.25">
      <c r="A203" t="s">
        <v>409</v>
      </c>
      <c r="B203" s="14" cm="1">
        <f t="array" ref="B203">_xll.GetLatestPrice(F203,,G203)</f>
        <v>605</v>
      </c>
      <c r="C203" s="1" cm="1">
        <f t="array" ref="C203">_xll.GetLatestPrice(F203,"Actual","AssessmentDate")</f>
        <v>45826.645833333336</v>
      </c>
      <c r="D203">
        <f t="shared" si="6"/>
        <v>2025</v>
      </c>
      <c r="E203">
        <f t="shared" si="7"/>
        <v>6</v>
      </c>
      <c r="F203" s="9" t="s">
        <v>410</v>
      </c>
      <c r="G203" s="9" t="s">
        <v>11</v>
      </c>
      <c r="H203" s="9" t="s">
        <v>12</v>
      </c>
    </row>
    <row r="204" spans="1:8" x14ac:dyDescent="0.25">
      <c r="A204" t="s">
        <v>411</v>
      </c>
      <c r="B204" s="14" cm="1">
        <f t="array" ref="B204">_xll.GetLatestPrice(F204,,G204)</f>
        <v>600</v>
      </c>
      <c r="C204" s="1" cm="1">
        <f t="array" ref="C204">_xll.GetLatestPrice(F204,"Actual","AssessmentDate")</f>
        <v>45826.645833333336</v>
      </c>
      <c r="D204">
        <f t="shared" si="6"/>
        <v>2025</v>
      </c>
      <c r="E204">
        <f t="shared" si="7"/>
        <v>6</v>
      </c>
      <c r="F204" s="9" t="s">
        <v>412</v>
      </c>
      <c r="G204" s="9" t="s">
        <v>11</v>
      </c>
      <c r="H204" s="9" t="s">
        <v>12</v>
      </c>
    </row>
    <row r="205" spans="1:8" x14ac:dyDescent="0.25">
      <c r="A205" t="s">
        <v>413</v>
      </c>
      <c r="B205" s="14" cm="1">
        <f t="array" ref="B205">_xll.GetLatestPrice(F205,,G205)</f>
        <v>740</v>
      </c>
      <c r="C205" s="1" cm="1">
        <f t="array" ref="C205">_xll.GetLatestPrice(F205,"Actual","AssessmentDate")</f>
        <v>45826.645833333336</v>
      </c>
      <c r="D205">
        <f t="shared" si="6"/>
        <v>2025</v>
      </c>
      <c r="E205">
        <f t="shared" si="7"/>
        <v>6</v>
      </c>
      <c r="F205" s="9" t="s">
        <v>414</v>
      </c>
      <c r="G205" s="9" t="s">
        <v>11</v>
      </c>
      <c r="H205" s="9" t="s">
        <v>12</v>
      </c>
    </row>
    <row r="206" spans="1:8" x14ac:dyDescent="0.25">
      <c r="A206" t="s">
        <v>415</v>
      </c>
      <c r="B206" s="14" cm="1">
        <f t="array" ref="B206">_xll.GetLatestPrice(F206,,G206)</f>
        <v>570</v>
      </c>
      <c r="C206" s="1" cm="1">
        <f t="array" ref="C206">_xll.GetLatestPrice(F206,"Actual","AssessmentDate")</f>
        <v>45826.645833333336</v>
      </c>
      <c r="D206">
        <f t="shared" si="6"/>
        <v>2025</v>
      </c>
      <c r="E206">
        <f t="shared" si="7"/>
        <v>6</v>
      </c>
      <c r="F206" s="9" t="s">
        <v>416</v>
      </c>
      <c r="G206" s="9" t="s">
        <v>11</v>
      </c>
      <c r="H206" s="9" t="s">
        <v>12</v>
      </c>
    </row>
    <row r="207" spans="1:8" x14ac:dyDescent="0.25">
      <c r="A207" t="s">
        <v>417</v>
      </c>
      <c r="B207" s="14" cm="1">
        <f t="array" ref="B207">_xll.GetLatestPrice(F207,,G207)</f>
        <v>610</v>
      </c>
      <c r="C207" s="1" cm="1">
        <f t="array" ref="C207">_xll.GetLatestPrice(F207,"Actual","AssessmentDate")</f>
        <v>45826.645833333336</v>
      </c>
      <c r="D207">
        <f t="shared" si="6"/>
        <v>2025</v>
      </c>
      <c r="E207">
        <f t="shared" si="7"/>
        <v>6</v>
      </c>
      <c r="F207" s="9" t="s">
        <v>418</v>
      </c>
      <c r="G207" s="9" t="s">
        <v>11</v>
      </c>
      <c r="H207" s="9" t="s">
        <v>12</v>
      </c>
    </row>
    <row r="208" spans="1:8" x14ac:dyDescent="0.25">
      <c r="A208" t="s">
        <v>419</v>
      </c>
      <c r="B208" s="14" cm="1">
        <f t="array" ref="B208">_xll.GetLatestPrice(F208,,G208)</f>
        <v>395</v>
      </c>
      <c r="C208" s="1" cm="1">
        <f t="array" ref="C208">_xll.GetLatestPrice(F208,"Actual","AssessmentDate")</f>
        <v>45826.645833333336</v>
      </c>
      <c r="D208">
        <f t="shared" si="6"/>
        <v>2025</v>
      </c>
      <c r="E208">
        <f t="shared" si="7"/>
        <v>6</v>
      </c>
      <c r="F208" s="9" t="s">
        <v>420</v>
      </c>
      <c r="G208" s="9" t="s">
        <v>11</v>
      </c>
      <c r="H208" s="9" t="s">
        <v>12</v>
      </c>
    </row>
    <row r="209" spans="1:8" x14ac:dyDescent="0.25">
      <c r="A209" t="s">
        <v>421</v>
      </c>
      <c r="B209" s="14" cm="1">
        <f t="array" ref="B209">_xll.GetLatestPrice(F209,,G209)</f>
        <v>255</v>
      </c>
      <c r="C209" s="1" cm="1">
        <f t="array" ref="C209">_xll.GetLatestPrice(F209,"Actual","AssessmentDate")</f>
        <v>45826.645833333336</v>
      </c>
      <c r="D209">
        <f t="shared" si="6"/>
        <v>2025</v>
      </c>
      <c r="E209">
        <f t="shared" si="7"/>
        <v>6</v>
      </c>
      <c r="F209" s="9" t="s">
        <v>422</v>
      </c>
      <c r="G209" s="9" t="s">
        <v>11</v>
      </c>
      <c r="H209" s="9" t="s">
        <v>12</v>
      </c>
    </row>
    <row r="210" spans="1:8" x14ac:dyDescent="0.25">
      <c r="A210" t="s">
        <v>423</v>
      </c>
      <c r="B210" s="14" cm="1">
        <f t="array" ref="B210">_xll.GetLatestPrice(F210,,G210)</f>
        <v>300</v>
      </c>
      <c r="C210" s="1" cm="1">
        <f t="array" ref="C210">_xll.GetLatestPrice(F210,"Actual","AssessmentDate")</f>
        <v>45826.645833333336</v>
      </c>
      <c r="D210">
        <f t="shared" si="6"/>
        <v>2025</v>
      </c>
      <c r="E210">
        <f t="shared" si="7"/>
        <v>6</v>
      </c>
      <c r="F210" s="9" t="s">
        <v>424</v>
      </c>
      <c r="G210" s="9" t="s">
        <v>11</v>
      </c>
      <c r="H210" s="9" t="s">
        <v>12</v>
      </c>
    </row>
    <row r="211" spans="1:8" x14ac:dyDescent="0.25">
      <c r="A211" t="s">
        <v>425</v>
      </c>
      <c r="B211" s="14" cm="1">
        <f t="array" ref="B211">_xll.GetLatestPrice(F211,,G211)</f>
        <v>390</v>
      </c>
      <c r="C211" s="1" cm="1">
        <f t="array" ref="C211">_xll.GetLatestPrice(F211,"Actual","AssessmentDate")</f>
        <v>45826.645833333336</v>
      </c>
      <c r="D211">
        <f t="shared" si="6"/>
        <v>2025</v>
      </c>
      <c r="E211">
        <f t="shared" si="7"/>
        <v>6</v>
      </c>
      <c r="F211" s="9" t="s">
        <v>426</v>
      </c>
      <c r="G211" s="9" t="s">
        <v>11</v>
      </c>
      <c r="H211" s="9" t="s">
        <v>12</v>
      </c>
    </row>
    <row r="212" spans="1:8" x14ac:dyDescent="0.25">
      <c r="A212" t="s">
        <v>427</v>
      </c>
      <c r="B212" s="14" cm="1">
        <f t="array" ref="B212">_xll.GetLatestPrice(F212,,G212)</f>
        <v>440</v>
      </c>
      <c r="C212" s="1" cm="1">
        <f t="array" ref="C212">_xll.GetLatestPrice(F212,"Actual","AssessmentDate")</f>
        <v>45826.645833333336</v>
      </c>
      <c r="D212">
        <f t="shared" si="6"/>
        <v>2025</v>
      </c>
      <c r="E212">
        <f t="shared" si="7"/>
        <v>6</v>
      </c>
      <c r="F212" s="9" t="s">
        <v>428</v>
      </c>
      <c r="G212" s="9" t="s">
        <v>11</v>
      </c>
      <c r="H212" s="9" t="s">
        <v>12</v>
      </c>
    </row>
    <row r="213" spans="1:8" x14ac:dyDescent="0.25">
      <c r="A213" t="s">
        <v>429</v>
      </c>
      <c r="B213" s="14" cm="1">
        <f t="array" ref="B213">_xll.GetLatestPrice(F213,,G213)</f>
        <v>390</v>
      </c>
      <c r="C213" s="1" cm="1">
        <f t="array" ref="C213">_xll.GetLatestPrice(F213,"Actual","AssessmentDate")</f>
        <v>45826.645833333336</v>
      </c>
      <c r="D213">
        <f t="shared" si="6"/>
        <v>2025</v>
      </c>
      <c r="E213">
        <f t="shared" si="7"/>
        <v>6</v>
      </c>
      <c r="F213" s="9" t="s">
        <v>430</v>
      </c>
      <c r="G213" s="9" t="s">
        <v>11</v>
      </c>
      <c r="H213" s="9" t="s">
        <v>12</v>
      </c>
    </row>
    <row r="214" spans="1:8" x14ac:dyDescent="0.25">
      <c r="A214" t="s">
        <v>431</v>
      </c>
      <c r="B214" s="14" cm="1">
        <f t="array" ref="B214">_xll.GetLatestPrice(F214,,G214)</f>
        <v>245</v>
      </c>
      <c r="C214" s="1" cm="1">
        <f t="array" ref="C214">_xll.GetLatestPrice(F214,"Actual","AssessmentDate")</f>
        <v>45826.645833333336</v>
      </c>
      <c r="D214">
        <f t="shared" si="6"/>
        <v>2025</v>
      </c>
      <c r="E214">
        <f t="shared" si="7"/>
        <v>6</v>
      </c>
      <c r="F214" s="9" t="s">
        <v>432</v>
      </c>
      <c r="G214" s="9" t="s">
        <v>11</v>
      </c>
      <c r="H214" s="9" t="s">
        <v>12</v>
      </c>
    </row>
    <row r="215" spans="1:8" x14ac:dyDescent="0.25">
      <c r="A215" t="s">
        <v>433</v>
      </c>
      <c r="B215" s="14" cm="1">
        <f t="array" ref="B215">_xll.GetLatestPrice(F215,,G215)</f>
        <v>280</v>
      </c>
      <c r="C215" s="1" cm="1">
        <f t="array" ref="C215">_xll.GetLatestPrice(F215,"Actual","AssessmentDate")</f>
        <v>45826.645833333336</v>
      </c>
      <c r="D215">
        <f t="shared" si="6"/>
        <v>2025</v>
      </c>
      <c r="E215">
        <f t="shared" si="7"/>
        <v>6</v>
      </c>
      <c r="F215" s="9" t="s">
        <v>434</v>
      </c>
      <c r="G215" s="9" t="s">
        <v>11</v>
      </c>
      <c r="H215" s="9" t="s">
        <v>12</v>
      </c>
    </row>
    <row r="216" spans="1:8" x14ac:dyDescent="0.25">
      <c r="A216" t="s">
        <v>435</v>
      </c>
      <c r="B216" s="14" cm="1">
        <f t="array" ref="B216">_xll.GetLatestPrice(F216,,G216)</f>
        <v>310</v>
      </c>
      <c r="C216" s="1" cm="1">
        <f t="array" ref="C216">_xll.GetLatestPrice(F216,"Actual","AssessmentDate")</f>
        <v>45826.645833333336</v>
      </c>
      <c r="D216">
        <f t="shared" si="6"/>
        <v>2025</v>
      </c>
      <c r="E216">
        <f t="shared" si="7"/>
        <v>6</v>
      </c>
      <c r="F216" s="9" t="s">
        <v>436</v>
      </c>
      <c r="G216" s="9" t="s">
        <v>11</v>
      </c>
      <c r="H216" s="9" t="s">
        <v>12</v>
      </c>
    </row>
    <row r="217" spans="1:8" x14ac:dyDescent="0.25">
      <c r="A217" t="s">
        <v>437</v>
      </c>
      <c r="B217" s="14" cm="1">
        <f t="array" ref="B217">_xll.GetLatestPrice(F217,,G217)</f>
        <v>270</v>
      </c>
      <c r="C217" s="1" cm="1">
        <f t="array" ref="C217">_xll.GetLatestPrice(F217,"Actual","AssessmentDate")</f>
        <v>45826.645833333336</v>
      </c>
      <c r="D217">
        <f t="shared" si="6"/>
        <v>2025</v>
      </c>
      <c r="E217">
        <f t="shared" si="7"/>
        <v>6</v>
      </c>
      <c r="F217" s="9" t="s">
        <v>438</v>
      </c>
      <c r="G217" s="9" t="s">
        <v>11</v>
      </c>
      <c r="H217" s="9" t="s">
        <v>12</v>
      </c>
    </row>
    <row r="218" spans="1:8" x14ac:dyDescent="0.25">
      <c r="A218" t="s">
        <v>439</v>
      </c>
      <c r="B218" s="14" cm="1">
        <f t="array" ref="B218">_xll.GetLatestPrice(F218,,G218)</f>
        <v>465</v>
      </c>
      <c r="C218" s="1" cm="1">
        <f t="array" ref="C218">_xll.GetLatestPrice(F218,"Actual","AssessmentDate")</f>
        <v>45826.645833333336</v>
      </c>
      <c r="D218">
        <f t="shared" si="6"/>
        <v>2025</v>
      </c>
      <c r="E218">
        <f t="shared" si="7"/>
        <v>6</v>
      </c>
      <c r="F218" s="9" t="s">
        <v>440</v>
      </c>
      <c r="G218" s="9" t="s">
        <v>11</v>
      </c>
      <c r="H218" s="9" t="s">
        <v>12</v>
      </c>
    </row>
    <row r="219" spans="1:8" x14ac:dyDescent="0.25">
      <c r="A219" t="s">
        <v>441</v>
      </c>
      <c r="B219" s="14" cm="1">
        <f t="array" ref="B219">_xll.GetLatestPrice(F219,,G219)</f>
        <v>315</v>
      </c>
      <c r="C219" s="1" cm="1">
        <f t="array" ref="C219">_xll.GetLatestPrice(F219,"Actual","AssessmentDate")</f>
        <v>45826.645833333336</v>
      </c>
      <c r="D219">
        <f t="shared" si="6"/>
        <v>2025</v>
      </c>
      <c r="E219">
        <f t="shared" si="7"/>
        <v>6</v>
      </c>
      <c r="F219" s="9" t="s">
        <v>442</v>
      </c>
      <c r="G219" s="9" t="s">
        <v>11</v>
      </c>
      <c r="H219" s="9" t="s">
        <v>12</v>
      </c>
    </row>
    <row r="220" spans="1:8" x14ac:dyDescent="0.25">
      <c r="A220" t="s">
        <v>443</v>
      </c>
      <c r="B220" s="14" cm="1">
        <f t="array" ref="B220">_xll.GetLatestPrice(F220,,G220)</f>
        <v>425</v>
      </c>
      <c r="C220" s="1" cm="1">
        <f t="array" ref="C220">_xll.GetLatestPrice(F220,"Actual","AssessmentDate")</f>
        <v>45826.645833333336</v>
      </c>
      <c r="D220">
        <f t="shared" si="6"/>
        <v>2025</v>
      </c>
      <c r="E220">
        <f t="shared" si="7"/>
        <v>6</v>
      </c>
      <c r="F220" s="9" t="s">
        <v>444</v>
      </c>
      <c r="G220" s="9" t="s">
        <v>11</v>
      </c>
      <c r="H220" s="9" t="s">
        <v>12</v>
      </c>
    </row>
    <row r="221" spans="1:8" x14ac:dyDescent="0.25">
      <c r="A221" t="s">
        <v>445</v>
      </c>
      <c r="B221" s="14" cm="1">
        <f t="array" ref="B221">_xll.GetLatestPrice(F221,,G221)</f>
        <v>260</v>
      </c>
      <c r="C221" s="1" cm="1">
        <f t="array" ref="C221">_xll.GetLatestPrice(F221,"Actual","AssessmentDate")</f>
        <v>45826.645833333336</v>
      </c>
      <c r="D221">
        <f t="shared" si="6"/>
        <v>2025</v>
      </c>
      <c r="E221">
        <f t="shared" si="7"/>
        <v>6</v>
      </c>
      <c r="F221" s="9" t="s">
        <v>446</v>
      </c>
      <c r="G221" s="9" t="s">
        <v>11</v>
      </c>
      <c r="H221" s="9" t="s">
        <v>12</v>
      </c>
    </row>
    <row r="222" spans="1:8" x14ac:dyDescent="0.25">
      <c r="A222" t="s">
        <v>447</v>
      </c>
      <c r="B222" s="14" cm="1">
        <f t="array" ref="B222">_xll.GetLatestPrice(F222,,G222)</f>
        <v>300</v>
      </c>
      <c r="C222" s="1" cm="1">
        <f t="array" ref="C222">_xll.GetLatestPrice(F222,"Actual","AssessmentDate")</f>
        <v>45826.645833333336</v>
      </c>
      <c r="D222">
        <f t="shared" si="6"/>
        <v>2025</v>
      </c>
      <c r="E222">
        <f t="shared" si="7"/>
        <v>6</v>
      </c>
      <c r="F222" s="9" t="s">
        <v>448</v>
      </c>
      <c r="G222" s="9" t="s">
        <v>11</v>
      </c>
      <c r="H222" s="9" t="s">
        <v>12</v>
      </c>
    </row>
    <row r="223" spans="1:8" x14ac:dyDescent="0.25">
      <c r="A223" t="s">
        <v>449</v>
      </c>
      <c r="B223" s="14" cm="1">
        <f t="array" ref="B223">_xll.GetLatestPrice(F223,,G223)</f>
        <v>295</v>
      </c>
      <c r="C223" s="1" cm="1">
        <f t="array" ref="C223">_xll.GetLatestPrice(F223,"Actual","AssessmentDate")</f>
        <v>45826.645833333336</v>
      </c>
      <c r="D223">
        <f t="shared" si="6"/>
        <v>2025</v>
      </c>
      <c r="E223">
        <f t="shared" si="7"/>
        <v>6</v>
      </c>
      <c r="F223" s="9" t="s">
        <v>450</v>
      </c>
      <c r="G223" s="9" t="s">
        <v>11</v>
      </c>
      <c r="H223" s="9" t="s">
        <v>12</v>
      </c>
    </row>
    <row r="224" spans="1:8" x14ac:dyDescent="0.25">
      <c r="A224" t="s">
        <v>451</v>
      </c>
      <c r="B224" s="14" cm="1">
        <f t="array" ref="B224">_xll.GetLatestPrice(F224,,G224)</f>
        <v>300</v>
      </c>
      <c r="C224" s="1" cm="1">
        <f t="array" ref="C224">_xll.GetLatestPrice(F224,"Actual","AssessmentDate")</f>
        <v>45826.645833333336</v>
      </c>
      <c r="D224">
        <f t="shared" si="6"/>
        <v>2025</v>
      </c>
      <c r="E224">
        <f t="shared" si="7"/>
        <v>6</v>
      </c>
      <c r="F224" s="9" t="s">
        <v>452</v>
      </c>
      <c r="G224" s="9" t="s">
        <v>11</v>
      </c>
      <c r="H224" s="9" t="s">
        <v>12</v>
      </c>
    </row>
    <row r="225" spans="1:8" x14ac:dyDescent="0.25">
      <c r="A225" t="s">
        <v>453</v>
      </c>
      <c r="B225" s="14" cm="1">
        <f t="array" ref="B225">_xll.GetLatestPrice(F225,,G225)</f>
        <v>490</v>
      </c>
      <c r="C225" s="1" cm="1">
        <f t="array" ref="C225">_xll.GetLatestPrice(F225,"Actual","AssessmentDate")</f>
        <v>45826.645833333336</v>
      </c>
      <c r="D225">
        <f t="shared" si="6"/>
        <v>2025</v>
      </c>
      <c r="E225">
        <f t="shared" si="7"/>
        <v>6</v>
      </c>
      <c r="F225" s="9" t="s">
        <v>454</v>
      </c>
      <c r="G225" s="9" t="s">
        <v>11</v>
      </c>
      <c r="H225" s="9" t="s">
        <v>12</v>
      </c>
    </row>
    <row r="226" spans="1:8" x14ac:dyDescent="0.25">
      <c r="A226" t="s">
        <v>455</v>
      </c>
      <c r="B226" s="14" cm="1">
        <f t="array" ref="B226">_xll.GetLatestPrice(F226,,G226)</f>
        <v>520</v>
      </c>
      <c r="C226" s="1" cm="1">
        <f t="array" ref="C226">_xll.GetLatestPrice(F226,"Actual","AssessmentDate")</f>
        <v>45826.645833333336</v>
      </c>
      <c r="D226">
        <f t="shared" si="6"/>
        <v>2025</v>
      </c>
      <c r="E226">
        <f t="shared" si="7"/>
        <v>6</v>
      </c>
      <c r="F226" s="9" t="s">
        <v>456</v>
      </c>
      <c r="G226" s="9" t="s">
        <v>11</v>
      </c>
      <c r="H226" s="9" t="s">
        <v>12</v>
      </c>
    </row>
    <row r="227" spans="1:8" x14ac:dyDescent="0.25">
      <c r="A227" t="s">
        <v>457</v>
      </c>
      <c r="B227" s="14" cm="1">
        <f t="array" ref="B227">_xll.GetLatestPrice(F227,,G227)</f>
        <v>505</v>
      </c>
      <c r="C227" s="1" cm="1">
        <f t="array" ref="C227">_xll.GetLatestPrice(F227,"Actual","AssessmentDate")</f>
        <v>45826.645833333336</v>
      </c>
      <c r="D227">
        <f t="shared" si="6"/>
        <v>2025</v>
      </c>
      <c r="E227">
        <f t="shared" si="7"/>
        <v>6</v>
      </c>
      <c r="F227" s="9" t="s">
        <v>458</v>
      </c>
      <c r="G227" s="9" t="s">
        <v>11</v>
      </c>
      <c r="H227" s="9" t="s">
        <v>12</v>
      </c>
    </row>
    <row r="228" spans="1:8" x14ac:dyDescent="0.25">
      <c r="A228" t="s">
        <v>459</v>
      </c>
      <c r="B228" s="14" cm="1">
        <f t="array" ref="B228">_xll.GetLatestPrice(F228,,G228)</f>
        <v>525</v>
      </c>
      <c r="C228" s="1" cm="1">
        <f t="array" ref="C228">_xll.GetLatestPrice(F228,"Actual","AssessmentDate")</f>
        <v>45826.645833333336</v>
      </c>
      <c r="D228">
        <f t="shared" si="6"/>
        <v>2025</v>
      </c>
      <c r="E228">
        <f t="shared" si="7"/>
        <v>6</v>
      </c>
      <c r="F228" s="9" t="s">
        <v>460</v>
      </c>
      <c r="G228" s="9" t="s">
        <v>11</v>
      </c>
      <c r="H228" s="9" t="s">
        <v>12</v>
      </c>
    </row>
    <row r="229" spans="1:8" x14ac:dyDescent="0.25">
      <c r="A229" t="s">
        <v>461</v>
      </c>
      <c r="B229" s="14" cm="1">
        <f t="array" ref="B229">_xll.GetLatestPrice(F229,,G229)</f>
        <v>360</v>
      </c>
      <c r="C229" s="1" cm="1">
        <f t="array" ref="C229">_xll.GetLatestPrice(F229,"Actual","AssessmentDate")</f>
        <v>45826.645833333336</v>
      </c>
      <c r="D229">
        <f t="shared" si="6"/>
        <v>2025</v>
      </c>
      <c r="E229">
        <f t="shared" si="7"/>
        <v>6</v>
      </c>
      <c r="F229" s="9" t="s">
        <v>462</v>
      </c>
      <c r="G229" s="9" t="s">
        <v>11</v>
      </c>
      <c r="H229" s="9" t="s">
        <v>12</v>
      </c>
    </row>
    <row r="230" spans="1:8" x14ac:dyDescent="0.25">
      <c r="A230" t="s">
        <v>463</v>
      </c>
      <c r="B230" s="14" cm="1">
        <f t="array" ref="B230">_xll.GetLatestPrice(F230,,G230)</f>
        <v>300</v>
      </c>
      <c r="C230" s="1" cm="1">
        <f t="array" ref="C230">_xll.GetLatestPrice(F230,"Actual","AssessmentDate")</f>
        <v>45826.645833333336</v>
      </c>
      <c r="D230">
        <f t="shared" si="6"/>
        <v>2025</v>
      </c>
      <c r="E230">
        <f t="shared" si="7"/>
        <v>6</v>
      </c>
      <c r="F230" s="9" t="s">
        <v>464</v>
      </c>
      <c r="G230" s="9" t="s">
        <v>11</v>
      </c>
      <c r="H230" s="9" t="s">
        <v>12</v>
      </c>
    </row>
    <row r="231" spans="1:8" x14ac:dyDescent="0.25">
      <c r="A231" t="s">
        <v>465</v>
      </c>
      <c r="B231" s="14" cm="1">
        <f t="array" ref="B231">_xll.GetLatestPrice(F231,,G231)</f>
        <v>335</v>
      </c>
      <c r="C231" s="1" cm="1">
        <f t="array" ref="C231">_xll.GetLatestPrice(F231,"Actual","AssessmentDate")</f>
        <v>45826.645833333336</v>
      </c>
      <c r="D231">
        <f t="shared" si="6"/>
        <v>2025</v>
      </c>
      <c r="E231">
        <f t="shared" si="7"/>
        <v>6</v>
      </c>
      <c r="F231" s="9" t="s">
        <v>466</v>
      </c>
      <c r="G231" s="9" t="s">
        <v>11</v>
      </c>
      <c r="H231" s="9" t="s">
        <v>12</v>
      </c>
    </row>
    <row r="232" spans="1:8" x14ac:dyDescent="0.25">
      <c r="A232" t="s">
        <v>467</v>
      </c>
      <c r="B232" s="14" cm="1">
        <f t="array" ref="B232">_xll.GetLatestPrice(F232,,G232)</f>
        <v>345</v>
      </c>
      <c r="C232" s="1" cm="1">
        <f t="array" ref="C232">_xll.GetLatestPrice(F232,"Actual","AssessmentDate")</f>
        <v>45826.645833333336</v>
      </c>
      <c r="D232">
        <f t="shared" si="6"/>
        <v>2025</v>
      </c>
      <c r="E232">
        <f t="shared" si="7"/>
        <v>6</v>
      </c>
      <c r="F232" s="9" t="s">
        <v>468</v>
      </c>
      <c r="G232" s="9" t="s">
        <v>11</v>
      </c>
      <c r="H232" s="9" t="s">
        <v>12</v>
      </c>
    </row>
    <row r="233" spans="1:8" x14ac:dyDescent="0.25">
      <c r="A233" t="s">
        <v>469</v>
      </c>
      <c r="B233" s="14" cm="1">
        <f t="array" ref="B233">_xll.GetLatestPrice(F233,,G233)</f>
        <v>275</v>
      </c>
      <c r="C233" s="1" cm="1">
        <f t="array" ref="C233">_xll.GetLatestPrice(F233,"Actual","AssessmentDate")</f>
        <v>45826.645833333336</v>
      </c>
      <c r="D233">
        <f t="shared" si="6"/>
        <v>2025</v>
      </c>
      <c r="E233">
        <f t="shared" si="7"/>
        <v>6</v>
      </c>
      <c r="F233" s="9" t="s">
        <v>470</v>
      </c>
      <c r="G233" s="9" t="s">
        <v>11</v>
      </c>
      <c r="H233" s="9" t="s">
        <v>12</v>
      </c>
    </row>
    <row r="234" spans="1:8" x14ac:dyDescent="0.25">
      <c r="A234" t="s">
        <v>471</v>
      </c>
      <c r="B234" s="14" cm="1">
        <f t="array" ref="B234">_xll.GetLatestPrice(F234,,G234)</f>
        <v>535</v>
      </c>
      <c r="C234" s="1" cm="1">
        <f t="array" ref="C234">_xll.GetLatestPrice(F234,"Actual","AssessmentDate")</f>
        <v>45826.645833333336</v>
      </c>
      <c r="D234">
        <f t="shared" si="6"/>
        <v>2025</v>
      </c>
      <c r="E234">
        <f t="shared" si="7"/>
        <v>6</v>
      </c>
      <c r="F234" s="9" t="s">
        <v>358</v>
      </c>
      <c r="G234" s="9" t="s">
        <v>11</v>
      </c>
      <c r="H234" s="9" t="s">
        <v>12</v>
      </c>
    </row>
    <row r="235" spans="1:8" x14ac:dyDescent="0.25">
      <c r="A235" t="s">
        <v>472</v>
      </c>
      <c r="B235" s="14" cm="1">
        <f t="array" ref="B235">_xll.GetLatestPrice(F235,,G235)</f>
        <v>562</v>
      </c>
      <c r="C235" s="1" cm="1">
        <f t="array" ref="C235">_xll.GetLatestPrice(F235,"Actual","AssessmentDate")</f>
        <v>45826.649791666663</v>
      </c>
      <c r="D235">
        <f t="shared" si="6"/>
        <v>2025</v>
      </c>
      <c r="E235">
        <f t="shared" si="7"/>
        <v>6</v>
      </c>
      <c r="F235" s="9" t="s">
        <v>473</v>
      </c>
      <c r="G235" s="9" t="s">
        <v>11</v>
      </c>
      <c r="H235" s="9" t="s">
        <v>12</v>
      </c>
    </row>
    <row r="236" spans="1:8" x14ac:dyDescent="0.25">
      <c r="A236" t="s">
        <v>474</v>
      </c>
      <c r="B236" s="14" cm="1">
        <f t="array" ref="B236">_xll.GetLatestPrice(F236,,G236)</f>
        <v>562</v>
      </c>
      <c r="C236" s="1" cm="1">
        <f t="array" ref="C236">_xll.GetLatestPrice(F236,"Actual","AssessmentDate")</f>
        <v>45826.649791666663</v>
      </c>
      <c r="D236">
        <f t="shared" si="6"/>
        <v>2025</v>
      </c>
      <c r="E236">
        <f t="shared" si="7"/>
        <v>6</v>
      </c>
      <c r="F236" s="9" t="s">
        <v>475</v>
      </c>
      <c r="G236" s="9" t="s">
        <v>11</v>
      </c>
      <c r="H236" s="9" t="s">
        <v>12</v>
      </c>
    </row>
    <row r="237" spans="1:8" x14ac:dyDescent="0.25">
      <c r="A237" t="s">
        <v>476</v>
      </c>
      <c r="B237" s="14" cm="1">
        <f t="array" ref="B237">_xll.GetLatestPrice(F237,,G237)</f>
        <v>564</v>
      </c>
      <c r="C237" s="1" cm="1">
        <f t="array" ref="C237">_xll.GetLatestPrice(F237,"Actual","AssessmentDate")</f>
        <v>45826.649791666663</v>
      </c>
      <c r="D237">
        <f t="shared" si="6"/>
        <v>2025</v>
      </c>
      <c r="E237">
        <f t="shared" si="7"/>
        <v>6</v>
      </c>
      <c r="F237" s="9" t="s">
        <v>477</v>
      </c>
      <c r="G237" s="9" t="s">
        <v>11</v>
      </c>
      <c r="H237" s="9" t="s">
        <v>12</v>
      </c>
    </row>
    <row r="238" spans="1:8" x14ac:dyDescent="0.25">
      <c r="A238" t="s">
        <v>478</v>
      </c>
      <c r="B238" s="14" cm="1">
        <f t="array" ref="B238">_xll.GetLatestPrice(F238,,G238)</f>
        <v>565</v>
      </c>
      <c r="C238" s="1" cm="1">
        <f t="array" ref="C238">_xll.GetLatestPrice(F238,"Actual","AssessmentDate")</f>
        <v>45826.645833333336</v>
      </c>
      <c r="D238">
        <f t="shared" si="6"/>
        <v>2025</v>
      </c>
      <c r="E238">
        <f t="shared" si="7"/>
        <v>6</v>
      </c>
      <c r="F238" s="9" t="s">
        <v>388</v>
      </c>
      <c r="G238" s="9" t="s">
        <v>11</v>
      </c>
      <c r="H238" s="9" t="s">
        <v>12</v>
      </c>
    </row>
    <row r="239" spans="1:8" x14ac:dyDescent="0.25">
      <c r="A239" t="s">
        <v>479</v>
      </c>
      <c r="B239" s="14" cm="1">
        <f t="array" ref="B239">_xll.GetLatestPrice(F239,,G239)</f>
        <v>565</v>
      </c>
      <c r="C239" s="1" cm="1">
        <f t="array" ref="C239">_xll.GetLatestPrice(F239,"Actual","AssessmentDate")</f>
        <v>45826.645833333336</v>
      </c>
      <c r="D239">
        <f t="shared" si="6"/>
        <v>2025</v>
      </c>
      <c r="E239">
        <f t="shared" si="7"/>
        <v>6</v>
      </c>
      <c r="F239" s="9" t="s">
        <v>388</v>
      </c>
      <c r="G239" s="9" t="s">
        <v>11</v>
      </c>
      <c r="H239" s="9" t="s">
        <v>12</v>
      </c>
    </row>
    <row r="240" spans="1:8" x14ac:dyDescent="0.25">
      <c r="A240" t="s">
        <v>480</v>
      </c>
      <c r="B240" s="14" cm="1">
        <f t="array" ref="B240">_xll.GetLatestPrice(F240,,G240)</f>
        <v>590</v>
      </c>
      <c r="C240" s="1" cm="1">
        <f t="array" ref="C240">_xll.GetLatestPrice(F240,"Actual","AssessmentDate")</f>
        <v>45826.649791666663</v>
      </c>
      <c r="D240">
        <f t="shared" si="6"/>
        <v>2025</v>
      </c>
      <c r="E240">
        <f t="shared" si="7"/>
        <v>6</v>
      </c>
      <c r="F240" s="9" t="s">
        <v>481</v>
      </c>
      <c r="G240" s="9" t="s">
        <v>11</v>
      </c>
      <c r="H240" s="9" t="s">
        <v>12</v>
      </c>
    </row>
    <row r="241" spans="1:8" x14ac:dyDescent="0.25">
      <c r="A241" t="s">
        <v>482</v>
      </c>
      <c r="B241" s="14" cm="1">
        <f t="array" ref="B241">_xll.GetLatestPrice(F241,,G241)</f>
        <v>581</v>
      </c>
      <c r="C241" s="1" cm="1">
        <f t="array" ref="C241">_xll.GetLatestPrice(F241,"Actual","AssessmentDate")</f>
        <v>45826.649791666663</v>
      </c>
      <c r="D241">
        <f t="shared" si="6"/>
        <v>2025</v>
      </c>
      <c r="E241">
        <f t="shared" si="7"/>
        <v>6</v>
      </c>
      <c r="F241" s="9" t="s">
        <v>483</v>
      </c>
      <c r="G241" s="9" t="s">
        <v>11</v>
      </c>
      <c r="H241" s="9" t="s">
        <v>12</v>
      </c>
    </row>
    <row r="242" spans="1:8" x14ac:dyDescent="0.25">
      <c r="A242" t="s">
        <v>484</v>
      </c>
      <c r="B242" s="14" cm="1">
        <f t="array" ref="B242">_xll.GetLatestPrice(F242,,G242)</f>
        <v>315</v>
      </c>
      <c r="C242" s="1" cm="1">
        <f t="array" ref="C242">_xll.GetLatestPrice(F242,"Actual","AssessmentDate")</f>
        <v>45826.645833333336</v>
      </c>
      <c r="D242">
        <f t="shared" si="6"/>
        <v>2025</v>
      </c>
      <c r="E242">
        <f t="shared" si="7"/>
        <v>6</v>
      </c>
      <c r="F242" s="9" t="s">
        <v>485</v>
      </c>
      <c r="G242" s="9" t="s">
        <v>11</v>
      </c>
      <c r="H242" s="9" t="s">
        <v>12</v>
      </c>
    </row>
    <row r="243" spans="1:8" x14ac:dyDescent="0.25">
      <c r="A243" t="s">
        <v>486</v>
      </c>
      <c r="B243" s="14" cm="1">
        <f t="array" ref="B243">_xll.GetLatestPrice(F243,,G243)</f>
        <v>270</v>
      </c>
      <c r="C243" s="1" cm="1">
        <f t="array" ref="C243">_xll.GetLatestPrice(F243,"Actual","AssessmentDate")</f>
        <v>45826.645833333336</v>
      </c>
      <c r="D243">
        <f t="shared" si="6"/>
        <v>2025</v>
      </c>
      <c r="E243">
        <f t="shared" si="7"/>
        <v>6</v>
      </c>
      <c r="F243" s="9" t="s">
        <v>487</v>
      </c>
      <c r="G243" s="9" t="s">
        <v>11</v>
      </c>
      <c r="H243" s="9" t="s">
        <v>12</v>
      </c>
    </row>
    <row r="244" spans="1:8" x14ac:dyDescent="0.25">
      <c r="A244" t="s">
        <v>488</v>
      </c>
      <c r="B244" s="14" cm="1">
        <f t="array" ref="B244">_xll.GetLatestPrice(F244,,G244)</f>
        <v>305</v>
      </c>
      <c r="C244" s="1" cm="1">
        <f t="array" ref="C244">_xll.GetLatestPrice(F244,"Actual","AssessmentDate")</f>
        <v>45826.645833333336</v>
      </c>
      <c r="D244">
        <f t="shared" si="6"/>
        <v>2025</v>
      </c>
      <c r="E244">
        <f t="shared" si="7"/>
        <v>6</v>
      </c>
      <c r="F244" s="9" t="s">
        <v>489</v>
      </c>
      <c r="G244" s="9" t="s">
        <v>11</v>
      </c>
      <c r="H244" s="9" t="s">
        <v>12</v>
      </c>
    </row>
    <row r="245" spans="1:8" x14ac:dyDescent="0.25">
      <c r="A245" t="s">
        <v>490</v>
      </c>
      <c r="B245" s="14" cm="1">
        <f t="array" ref="B245">_xll.GetLatestPrice(F245,,G245)</f>
        <v>440</v>
      </c>
      <c r="C245" s="1" cm="1">
        <f t="array" ref="C245">_xll.GetLatestPrice(F245,"Actual","AssessmentDate")</f>
        <v>45826.645833333336</v>
      </c>
      <c r="D245">
        <f t="shared" si="6"/>
        <v>2025</v>
      </c>
      <c r="E245">
        <f t="shared" si="7"/>
        <v>6</v>
      </c>
      <c r="F245" s="9" t="s">
        <v>491</v>
      </c>
      <c r="G245" s="9" t="s">
        <v>11</v>
      </c>
      <c r="H245" s="9" t="s">
        <v>12</v>
      </c>
    </row>
    <row r="246" spans="1:8" x14ac:dyDescent="0.25">
      <c r="A246" t="s">
        <v>492</v>
      </c>
      <c r="B246" s="14" cm="1">
        <f t="array" ref="B246">_xll.GetLatestPrice(F246,,G246)</f>
        <v>425</v>
      </c>
      <c r="C246" s="1" cm="1">
        <f t="array" ref="C246">_xll.GetLatestPrice(F246,"Actual","AssessmentDate")</f>
        <v>45826.645833333336</v>
      </c>
      <c r="D246">
        <f t="shared" si="6"/>
        <v>2025</v>
      </c>
      <c r="E246">
        <f t="shared" si="7"/>
        <v>6</v>
      </c>
      <c r="F246" s="9" t="s">
        <v>493</v>
      </c>
      <c r="G246" s="9" t="s">
        <v>11</v>
      </c>
      <c r="H246" s="9" t="s">
        <v>12</v>
      </c>
    </row>
    <row r="247" spans="1:8" x14ac:dyDescent="0.25">
      <c r="A247" t="s">
        <v>494</v>
      </c>
      <c r="B247" s="14" cm="1">
        <f t="array" ref="B247">_xll.GetLatestPrice(F247,,G247)</f>
        <v>300</v>
      </c>
      <c r="C247" s="1" cm="1">
        <f t="array" ref="C247">_xll.GetLatestPrice(F247,"Actual","AssessmentDate")</f>
        <v>45826.645833333336</v>
      </c>
      <c r="D247">
        <f t="shared" si="6"/>
        <v>2025</v>
      </c>
      <c r="E247">
        <f t="shared" si="7"/>
        <v>6</v>
      </c>
      <c r="F247" s="9" t="s">
        <v>495</v>
      </c>
      <c r="G247" s="9" t="s">
        <v>11</v>
      </c>
      <c r="H247" s="9" t="s">
        <v>12</v>
      </c>
    </row>
    <row r="248" spans="1:8" x14ac:dyDescent="0.25">
      <c r="A248" t="s">
        <v>496</v>
      </c>
      <c r="B248" s="14" cm="1">
        <f t="array" ref="B248">_xll.GetLatestPrice(F248,,G248)</f>
        <v>250</v>
      </c>
      <c r="C248" s="1" cm="1">
        <f t="array" ref="C248">_xll.GetLatestPrice(F248,"Actual","AssessmentDate")</f>
        <v>45826.645833333336</v>
      </c>
      <c r="D248">
        <f t="shared" si="6"/>
        <v>2025</v>
      </c>
      <c r="E248">
        <f t="shared" si="7"/>
        <v>6</v>
      </c>
      <c r="F248" s="9" t="s">
        <v>497</v>
      </c>
      <c r="G248" s="9" t="s">
        <v>11</v>
      </c>
      <c r="H248" s="9" t="s">
        <v>12</v>
      </c>
    </row>
    <row r="249" spans="1:8" x14ac:dyDescent="0.25">
      <c r="A249" t="s">
        <v>498</v>
      </c>
      <c r="B249" s="14" cm="1">
        <f t="array" ref="B249">_xll.GetLatestPrice(F249,,G249)</f>
        <v>255</v>
      </c>
      <c r="C249" s="1" cm="1">
        <f t="array" ref="C249">_xll.GetLatestPrice(F249,"Actual","AssessmentDate")</f>
        <v>45826.645833333336</v>
      </c>
      <c r="D249">
        <f t="shared" si="6"/>
        <v>2025</v>
      </c>
      <c r="E249">
        <f t="shared" si="7"/>
        <v>6</v>
      </c>
      <c r="F249" s="9" t="s">
        <v>499</v>
      </c>
      <c r="G249" s="9" t="s">
        <v>11</v>
      </c>
      <c r="H249" s="9" t="s">
        <v>12</v>
      </c>
    </row>
    <row r="250" spans="1:8" x14ac:dyDescent="0.25">
      <c r="A250" t="s">
        <v>500</v>
      </c>
      <c r="B250" s="14" cm="1">
        <f t="array" ref="B250">_xll.GetLatestPrice(F250,,G250)</f>
        <v>315</v>
      </c>
      <c r="C250" s="1" cm="1">
        <f t="array" ref="C250">_xll.GetLatestPrice(F250,"Actual","AssessmentDate")</f>
        <v>45826.645833333336</v>
      </c>
      <c r="D250">
        <f t="shared" si="6"/>
        <v>2025</v>
      </c>
      <c r="E250">
        <f t="shared" si="7"/>
        <v>6</v>
      </c>
      <c r="F250" s="9" t="s">
        <v>501</v>
      </c>
      <c r="G250" s="9" t="s">
        <v>11</v>
      </c>
      <c r="H250" s="9" t="s">
        <v>12</v>
      </c>
    </row>
    <row r="251" spans="1:8" x14ac:dyDescent="0.25">
      <c r="A251" t="s">
        <v>502</v>
      </c>
      <c r="B251" s="14" cm="1">
        <f t="array" ref="B251">_xll.GetLatestPrice(F251,,G251)</f>
        <v>310</v>
      </c>
      <c r="C251" s="1" cm="1">
        <f t="array" ref="C251">_xll.GetLatestPrice(F251,"Actual","AssessmentDate")</f>
        <v>45826.645833333336</v>
      </c>
      <c r="D251">
        <f t="shared" si="6"/>
        <v>2025</v>
      </c>
      <c r="E251">
        <f t="shared" si="7"/>
        <v>6</v>
      </c>
      <c r="F251" s="9" t="s">
        <v>503</v>
      </c>
      <c r="G251" s="9" t="s">
        <v>11</v>
      </c>
      <c r="H251" s="9" t="s">
        <v>12</v>
      </c>
    </row>
    <row r="252" spans="1:8" x14ac:dyDescent="0.25">
      <c r="A252" t="s">
        <v>504</v>
      </c>
      <c r="B252" s="14" cm="1">
        <f t="array" ref="B252">_xll.GetLatestPrice(F252,,G252)</f>
        <v>775</v>
      </c>
      <c r="C252" s="1" cm="1">
        <f t="array" ref="C252">_xll.GetLatestPrice(F252,"Actual","AssessmentDate")</f>
        <v>45826.645833333336</v>
      </c>
      <c r="D252">
        <f t="shared" si="6"/>
        <v>2025</v>
      </c>
      <c r="E252">
        <f t="shared" si="7"/>
        <v>6</v>
      </c>
      <c r="F252" s="9" t="s">
        <v>505</v>
      </c>
      <c r="G252" s="9" t="s">
        <v>11</v>
      </c>
      <c r="H252" s="9" t="s">
        <v>12</v>
      </c>
    </row>
    <row r="253" spans="1:8" x14ac:dyDescent="0.25">
      <c r="A253" t="s">
        <v>506</v>
      </c>
      <c r="B253" s="14" cm="1">
        <f t="array" ref="B253">_xll.GetLatestPrice(F253,,G253)</f>
        <v>390</v>
      </c>
      <c r="C253" s="1" cm="1">
        <f t="array" ref="C253">_xll.GetLatestPrice(F253,"Actual","AssessmentDate")</f>
        <v>45826.645833333336</v>
      </c>
      <c r="D253">
        <f t="shared" si="6"/>
        <v>2025</v>
      </c>
      <c r="E253">
        <f t="shared" si="7"/>
        <v>6</v>
      </c>
      <c r="F253" s="9" t="s">
        <v>507</v>
      </c>
      <c r="G253" s="9" t="s">
        <v>11</v>
      </c>
      <c r="H253" s="9" t="s">
        <v>12</v>
      </c>
    </row>
    <row r="254" spans="1:8" x14ac:dyDescent="0.25">
      <c r="A254" t="s">
        <v>508</v>
      </c>
      <c r="B254" s="14" cm="1">
        <f t="array" ref="B254">_xll.GetLatestPrice(F254,,G254)</f>
        <v>405</v>
      </c>
      <c r="C254" s="1" cm="1">
        <f t="array" ref="C254">_xll.GetLatestPrice(F254,"Actual","AssessmentDate")</f>
        <v>45826.645833333336</v>
      </c>
      <c r="D254">
        <f t="shared" si="6"/>
        <v>2025</v>
      </c>
      <c r="E254">
        <f t="shared" si="7"/>
        <v>6</v>
      </c>
      <c r="F254" s="9" t="s">
        <v>509</v>
      </c>
      <c r="G254" s="9" t="s">
        <v>11</v>
      </c>
      <c r="H254" s="9" t="s">
        <v>12</v>
      </c>
    </row>
    <row r="255" spans="1:8" x14ac:dyDescent="0.25">
      <c r="A255" t="s">
        <v>510</v>
      </c>
      <c r="B255" s="14" cm="1">
        <f t="array" ref="B255">_xll.GetLatestPrice(F255,,G255)</f>
        <v>315</v>
      </c>
      <c r="C255" s="1" cm="1">
        <f t="array" ref="C255">_xll.GetLatestPrice(F255,"Actual","AssessmentDate")</f>
        <v>45826.645833333336</v>
      </c>
      <c r="D255">
        <f t="shared" si="6"/>
        <v>2025</v>
      </c>
      <c r="E255">
        <f t="shared" si="7"/>
        <v>6</v>
      </c>
      <c r="F255" s="9" t="s">
        <v>511</v>
      </c>
      <c r="G255" s="9" t="s">
        <v>11</v>
      </c>
      <c r="H255" s="9" t="s">
        <v>12</v>
      </c>
    </row>
    <row r="256" spans="1:8" x14ac:dyDescent="0.25">
      <c r="A256" t="s">
        <v>512</v>
      </c>
      <c r="B256" s="14" cm="1">
        <f t="array" ref="B256">_xll.GetLatestPrice(F256,,G256)</f>
        <v>370</v>
      </c>
      <c r="C256" s="1" cm="1">
        <f t="array" ref="C256">_xll.GetLatestPrice(F256,"Actual","AssessmentDate")</f>
        <v>45826.645833333336</v>
      </c>
      <c r="D256">
        <f t="shared" si="6"/>
        <v>2025</v>
      </c>
      <c r="E256">
        <f t="shared" si="7"/>
        <v>6</v>
      </c>
      <c r="F256" s="9" t="s">
        <v>513</v>
      </c>
      <c r="G256" s="9" t="s">
        <v>11</v>
      </c>
      <c r="H256" s="9" t="s">
        <v>12</v>
      </c>
    </row>
    <row r="257" spans="1:8" x14ac:dyDescent="0.25">
      <c r="A257" t="s">
        <v>514</v>
      </c>
      <c r="B257" s="14" cm="1">
        <f t="array" ref="B257">_xll.GetLatestPrice(F257,,G257)</f>
        <v>280</v>
      </c>
      <c r="C257" s="1" cm="1">
        <f t="array" ref="C257">_xll.GetLatestPrice(F257,"Actual","AssessmentDate")</f>
        <v>45826.645833333336</v>
      </c>
      <c r="D257">
        <f t="shared" si="6"/>
        <v>2025</v>
      </c>
      <c r="E257">
        <f t="shared" si="7"/>
        <v>6</v>
      </c>
      <c r="F257" s="9" t="s">
        <v>515</v>
      </c>
      <c r="G257" s="9" t="s">
        <v>11</v>
      </c>
      <c r="H257" s="9" t="s">
        <v>12</v>
      </c>
    </row>
    <row r="258" spans="1:8" x14ac:dyDescent="0.25">
      <c r="A258" t="s">
        <v>516</v>
      </c>
      <c r="B258" s="14" cm="1">
        <f t="array" ref="B258">_xll.GetLatestPrice(F258,,G258)</f>
        <v>295</v>
      </c>
      <c r="C258" s="1" cm="1">
        <f t="array" ref="C258">_xll.GetLatestPrice(F258,"Actual","AssessmentDate")</f>
        <v>45826.645833333336</v>
      </c>
      <c r="D258">
        <f t="shared" si="6"/>
        <v>2025</v>
      </c>
      <c r="E258">
        <f t="shared" si="7"/>
        <v>6</v>
      </c>
      <c r="F258" s="9" t="s">
        <v>517</v>
      </c>
      <c r="G258" s="9" t="s">
        <v>11</v>
      </c>
      <c r="H258" s="9" t="s">
        <v>12</v>
      </c>
    </row>
    <row r="259" spans="1:8" x14ac:dyDescent="0.25">
      <c r="A259" t="s">
        <v>518</v>
      </c>
      <c r="B259" s="14" cm="1">
        <f t="array" ref="B259">_xll.GetLatestPrice(F259,,G259)</f>
        <v>340</v>
      </c>
      <c r="C259" s="1" cm="1">
        <f t="array" ref="C259">_xll.GetLatestPrice(F259,"Actual","AssessmentDate")</f>
        <v>45826.645833333336</v>
      </c>
      <c r="D259">
        <f t="shared" ref="D259:D322" si="8">YEAR(C259)</f>
        <v>2025</v>
      </c>
      <c r="E259">
        <f t="shared" ref="E259:E322" si="9">MONTH(C259)</f>
        <v>6</v>
      </c>
      <c r="F259" s="9" t="s">
        <v>519</v>
      </c>
      <c r="G259" s="9" t="s">
        <v>11</v>
      </c>
      <c r="H259" s="9" t="s">
        <v>12</v>
      </c>
    </row>
    <row r="260" spans="1:8" x14ac:dyDescent="0.25">
      <c r="A260" t="s">
        <v>520</v>
      </c>
      <c r="B260" s="14" cm="1">
        <f t="array" ref="B260">_xll.GetLatestPrice(F260,,G260)</f>
        <v>305</v>
      </c>
      <c r="C260" s="1" cm="1">
        <f t="array" ref="C260">_xll.GetLatestPrice(F260,"Actual","AssessmentDate")</f>
        <v>45826.645833333336</v>
      </c>
      <c r="D260">
        <f t="shared" si="8"/>
        <v>2025</v>
      </c>
      <c r="E260">
        <f t="shared" si="9"/>
        <v>6</v>
      </c>
      <c r="F260" s="9" t="s">
        <v>521</v>
      </c>
      <c r="G260" s="9" t="s">
        <v>11</v>
      </c>
      <c r="H260" s="9" t="s">
        <v>12</v>
      </c>
    </row>
    <row r="261" spans="1:8" x14ac:dyDescent="0.25">
      <c r="A261" t="s">
        <v>522</v>
      </c>
      <c r="B261" s="14" cm="1">
        <f t="array" ref="B261">_xll.GetLatestPrice(F261,,G261)</f>
        <v>460</v>
      </c>
      <c r="C261" s="1" cm="1">
        <f t="array" ref="C261">_xll.GetLatestPrice(F261,"Actual","AssessmentDate")</f>
        <v>45826.645833333336</v>
      </c>
      <c r="D261">
        <f t="shared" si="8"/>
        <v>2025</v>
      </c>
      <c r="E261">
        <f t="shared" si="9"/>
        <v>6</v>
      </c>
      <c r="F261" s="9" t="s">
        <v>523</v>
      </c>
      <c r="G261" s="9" t="s">
        <v>11</v>
      </c>
      <c r="H261" s="9" t="s">
        <v>12</v>
      </c>
    </row>
    <row r="262" spans="1:8" x14ac:dyDescent="0.25">
      <c r="A262" t="s">
        <v>524</v>
      </c>
      <c r="B262" s="14" cm="1">
        <f t="array" ref="B262">_xll.GetLatestPrice(F262,,G262)</f>
        <v>515</v>
      </c>
      <c r="C262" s="1" cm="1">
        <f t="array" ref="C262">_xll.GetLatestPrice(F262,"Actual","AssessmentDate")</f>
        <v>45826.645833333336</v>
      </c>
      <c r="D262">
        <f t="shared" si="8"/>
        <v>2025</v>
      </c>
      <c r="E262">
        <f t="shared" si="9"/>
        <v>6</v>
      </c>
      <c r="F262" s="9" t="s">
        <v>525</v>
      </c>
      <c r="G262" s="9" t="s">
        <v>11</v>
      </c>
      <c r="H262" s="9" t="s">
        <v>12</v>
      </c>
    </row>
    <row r="263" spans="1:8" x14ac:dyDescent="0.25">
      <c r="A263" t="s">
        <v>526</v>
      </c>
      <c r="B263" s="14" cm="1">
        <f t="array" ref="B263">_xll.GetLatestPrice(F263,,G263)</f>
        <v>485</v>
      </c>
      <c r="C263" s="1" cm="1">
        <f t="array" ref="C263">_xll.GetLatestPrice(F263,"Actual","AssessmentDate")</f>
        <v>45826.645833333336</v>
      </c>
      <c r="D263">
        <f t="shared" si="8"/>
        <v>2025</v>
      </c>
      <c r="E263">
        <f t="shared" si="9"/>
        <v>6</v>
      </c>
      <c r="F263" s="9" t="s">
        <v>527</v>
      </c>
      <c r="G263" s="9" t="s">
        <v>11</v>
      </c>
      <c r="H263" s="9" t="s">
        <v>12</v>
      </c>
    </row>
    <row r="264" spans="1:8" x14ac:dyDescent="0.25">
      <c r="A264" t="s">
        <v>528</v>
      </c>
      <c r="B264" s="14" cm="1">
        <f t="array" ref="B264">_xll.GetLatestPrice(F264,,G264)</f>
        <v>520</v>
      </c>
      <c r="C264" s="1" cm="1">
        <f t="array" ref="C264">_xll.GetLatestPrice(F264,"Actual","AssessmentDate")</f>
        <v>45826.645833333336</v>
      </c>
      <c r="D264">
        <f t="shared" si="8"/>
        <v>2025</v>
      </c>
      <c r="E264">
        <f t="shared" si="9"/>
        <v>6</v>
      </c>
      <c r="F264" s="9" t="s">
        <v>529</v>
      </c>
      <c r="G264" s="9" t="s">
        <v>11</v>
      </c>
      <c r="H264" s="9" t="s">
        <v>12</v>
      </c>
    </row>
    <row r="265" spans="1:8" x14ac:dyDescent="0.25">
      <c r="A265" t="s">
        <v>530</v>
      </c>
      <c r="B265" s="14" cm="1">
        <f t="array" ref="B265">_xll.GetLatestPrice(F265,,G265)</f>
        <v>445</v>
      </c>
      <c r="C265" s="1" cm="1">
        <f t="array" ref="C265">_xll.GetLatestPrice(F265,"Actual","AssessmentDate")</f>
        <v>45826.645833333336</v>
      </c>
      <c r="D265">
        <f t="shared" si="8"/>
        <v>2025</v>
      </c>
      <c r="E265">
        <f t="shared" si="9"/>
        <v>6</v>
      </c>
      <c r="F265" s="9" t="s">
        <v>531</v>
      </c>
      <c r="G265" s="9" t="s">
        <v>11</v>
      </c>
      <c r="H265" s="9" t="s">
        <v>12</v>
      </c>
    </row>
    <row r="266" spans="1:8" x14ac:dyDescent="0.25">
      <c r="A266" t="s">
        <v>532</v>
      </c>
      <c r="B266" s="14" cm="1">
        <f t="array" ref="B266">_xll.GetLatestPrice(F266,,G266)</f>
        <v>380</v>
      </c>
      <c r="C266" s="1" cm="1">
        <f t="array" ref="C266">_xll.GetLatestPrice(F266,"Actual","AssessmentDate")</f>
        <v>45826.645833333336</v>
      </c>
      <c r="D266">
        <f t="shared" si="8"/>
        <v>2025</v>
      </c>
      <c r="E266">
        <f t="shared" si="9"/>
        <v>6</v>
      </c>
      <c r="F266" s="9" t="s">
        <v>533</v>
      </c>
      <c r="G266" s="9" t="s">
        <v>11</v>
      </c>
      <c r="H266" s="9" t="s">
        <v>12</v>
      </c>
    </row>
    <row r="267" spans="1:8" x14ac:dyDescent="0.25">
      <c r="A267" t="s">
        <v>534</v>
      </c>
      <c r="B267" s="14" cm="1">
        <f t="array" ref="B267">_xll.GetLatestPrice(F267,,G267)</f>
        <v>330</v>
      </c>
      <c r="C267" s="1" cm="1">
        <f t="array" ref="C267">_xll.GetLatestPrice(F267,"Actual","AssessmentDate")</f>
        <v>45826.645833333336</v>
      </c>
      <c r="D267">
        <f t="shared" si="8"/>
        <v>2025</v>
      </c>
      <c r="E267">
        <f t="shared" si="9"/>
        <v>6</v>
      </c>
      <c r="F267" s="9" t="s">
        <v>535</v>
      </c>
      <c r="G267" s="9" t="s">
        <v>11</v>
      </c>
      <c r="H267" s="9" t="s">
        <v>12</v>
      </c>
    </row>
    <row r="268" spans="1:8" x14ac:dyDescent="0.25">
      <c r="A268" t="s">
        <v>536</v>
      </c>
      <c r="B268" s="14" cm="1">
        <f t="array" ref="B268">_xll.GetLatestPrice(F268,,G268)</f>
        <v>450</v>
      </c>
      <c r="C268" s="1" cm="1">
        <f t="array" ref="C268">_xll.GetLatestPrice(F268,"Actual","AssessmentDate")</f>
        <v>45826.645833333336</v>
      </c>
      <c r="D268">
        <f t="shared" si="8"/>
        <v>2025</v>
      </c>
      <c r="E268">
        <f t="shared" si="9"/>
        <v>6</v>
      </c>
      <c r="F268" s="9" t="s">
        <v>537</v>
      </c>
      <c r="G268" s="9" t="s">
        <v>11</v>
      </c>
      <c r="H268" s="9" t="s">
        <v>12</v>
      </c>
    </row>
    <row r="269" spans="1:8" x14ac:dyDescent="0.25">
      <c r="A269" t="s">
        <v>538</v>
      </c>
      <c r="B269" s="14" cm="1">
        <f t="array" ref="B269">_xll.GetLatestPrice(F269,,G269)</f>
        <v>460</v>
      </c>
      <c r="C269" s="1" cm="1">
        <f t="array" ref="C269">_xll.GetLatestPrice(F269,"Actual","AssessmentDate")</f>
        <v>45826.645833333336</v>
      </c>
      <c r="D269">
        <f t="shared" si="8"/>
        <v>2025</v>
      </c>
      <c r="E269">
        <f t="shared" si="9"/>
        <v>6</v>
      </c>
      <c r="F269" s="9" t="s">
        <v>539</v>
      </c>
      <c r="G269" s="9" t="s">
        <v>11</v>
      </c>
      <c r="H269" s="9" t="s">
        <v>12</v>
      </c>
    </row>
    <row r="270" spans="1:8" x14ac:dyDescent="0.25">
      <c r="A270" t="s">
        <v>540</v>
      </c>
      <c r="B270" s="14" cm="1">
        <f t="array" ref="B270">_xll.GetLatestPrice(F270,,G270)</f>
        <v>480</v>
      </c>
      <c r="C270" s="1" cm="1">
        <f t="array" ref="C270">_xll.GetLatestPrice(F270,"Actual","AssessmentDate")</f>
        <v>45826.645833333336</v>
      </c>
      <c r="D270">
        <f t="shared" si="8"/>
        <v>2025</v>
      </c>
      <c r="E270">
        <f t="shared" si="9"/>
        <v>6</v>
      </c>
      <c r="F270" s="9" t="s">
        <v>370</v>
      </c>
      <c r="G270" s="9" t="s">
        <v>11</v>
      </c>
      <c r="H270" s="9" t="s">
        <v>12</v>
      </c>
    </row>
    <row r="271" spans="1:8" x14ac:dyDescent="0.25">
      <c r="A271" t="s">
        <v>541</v>
      </c>
      <c r="B271" s="14" cm="1">
        <f t="array" ref="B271">_xll.GetLatestPrice(F271,,G271)</f>
        <v>507</v>
      </c>
      <c r="C271" s="1" cm="1">
        <f t="array" ref="C271">_xll.GetLatestPrice(F271,"Actual","AssessmentDate")</f>
        <v>45826.649791666663</v>
      </c>
      <c r="D271">
        <f t="shared" si="8"/>
        <v>2025</v>
      </c>
      <c r="E271">
        <f t="shared" si="9"/>
        <v>6</v>
      </c>
      <c r="F271" s="9" t="s">
        <v>542</v>
      </c>
      <c r="G271" s="9" t="s">
        <v>11</v>
      </c>
      <c r="H271" s="9" t="s">
        <v>12</v>
      </c>
    </row>
    <row r="272" spans="1:8" x14ac:dyDescent="0.25">
      <c r="A272" t="s">
        <v>543</v>
      </c>
      <c r="B272" s="14" cm="1">
        <f t="array" ref="B272">_xll.GetLatestPrice(F272,,G272)</f>
        <v>507</v>
      </c>
      <c r="C272" s="1" cm="1">
        <f t="array" ref="C272">_xll.GetLatestPrice(F272,"Actual","AssessmentDate")</f>
        <v>45826.649791666663</v>
      </c>
      <c r="D272">
        <f t="shared" si="8"/>
        <v>2025</v>
      </c>
      <c r="E272">
        <f t="shared" si="9"/>
        <v>6</v>
      </c>
      <c r="F272" s="9" t="s">
        <v>544</v>
      </c>
      <c r="G272" s="9" t="s">
        <v>11</v>
      </c>
      <c r="H272" s="9" t="s">
        <v>12</v>
      </c>
    </row>
    <row r="273" spans="1:8" x14ac:dyDescent="0.25">
      <c r="A273" t="s">
        <v>545</v>
      </c>
      <c r="B273" s="14" cm="1">
        <f t="array" ref="B273">_xll.GetLatestPrice(F273,,G273)</f>
        <v>509</v>
      </c>
      <c r="C273" s="1" cm="1">
        <f t="array" ref="C273">_xll.GetLatestPrice(F273,"Actual","AssessmentDate")</f>
        <v>45826.649791666663</v>
      </c>
      <c r="D273">
        <f t="shared" si="8"/>
        <v>2025</v>
      </c>
      <c r="E273">
        <f t="shared" si="9"/>
        <v>6</v>
      </c>
      <c r="F273" s="9" t="s">
        <v>546</v>
      </c>
      <c r="G273" s="9" t="s">
        <v>11</v>
      </c>
      <c r="H273" s="9" t="s">
        <v>12</v>
      </c>
    </row>
    <row r="274" spans="1:8" x14ac:dyDescent="0.25">
      <c r="A274" t="s">
        <v>547</v>
      </c>
      <c r="B274" s="14" cm="1">
        <f t="array" ref="B274">_xll.GetLatestPrice(F274,,G274)</f>
        <v>495</v>
      </c>
      <c r="C274" s="1" cm="1">
        <f t="array" ref="C274">_xll.GetLatestPrice(F274,"Actual","AssessmentDate")</f>
        <v>45826.645833333336</v>
      </c>
      <c r="D274">
        <f t="shared" si="8"/>
        <v>2025</v>
      </c>
      <c r="E274">
        <f t="shared" si="9"/>
        <v>6</v>
      </c>
      <c r="F274" s="9" t="s">
        <v>398</v>
      </c>
      <c r="G274" s="9" t="s">
        <v>11</v>
      </c>
      <c r="H274" s="9" t="s">
        <v>12</v>
      </c>
    </row>
    <row r="275" spans="1:8" x14ac:dyDescent="0.25">
      <c r="A275" t="s">
        <v>548</v>
      </c>
      <c r="B275" s="14" cm="1">
        <f t="array" ref="B275">_xll.GetLatestPrice(F275,,G275)</f>
        <v>495</v>
      </c>
      <c r="C275" s="1" cm="1">
        <f t="array" ref="C275">_xll.GetLatestPrice(F275,"Actual","AssessmentDate")</f>
        <v>45826.645833333336</v>
      </c>
      <c r="D275">
        <f t="shared" si="8"/>
        <v>2025</v>
      </c>
      <c r="E275">
        <f t="shared" si="9"/>
        <v>6</v>
      </c>
      <c r="F275" s="9" t="s">
        <v>398</v>
      </c>
      <c r="G275" s="9" t="s">
        <v>11</v>
      </c>
      <c r="H275" s="9" t="s">
        <v>12</v>
      </c>
    </row>
    <row r="276" spans="1:8" x14ac:dyDescent="0.25">
      <c r="A276" t="s">
        <v>549</v>
      </c>
      <c r="B276" s="14" cm="1">
        <f t="array" ref="B276">_xll.GetLatestPrice(F276,,G276)</f>
        <v>520</v>
      </c>
      <c r="C276" s="1" cm="1">
        <f t="array" ref="C276">_xll.GetLatestPrice(F276,"Actual","AssessmentDate")</f>
        <v>45826.649791666663</v>
      </c>
      <c r="D276">
        <f t="shared" si="8"/>
        <v>2025</v>
      </c>
      <c r="E276">
        <f t="shared" si="9"/>
        <v>6</v>
      </c>
      <c r="F276" s="9" t="s">
        <v>550</v>
      </c>
      <c r="G276" s="9" t="s">
        <v>11</v>
      </c>
      <c r="H276" s="9" t="s">
        <v>12</v>
      </c>
    </row>
    <row r="277" spans="1:8" x14ac:dyDescent="0.25">
      <c r="A277" t="s">
        <v>551</v>
      </c>
      <c r="B277" s="14" cm="1">
        <f t="array" ref="B277">_xll.GetLatestPrice(F277,,G277)</f>
        <v>511</v>
      </c>
      <c r="C277" s="1" cm="1">
        <f t="array" ref="C277">_xll.GetLatestPrice(F277,"Actual","AssessmentDate")</f>
        <v>45826.649791666663</v>
      </c>
      <c r="D277">
        <f t="shared" si="8"/>
        <v>2025</v>
      </c>
      <c r="E277">
        <f t="shared" si="9"/>
        <v>6</v>
      </c>
      <c r="F277" s="9" t="s">
        <v>552</v>
      </c>
      <c r="G277" s="9" t="s">
        <v>11</v>
      </c>
      <c r="H277" s="9" t="s">
        <v>12</v>
      </c>
    </row>
    <row r="278" spans="1:8" x14ac:dyDescent="0.25">
      <c r="A278" t="s">
        <v>553</v>
      </c>
      <c r="B278" s="14" cm="1">
        <f t="array" ref="B278">_xll.GetLatestPrice(F278,,G278)</f>
        <v>325</v>
      </c>
      <c r="C278" s="1" cm="1">
        <f t="array" ref="C278">_xll.GetLatestPrice(F278,"Actual","AssessmentDate")</f>
        <v>45826.645833333336</v>
      </c>
      <c r="D278">
        <f t="shared" si="8"/>
        <v>2025</v>
      </c>
      <c r="E278">
        <f t="shared" si="9"/>
        <v>6</v>
      </c>
      <c r="F278" s="9" t="s">
        <v>554</v>
      </c>
      <c r="G278" s="9" t="s">
        <v>11</v>
      </c>
      <c r="H278" s="9" t="s">
        <v>12</v>
      </c>
    </row>
    <row r="279" spans="1:8" x14ac:dyDescent="0.25">
      <c r="A279" t="s">
        <v>555</v>
      </c>
      <c r="B279" s="14" cm="1">
        <f t="array" ref="B279">_xll.GetLatestPrice(F279,,G279)</f>
        <v>305</v>
      </c>
      <c r="C279" s="1" cm="1">
        <f t="array" ref="C279">_xll.GetLatestPrice(F279,"Actual","AssessmentDate")</f>
        <v>45826.645833333336</v>
      </c>
      <c r="D279">
        <f t="shared" si="8"/>
        <v>2025</v>
      </c>
      <c r="E279">
        <f t="shared" si="9"/>
        <v>6</v>
      </c>
      <c r="F279" s="9" t="s">
        <v>556</v>
      </c>
      <c r="G279" s="9" t="s">
        <v>11</v>
      </c>
      <c r="H279" s="9" t="s">
        <v>12</v>
      </c>
    </row>
    <row r="280" spans="1:8" x14ac:dyDescent="0.25">
      <c r="A280" t="s">
        <v>557</v>
      </c>
      <c r="B280" s="14" cm="1">
        <f t="array" ref="B280">_xll.GetLatestPrice(F280,,G280)</f>
        <v>335</v>
      </c>
      <c r="C280" s="1" cm="1">
        <f t="array" ref="C280">_xll.GetLatestPrice(F280,"Actual","AssessmentDate")</f>
        <v>45826.645833333336</v>
      </c>
      <c r="D280">
        <f t="shared" si="8"/>
        <v>2025</v>
      </c>
      <c r="E280">
        <f t="shared" si="9"/>
        <v>6</v>
      </c>
      <c r="F280" s="9" t="s">
        <v>558</v>
      </c>
      <c r="G280" s="9" t="s">
        <v>11</v>
      </c>
      <c r="H280" s="9" t="s">
        <v>12</v>
      </c>
    </row>
    <row r="281" spans="1:8" x14ac:dyDescent="0.25">
      <c r="A281" t="s">
        <v>559</v>
      </c>
      <c r="B281" s="14" cm="1">
        <f t="array" ref="B281">_xll.GetLatestPrice(F281,,G281)</f>
        <v>440</v>
      </c>
      <c r="C281" s="1" cm="1">
        <f t="array" ref="C281">_xll.GetLatestPrice(F281,"Actual","AssessmentDate")</f>
        <v>45826.645833333336</v>
      </c>
      <c r="D281">
        <f t="shared" si="8"/>
        <v>2025</v>
      </c>
      <c r="E281">
        <f t="shared" si="9"/>
        <v>6</v>
      </c>
      <c r="F281" s="9" t="s">
        <v>560</v>
      </c>
      <c r="G281" s="9" t="s">
        <v>11</v>
      </c>
      <c r="H281" s="9" t="s">
        <v>12</v>
      </c>
    </row>
    <row r="282" spans="1:8" x14ac:dyDescent="0.25">
      <c r="A282" t="s">
        <v>561</v>
      </c>
      <c r="B282" s="14" cm="1">
        <f t="array" ref="B282">_xll.GetLatestPrice(F282,,G282)</f>
        <v>325</v>
      </c>
      <c r="C282" s="1" cm="1">
        <f t="array" ref="C282">_xll.GetLatestPrice(F282,"Actual","AssessmentDate")</f>
        <v>45826.645833333336</v>
      </c>
      <c r="D282">
        <f t="shared" si="8"/>
        <v>2025</v>
      </c>
      <c r="E282">
        <f t="shared" si="9"/>
        <v>6</v>
      </c>
      <c r="F282" s="9" t="s">
        <v>562</v>
      </c>
      <c r="G282" s="9" t="s">
        <v>11</v>
      </c>
      <c r="H282" s="9" t="s">
        <v>12</v>
      </c>
    </row>
    <row r="283" spans="1:8" x14ac:dyDescent="0.25">
      <c r="A283" t="s">
        <v>563</v>
      </c>
      <c r="B283" s="14" cm="1">
        <f t="array" ref="B283">_xll.GetLatestPrice(F283,,G283)</f>
        <v>295</v>
      </c>
      <c r="C283" s="1" cm="1">
        <f t="array" ref="C283">_xll.GetLatestPrice(F283,"Actual","AssessmentDate")</f>
        <v>45826.645833333336</v>
      </c>
      <c r="D283">
        <f t="shared" si="8"/>
        <v>2025</v>
      </c>
      <c r="E283">
        <f t="shared" si="9"/>
        <v>6</v>
      </c>
      <c r="F283" s="9" t="s">
        <v>564</v>
      </c>
      <c r="G283" s="9" t="s">
        <v>11</v>
      </c>
      <c r="H283" s="9" t="s">
        <v>12</v>
      </c>
    </row>
    <row r="284" spans="1:8" x14ac:dyDescent="0.25">
      <c r="A284" t="s">
        <v>565</v>
      </c>
      <c r="B284" s="14" cm="1">
        <f t="array" ref="B284">_xll.GetLatestPrice(F284,,G284)</f>
        <v>280</v>
      </c>
      <c r="C284" s="1" cm="1">
        <f t="array" ref="C284">_xll.GetLatestPrice(F284,"Actual","AssessmentDate")</f>
        <v>45826.645833333336</v>
      </c>
      <c r="D284">
        <f t="shared" si="8"/>
        <v>2025</v>
      </c>
      <c r="E284">
        <f t="shared" si="9"/>
        <v>6</v>
      </c>
      <c r="F284" s="9" t="s">
        <v>566</v>
      </c>
      <c r="G284" s="9" t="s">
        <v>11</v>
      </c>
      <c r="H284" s="9" t="s">
        <v>12</v>
      </c>
    </row>
    <row r="285" spans="1:8" x14ac:dyDescent="0.25">
      <c r="A285" t="s">
        <v>567</v>
      </c>
      <c r="B285" s="14" cm="1">
        <f t="array" ref="B285">_xll.GetLatestPrice(F285,,G285)</f>
        <v>270</v>
      </c>
      <c r="C285" s="1" cm="1">
        <f t="array" ref="C285">_xll.GetLatestPrice(F285,"Actual","AssessmentDate")</f>
        <v>45826.645833333336</v>
      </c>
      <c r="D285">
        <f t="shared" si="8"/>
        <v>2025</v>
      </c>
      <c r="E285">
        <f t="shared" si="9"/>
        <v>6</v>
      </c>
      <c r="F285" s="9" t="s">
        <v>568</v>
      </c>
      <c r="G285" s="9" t="s">
        <v>11</v>
      </c>
      <c r="H285" s="9" t="s">
        <v>12</v>
      </c>
    </row>
    <row r="286" spans="1:8" x14ac:dyDescent="0.25">
      <c r="A286" t="s">
        <v>569</v>
      </c>
      <c r="B286" s="14" cm="1">
        <f t="array" ref="B286">_xll.GetLatestPrice(F286,,G286)</f>
        <v>315</v>
      </c>
      <c r="C286" s="1" cm="1">
        <f t="array" ref="C286">_xll.GetLatestPrice(F286,"Actual","AssessmentDate")</f>
        <v>45826.645833333336</v>
      </c>
      <c r="D286">
        <f t="shared" si="8"/>
        <v>2025</v>
      </c>
      <c r="E286">
        <f t="shared" si="9"/>
        <v>6</v>
      </c>
      <c r="F286" s="9" t="s">
        <v>570</v>
      </c>
      <c r="G286" s="9" t="s">
        <v>11</v>
      </c>
      <c r="H286" s="9" t="s">
        <v>12</v>
      </c>
    </row>
    <row r="287" spans="1:8" x14ac:dyDescent="0.25">
      <c r="A287" t="s">
        <v>571</v>
      </c>
      <c r="B287" s="14" cm="1">
        <f t="array" ref="B287">_xll.GetLatestPrice(F287,,G287)</f>
        <v>285</v>
      </c>
      <c r="C287" s="1" cm="1">
        <f t="array" ref="C287">_xll.GetLatestPrice(F287,"Actual","AssessmentDate")</f>
        <v>45826.645833333336</v>
      </c>
      <c r="D287">
        <f t="shared" si="8"/>
        <v>2025</v>
      </c>
      <c r="E287">
        <f t="shared" si="9"/>
        <v>6</v>
      </c>
      <c r="F287" s="9" t="s">
        <v>572</v>
      </c>
      <c r="G287" s="9" t="s">
        <v>11</v>
      </c>
      <c r="H287" s="9" t="s">
        <v>12</v>
      </c>
    </row>
    <row r="288" spans="1:8" x14ac:dyDescent="0.25">
      <c r="A288" t="s">
        <v>573</v>
      </c>
      <c r="B288" s="14" cm="1">
        <f t="array" ref="B288">_xll.GetLatestPrice(F288,,G288)</f>
        <v>775</v>
      </c>
      <c r="C288" s="1" cm="1">
        <f t="array" ref="C288">_xll.GetLatestPrice(F288,"Actual","AssessmentDate")</f>
        <v>45826.645833333336</v>
      </c>
      <c r="D288">
        <f t="shared" si="8"/>
        <v>2025</v>
      </c>
      <c r="E288">
        <f t="shared" si="9"/>
        <v>6</v>
      </c>
      <c r="F288" s="9" t="s">
        <v>574</v>
      </c>
      <c r="G288" s="9" t="s">
        <v>11</v>
      </c>
      <c r="H288" s="9" t="s">
        <v>12</v>
      </c>
    </row>
    <row r="289" spans="1:8" x14ac:dyDescent="0.25">
      <c r="A289" t="s">
        <v>575</v>
      </c>
      <c r="B289" s="14" cm="1">
        <f t="array" ref="B289">_xll.GetLatestPrice(F289,,G289)</f>
        <v>590</v>
      </c>
      <c r="C289" s="1" cm="1">
        <f t="array" ref="C289">_xll.GetLatestPrice(F289,"Actual","AssessmentDate")</f>
        <v>45826.645833333336</v>
      </c>
      <c r="D289">
        <f t="shared" si="8"/>
        <v>2025</v>
      </c>
      <c r="E289">
        <f t="shared" si="9"/>
        <v>6</v>
      </c>
      <c r="F289" s="9" t="s">
        <v>576</v>
      </c>
      <c r="G289" s="9" t="s">
        <v>11</v>
      </c>
      <c r="H289" s="9" t="s">
        <v>12</v>
      </c>
    </row>
    <row r="290" spans="1:8" x14ac:dyDescent="0.25">
      <c r="A290" t="s">
        <v>577</v>
      </c>
      <c r="B290" s="14" cm="1">
        <f t="array" ref="B290">_xll.GetLatestPrice(F290,,G290)</f>
        <v>400</v>
      </c>
      <c r="C290" s="1" cm="1">
        <f t="array" ref="C290">_xll.GetLatestPrice(F290,"Actual","AssessmentDate")</f>
        <v>45826.645833333336</v>
      </c>
      <c r="D290">
        <f t="shared" si="8"/>
        <v>2025</v>
      </c>
      <c r="E290">
        <f t="shared" si="9"/>
        <v>6</v>
      </c>
      <c r="F290" s="9" t="s">
        <v>578</v>
      </c>
      <c r="G290" s="9" t="s">
        <v>11</v>
      </c>
      <c r="H290" s="9" t="s">
        <v>12</v>
      </c>
    </row>
    <row r="291" spans="1:8" x14ac:dyDescent="0.25">
      <c r="A291" t="s">
        <v>579</v>
      </c>
      <c r="B291" s="14" cm="1">
        <f t="array" ref="B291">_xll.GetLatestPrice(F291,,G291)</f>
        <v>345</v>
      </c>
      <c r="C291" s="1" cm="1">
        <f t="array" ref="C291">_xll.GetLatestPrice(F291,"Actual","AssessmentDate")</f>
        <v>45826.645833333336</v>
      </c>
      <c r="D291">
        <f t="shared" si="8"/>
        <v>2025</v>
      </c>
      <c r="E291">
        <f t="shared" si="9"/>
        <v>6</v>
      </c>
      <c r="F291" s="9" t="s">
        <v>580</v>
      </c>
      <c r="G291" s="9" t="s">
        <v>11</v>
      </c>
      <c r="H291" s="9" t="s">
        <v>12</v>
      </c>
    </row>
    <row r="292" spans="1:8" x14ac:dyDescent="0.25">
      <c r="A292" t="s">
        <v>581</v>
      </c>
      <c r="B292" s="14" cm="1">
        <f t="array" ref="B292">_xll.GetLatestPrice(F292,,G292)</f>
        <v>370</v>
      </c>
      <c r="C292" s="1" cm="1">
        <f t="array" ref="C292">_xll.GetLatestPrice(F292,"Actual","AssessmentDate")</f>
        <v>45826.645833333336</v>
      </c>
      <c r="D292">
        <f t="shared" si="8"/>
        <v>2025</v>
      </c>
      <c r="E292">
        <f t="shared" si="9"/>
        <v>6</v>
      </c>
      <c r="F292" s="9" t="s">
        <v>582</v>
      </c>
      <c r="G292" s="9" t="s">
        <v>11</v>
      </c>
      <c r="H292" s="9" t="s">
        <v>12</v>
      </c>
    </row>
    <row r="293" spans="1:8" x14ac:dyDescent="0.25">
      <c r="A293" t="s">
        <v>583</v>
      </c>
      <c r="B293" s="14" cm="1">
        <f t="array" ref="B293">_xll.GetLatestPrice(F293,,G293)</f>
        <v>290</v>
      </c>
      <c r="C293" s="1" cm="1">
        <f t="array" ref="C293">_xll.GetLatestPrice(F293,"Actual","AssessmentDate")</f>
        <v>45826.645833333336</v>
      </c>
      <c r="D293">
        <f t="shared" si="8"/>
        <v>2025</v>
      </c>
      <c r="E293">
        <f t="shared" si="9"/>
        <v>6</v>
      </c>
      <c r="F293" s="9" t="s">
        <v>584</v>
      </c>
      <c r="G293" s="9" t="s">
        <v>11</v>
      </c>
      <c r="H293" s="9" t="s">
        <v>12</v>
      </c>
    </row>
    <row r="294" spans="1:8" x14ac:dyDescent="0.25">
      <c r="A294" t="s">
        <v>585</v>
      </c>
      <c r="B294" s="14" cm="1">
        <f t="array" ref="B294">_xll.GetLatestPrice(F294,,G294)</f>
        <v>300</v>
      </c>
      <c r="C294" s="1" cm="1">
        <f t="array" ref="C294">_xll.GetLatestPrice(F294,"Actual","AssessmentDate")</f>
        <v>45826.645833333336</v>
      </c>
      <c r="D294">
        <f t="shared" si="8"/>
        <v>2025</v>
      </c>
      <c r="E294">
        <f t="shared" si="9"/>
        <v>6</v>
      </c>
      <c r="F294" s="9" t="s">
        <v>586</v>
      </c>
      <c r="G294" s="9" t="s">
        <v>11</v>
      </c>
      <c r="H294" s="9" t="s">
        <v>12</v>
      </c>
    </row>
    <row r="295" spans="1:8" x14ac:dyDescent="0.25">
      <c r="A295" t="s">
        <v>587</v>
      </c>
      <c r="B295" s="14" cm="1">
        <f t="array" ref="B295">_xll.GetLatestPrice(F295,,G295)</f>
        <v>355</v>
      </c>
      <c r="C295" s="1" cm="1">
        <f t="array" ref="C295">_xll.GetLatestPrice(F295,"Actual","AssessmentDate")</f>
        <v>45826.645833333336</v>
      </c>
      <c r="D295">
        <f t="shared" si="8"/>
        <v>2025</v>
      </c>
      <c r="E295">
        <f t="shared" si="9"/>
        <v>6</v>
      </c>
      <c r="F295" s="9" t="s">
        <v>588</v>
      </c>
      <c r="G295" s="9" t="s">
        <v>11</v>
      </c>
      <c r="H295" s="9" t="s">
        <v>12</v>
      </c>
    </row>
    <row r="296" spans="1:8" x14ac:dyDescent="0.25">
      <c r="A296" t="s">
        <v>589</v>
      </c>
      <c r="B296" s="14" cm="1">
        <f t="array" ref="B296">_xll.GetLatestPrice(F296,,G296)</f>
        <v>340</v>
      </c>
      <c r="C296" s="1" cm="1">
        <f t="array" ref="C296">_xll.GetLatestPrice(F296,"Actual","AssessmentDate")</f>
        <v>45826.645833333336</v>
      </c>
      <c r="D296">
        <f t="shared" si="8"/>
        <v>2025</v>
      </c>
      <c r="E296">
        <f t="shared" si="9"/>
        <v>6</v>
      </c>
      <c r="F296" s="9" t="s">
        <v>590</v>
      </c>
      <c r="G296" s="9" t="s">
        <v>11</v>
      </c>
      <c r="H296" s="9" t="s">
        <v>12</v>
      </c>
    </row>
    <row r="297" spans="1:8" x14ac:dyDescent="0.25">
      <c r="A297" t="s">
        <v>591</v>
      </c>
      <c r="B297" s="14" cm="1">
        <f t="array" ref="B297">_xll.GetLatestPrice(F297,,G297)</f>
        <v>480</v>
      </c>
      <c r="C297" s="1" cm="1">
        <f t="array" ref="C297">_xll.GetLatestPrice(F297,"Actual","AssessmentDate")</f>
        <v>45826.645833333336</v>
      </c>
      <c r="D297">
        <f t="shared" si="8"/>
        <v>2025</v>
      </c>
      <c r="E297">
        <f t="shared" si="9"/>
        <v>6</v>
      </c>
      <c r="F297" s="9" t="s">
        <v>592</v>
      </c>
      <c r="G297" s="9" t="s">
        <v>11</v>
      </c>
      <c r="H297" s="9" t="s">
        <v>12</v>
      </c>
    </row>
    <row r="298" spans="1:8" x14ac:dyDescent="0.25">
      <c r="A298" t="s">
        <v>593</v>
      </c>
      <c r="B298" s="14" cm="1">
        <f t="array" ref="B298">_xll.GetLatestPrice(F298,,G298)</f>
        <v>490</v>
      </c>
      <c r="C298" s="1" cm="1">
        <f t="array" ref="C298">_xll.GetLatestPrice(F298,"Actual","AssessmentDate")</f>
        <v>45826.645833333336</v>
      </c>
      <c r="D298">
        <f t="shared" si="8"/>
        <v>2025</v>
      </c>
      <c r="E298">
        <f t="shared" si="9"/>
        <v>6</v>
      </c>
      <c r="F298" s="9" t="s">
        <v>594</v>
      </c>
      <c r="G298" s="9" t="s">
        <v>11</v>
      </c>
      <c r="H298" s="9" t="s">
        <v>12</v>
      </c>
    </row>
    <row r="299" spans="1:8" x14ac:dyDescent="0.25">
      <c r="A299" t="s">
        <v>595</v>
      </c>
      <c r="B299" s="14" cm="1">
        <f t="array" ref="B299">_xll.GetLatestPrice(F299,,G299)</f>
        <v>520</v>
      </c>
      <c r="C299" s="1" cm="1">
        <f t="array" ref="C299">_xll.GetLatestPrice(F299,"Actual","AssessmentDate")</f>
        <v>45826.645833333336</v>
      </c>
      <c r="D299">
        <f t="shared" si="8"/>
        <v>2025</v>
      </c>
      <c r="E299">
        <f t="shared" si="9"/>
        <v>6</v>
      </c>
      <c r="F299" s="9" t="s">
        <v>596</v>
      </c>
      <c r="G299" s="9" t="s">
        <v>11</v>
      </c>
      <c r="H299" s="9" t="s">
        <v>12</v>
      </c>
    </row>
    <row r="300" spans="1:8" x14ac:dyDescent="0.25">
      <c r="A300" t="s">
        <v>597</v>
      </c>
      <c r="B300" s="14" cm="1">
        <f t="array" ref="B300">_xll.GetLatestPrice(F300,,G300)</f>
        <v>505</v>
      </c>
      <c r="C300" s="1" cm="1">
        <f t="array" ref="C300">_xll.GetLatestPrice(F300,"Actual","AssessmentDate")</f>
        <v>45826.645833333336</v>
      </c>
      <c r="D300">
        <f t="shared" si="8"/>
        <v>2025</v>
      </c>
      <c r="E300">
        <f t="shared" si="9"/>
        <v>6</v>
      </c>
      <c r="F300" s="9" t="s">
        <v>598</v>
      </c>
      <c r="G300" s="9" t="s">
        <v>11</v>
      </c>
      <c r="H300" s="9" t="s">
        <v>12</v>
      </c>
    </row>
    <row r="301" spans="1:8" x14ac:dyDescent="0.25">
      <c r="A301" t="s">
        <v>599</v>
      </c>
      <c r="B301" s="14" cm="1">
        <f t="array" ref="B301">_xll.GetLatestPrice(F301,,G301)</f>
        <v>470</v>
      </c>
      <c r="C301" s="1" cm="1">
        <f t="array" ref="C301">_xll.GetLatestPrice(F301,"Actual","AssessmentDate")</f>
        <v>45826.645833333336</v>
      </c>
      <c r="D301">
        <f t="shared" si="8"/>
        <v>2025</v>
      </c>
      <c r="E301">
        <f t="shared" si="9"/>
        <v>6</v>
      </c>
      <c r="F301" s="9" t="s">
        <v>600</v>
      </c>
      <c r="G301" s="9" t="s">
        <v>11</v>
      </c>
      <c r="H301" s="9" t="s">
        <v>12</v>
      </c>
    </row>
    <row r="302" spans="1:8" x14ac:dyDescent="0.25">
      <c r="A302" t="s">
        <v>601</v>
      </c>
      <c r="B302" s="14" cm="1">
        <f t="array" ref="B302">_xll.GetLatestPrice(F302,,G302)</f>
        <v>375</v>
      </c>
      <c r="C302" s="1" cm="1">
        <f t="array" ref="C302">_xll.GetLatestPrice(F302,"Actual","AssessmentDate")</f>
        <v>45826.645833333336</v>
      </c>
      <c r="D302">
        <f t="shared" si="8"/>
        <v>2025</v>
      </c>
      <c r="E302">
        <f t="shared" si="9"/>
        <v>6</v>
      </c>
      <c r="F302" s="9" t="s">
        <v>602</v>
      </c>
      <c r="G302" s="9" t="s">
        <v>11</v>
      </c>
      <c r="H302" s="9" t="s">
        <v>12</v>
      </c>
    </row>
    <row r="303" spans="1:8" x14ac:dyDescent="0.25">
      <c r="A303" t="s">
        <v>603</v>
      </c>
      <c r="B303" s="14" cm="1">
        <f t="array" ref="B303">_xll.GetLatestPrice(F303,,G303)</f>
        <v>395</v>
      </c>
      <c r="C303" s="1" cm="1">
        <f t="array" ref="C303">_xll.GetLatestPrice(F303,"Actual","AssessmentDate")</f>
        <v>45826.645833333336</v>
      </c>
      <c r="D303">
        <f t="shared" si="8"/>
        <v>2025</v>
      </c>
      <c r="E303">
        <f t="shared" si="9"/>
        <v>6</v>
      </c>
      <c r="F303" s="9" t="s">
        <v>604</v>
      </c>
      <c r="G303" s="9" t="s">
        <v>11</v>
      </c>
      <c r="H303" s="9" t="s">
        <v>12</v>
      </c>
    </row>
    <row r="304" spans="1:8" x14ac:dyDescent="0.25">
      <c r="A304" t="s">
        <v>605</v>
      </c>
      <c r="B304" s="14" cm="1">
        <f t="array" ref="B304">_xll.GetLatestPrice(F304,,G304)</f>
        <v>575</v>
      </c>
      <c r="C304" s="1" cm="1">
        <f t="array" ref="C304">_xll.GetLatestPrice(F304,"Actual","AssessmentDate")</f>
        <v>45826.645833333336</v>
      </c>
      <c r="D304">
        <f t="shared" si="8"/>
        <v>2025</v>
      </c>
      <c r="E304">
        <f t="shared" si="9"/>
        <v>6</v>
      </c>
      <c r="F304" s="9" t="s">
        <v>606</v>
      </c>
      <c r="G304" s="9" t="s">
        <v>11</v>
      </c>
      <c r="H304" s="9" t="s">
        <v>12</v>
      </c>
    </row>
    <row r="305" spans="1:8" x14ac:dyDescent="0.25">
      <c r="A305" t="s">
        <v>607</v>
      </c>
      <c r="B305" s="14" cm="1">
        <f t="array" ref="B305">_xll.GetLatestPrice(F305,,G305)</f>
        <v>510</v>
      </c>
      <c r="C305" s="1" cm="1">
        <f t="array" ref="C305">_xll.GetLatestPrice(F305,"Actual","AssessmentDate")</f>
        <v>45826.645833333336</v>
      </c>
      <c r="D305">
        <f t="shared" si="8"/>
        <v>2025</v>
      </c>
      <c r="E305">
        <f t="shared" si="9"/>
        <v>6</v>
      </c>
      <c r="F305" s="9" t="s">
        <v>608</v>
      </c>
      <c r="G305" s="9" t="s">
        <v>11</v>
      </c>
      <c r="H305" s="9" t="s">
        <v>12</v>
      </c>
    </row>
    <row r="306" spans="1:8" x14ac:dyDescent="0.25">
      <c r="A306" t="s">
        <v>609</v>
      </c>
      <c r="B306" s="14" cm="1">
        <f t="array" ref="B306">_xll.GetLatestPrice(F306,,G306)</f>
        <v>350</v>
      </c>
      <c r="C306" s="1" cm="1">
        <f t="array" ref="C306">_xll.GetLatestPrice(F306,"Actual","AssessmentDate")</f>
        <v>45826.645833333336</v>
      </c>
      <c r="D306">
        <f t="shared" si="8"/>
        <v>2025</v>
      </c>
      <c r="E306">
        <f t="shared" si="9"/>
        <v>6</v>
      </c>
      <c r="F306" s="9" t="s">
        <v>610</v>
      </c>
      <c r="G306" s="9" t="s">
        <v>11</v>
      </c>
      <c r="H306" s="9" t="s">
        <v>12</v>
      </c>
    </row>
    <row r="307" spans="1:8" x14ac:dyDescent="0.25">
      <c r="A307" t="s">
        <v>611</v>
      </c>
      <c r="B307" s="14" cm="1">
        <f t="array" ref="B307">_xll.GetLatestPrice(F307,,G307)</f>
        <v>300</v>
      </c>
      <c r="C307" s="1" cm="1">
        <f t="array" ref="C307">_xll.GetLatestPrice(F307,"Actual","AssessmentDate")</f>
        <v>45826.645833333336</v>
      </c>
      <c r="D307">
        <f t="shared" si="8"/>
        <v>2025</v>
      </c>
      <c r="E307">
        <f t="shared" si="9"/>
        <v>6</v>
      </c>
      <c r="F307" s="9" t="s">
        <v>612</v>
      </c>
      <c r="G307" s="9" t="s">
        <v>11</v>
      </c>
      <c r="H307" s="9" t="s">
        <v>12</v>
      </c>
    </row>
    <row r="308" spans="1:8" x14ac:dyDescent="0.25">
      <c r="A308" t="s">
        <v>613</v>
      </c>
      <c r="B308" s="14" cm="1">
        <f t="array" ref="B308">_xll.GetLatestPrice(F308,,G308)</f>
        <v>290</v>
      </c>
      <c r="C308" s="1" cm="1">
        <f t="array" ref="C308">_xll.GetLatestPrice(F308,"Actual","AssessmentDate")</f>
        <v>45826.645833333336</v>
      </c>
      <c r="D308">
        <f t="shared" si="8"/>
        <v>2025</v>
      </c>
      <c r="E308">
        <f t="shared" si="9"/>
        <v>6</v>
      </c>
      <c r="F308" s="9" t="s">
        <v>614</v>
      </c>
      <c r="G308" s="9" t="s">
        <v>11</v>
      </c>
      <c r="H308" s="9" t="s">
        <v>12</v>
      </c>
    </row>
    <row r="309" spans="1:8" x14ac:dyDescent="0.25">
      <c r="A309" t="s">
        <v>615</v>
      </c>
      <c r="B309" s="14" cm="1">
        <f t="array" ref="B309">_xll.GetLatestPrice(F309,,G309)</f>
        <v>380</v>
      </c>
      <c r="C309" s="1" cm="1">
        <f t="array" ref="C309">_xll.GetLatestPrice(F309,"Actual","AssessmentDate")</f>
        <v>45826.645833333336</v>
      </c>
      <c r="D309">
        <f t="shared" si="8"/>
        <v>2025</v>
      </c>
      <c r="E309">
        <f t="shared" si="9"/>
        <v>6</v>
      </c>
      <c r="F309" s="9" t="s">
        <v>616</v>
      </c>
      <c r="G309" s="9" t="s">
        <v>11</v>
      </c>
      <c r="H309" s="9" t="s">
        <v>12</v>
      </c>
    </row>
    <row r="310" spans="1:8" x14ac:dyDescent="0.25">
      <c r="A310" t="s">
        <v>617</v>
      </c>
      <c r="B310" s="14" cm="1">
        <f t="array" ref="B310">_xll.GetLatestPrice(F310,,G310)</f>
        <v>330</v>
      </c>
      <c r="C310" s="1" cm="1">
        <f t="array" ref="C310">_xll.GetLatestPrice(F310,"Actual","AssessmentDate")</f>
        <v>45826.645833333336</v>
      </c>
      <c r="D310">
        <f t="shared" si="8"/>
        <v>2025</v>
      </c>
      <c r="E310">
        <f t="shared" si="9"/>
        <v>6</v>
      </c>
      <c r="F310" s="9" t="s">
        <v>618</v>
      </c>
      <c r="G310" s="9" t="s">
        <v>11</v>
      </c>
      <c r="H310" s="9" t="s">
        <v>12</v>
      </c>
    </row>
    <row r="311" spans="1:8" x14ac:dyDescent="0.25">
      <c r="A311" t="s">
        <v>619</v>
      </c>
      <c r="B311" s="14" cm="1">
        <f t="array" ref="B311">_xll.GetLatestPrice(F311,,G311)</f>
        <v>330</v>
      </c>
      <c r="C311" s="1" cm="1">
        <f t="array" ref="C311">_xll.GetLatestPrice(F311,"Actual","AssessmentDate")</f>
        <v>45826.645833333336</v>
      </c>
      <c r="D311">
        <f t="shared" si="8"/>
        <v>2025</v>
      </c>
      <c r="E311">
        <f t="shared" si="9"/>
        <v>6</v>
      </c>
      <c r="F311" s="9" t="s">
        <v>620</v>
      </c>
      <c r="G311" s="9" t="s">
        <v>11</v>
      </c>
      <c r="H311" s="9" t="s">
        <v>12</v>
      </c>
    </row>
    <row r="312" spans="1:8" x14ac:dyDescent="0.25">
      <c r="A312" t="s">
        <v>621</v>
      </c>
      <c r="B312" s="14" cm="1">
        <f t="array" ref="B312">_xll.GetLatestPrice(F312,,G312)</f>
        <v>270</v>
      </c>
      <c r="C312" s="1" cm="1">
        <f t="array" ref="C312">_xll.GetLatestPrice(F312,"Actual","AssessmentDate")</f>
        <v>45826.645833333336</v>
      </c>
      <c r="D312">
        <f t="shared" si="8"/>
        <v>2025</v>
      </c>
      <c r="E312">
        <f t="shared" si="9"/>
        <v>6</v>
      </c>
      <c r="F312" s="9" t="s">
        <v>622</v>
      </c>
      <c r="G312" s="9" t="s">
        <v>11</v>
      </c>
      <c r="H312" s="9" t="s">
        <v>12</v>
      </c>
    </row>
    <row r="313" spans="1:8" x14ac:dyDescent="0.25">
      <c r="A313" t="s">
        <v>623</v>
      </c>
      <c r="B313" s="14" cm="1">
        <f t="array" ref="B313">_xll.GetLatestPrice(F313,,G313)</f>
        <v>285</v>
      </c>
      <c r="C313" s="1" cm="1">
        <f t="array" ref="C313">_xll.GetLatestPrice(F313,"Actual","AssessmentDate")</f>
        <v>45826.645833333336</v>
      </c>
      <c r="D313">
        <f t="shared" si="8"/>
        <v>2025</v>
      </c>
      <c r="E313">
        <f t="shared" si="9"/>
        <v>6</v>
      </c>
      <c r="F313" s="9" t="s">
        <v>624</v>
      </c>
      <c r="G313" s="9" t="s">
        <v>11</v>
      </c>
      <c r="H313" s="9" t="s">
        <v>12</v>
      </c>
    </row>
    <row r="314" spans="1:8" x14ac:dyDescent="0.25">
      <c r="A314" t="s">
        <v>625</v>
      </c>
      <c r="B314" s="14" cm="1">
        <f t="array" ref="B314">_xll.GetLatestPrice(F314,,G314)</f>
        <v>320</v>
      </c>
      <c r="C314" s="1" cm="1">
        <f t="array" ref="C314">_xll.GetLatestPrice(F314,"Actual","AssessmentDate")</f>
        <v>45826.645833333336</v>
      </c>
      <c r="D314">
        <f t="shared" si="8"/>
        <v>2025</v>
      </c>
      <c r="E314">
        <f t="shared" si="9"/>
        <v>6</v>
      </c>
      <c r="F314" s="9" t="s">
        <v>626</v>
      </c>
      <c r="G314" s="9" t="s">
        <v>11</v>
      </c>
      <c r="H314" s="9" t="s">
        <v>12</v>
      </c>
    </row>
    <row r="315" spans="1:8" x14ac:dyDescent="0.25">
      <c r="A315" t="s">
        <v>627</v>
      </c>
      <c r="B315" s="14" cm="1">
        <f t="array" ref="B315">_xll.GetLatestPrice(F315,,G315)</f>
        <v>320</v>
      </c>
      <c r="C315" s="1" cm="1">
        <f t="array" ref="C315">_xll.GetLatestPrice(F315,"Actual","AssessmentDate")</f>
        <v>45826.645833333336</v>
      </c>
      <c r="D315">
        <f t="shared" si="8"/>
        <v>2025</v>
      </c>
      <c r="E315">
        <f t="shared" si="9"/>
        <v>6</v>
      </c>
      <c r="F315" s="9" t="s">
        <v>628</v>
      </c>
      <c r="G315" s="9" t="s">
        <v>11</v>
      </c>
      <c r="H315" s="9" t="s">
        <v>12</v>
      </c>
    </row>
    <row r="316" spans="1:8" x14ac:dyDescent="0.25">
      <c r="A316" t="s">
        <v>629</v>
      </c>
      <c r="B316" s="14" cm="1">
        <f t="array" ref="B316">_xll.GetLatestPrice(F316,,G316)</f>
        <v>440</v>
      </c>
      <c r="C316" s="1" cm="1">
        <f t="array" ref="C316">_xll.GetLatestPrice(F316,"Actual","AssessmentDate")</f>
        <v>45826.645833333336</v>
      </c>
      <c r="D316">
        <f t="shared" si="8"/>
        <v>2025</v>
      </c>
      <c r="E316">
        <f t="shared" si="9"/>
        <v>6</v>
      </c>
      <c r="F316" s="9" t="s">
        <v>630</v>
      </c>
      <c r="G316" s="9" t="s">
        <v>11</v>
      </c>
      <c r="H316" s="9" t="s">
        <v>12</v>
      </c>
    </row>
    <row r="317" spans="1:8" x14ac:dyDescent="0.25">
      <c r="A317" t="s">
        <v>631</v>
      </c>
      <c r="B317" s="14" cm="1">
        <f t="array" ref="B317">_xll.GetLatestPrice(F317,,G317)</f>
        <v>330</v>
      </c>
      <c r="C317" s="1" cm="1">
        <f t="array" ref="C317">_xll.GetLatestPrice(F317,"Actual","AssessmentDate")</f>
        <v>45826.645833333336</v>
      </c>
      <c r="D317">
        <f t="shared" si="8"/>
        <v>2025</v>
      </c>
      <c r="E317">
        <f t="shared" si="9"/>
        <v>6</v>
      </c>
      <c r="F317" s="9" t="s">
        <v>632</v>
      </c>
      <c r="G317" s="9" t="s">
        <v>11</v>
      </c>
      <c r="H317" s="9" t="s">
        <v>12</v>
      </c>
    </row>
    <row r="318" spans="1:8" x14ac:dyDescent="0.25">
      <c r="A318" t="s">
        <v>633</v>
      </c>
      <c r="B318" s="14" cm="1">
        <f t="array" ref="B318">_xll.GetLatestPrice(F318,,G318)</f>
        <v>420</v>
      </c>
      <c r="C318" s="1" cm="1">
        <f t="array" ref="C318">_xll.GetLatestPrice(F318,"Actual","AssessmentDate")</f>
        <v>45826.645833333336</v>
      </c>
      <c r="D318">
        <f t="shared" si="8"/>
        <v>2025</v>
      </c>
      <c r="E318">
        <f t="shared" si="9"/>
        <v>6</v>
      </c>
      <c r="F318" s="9" t="s">
        <v>634</v>
      </c>
      <c r="G318" s="9" t="s">
        <v>11</v>
      </c>
      <c r="H318" s="9" t="s">
        <v>12</v>
      </c>
    </row>
    <row r="319" spans="1:8" x14ac:dyDescent="0.25">
      <c r="A319" t="s">
        <v>635</v>
      </c>
      <c r="B319" s="14" cm="1">
        <f t="array" ref="B319">_xll.GetLatestPrice(F319,,G319)</f>
        <v>295</v>
      </c>
      <c r="C319" s="1" cm="1">
        <f t="array" ref="C319">_xll.GetLatestPrice(F319,"Actual","AssessmentDate")</f>
        <v>45826.645833333336</v>
      </c>
      <c r="D319">
        <f t="shared" si="8"/>
        <v>2025</v>
      </c>
      <c r="E319">
        <f t="shared" si="9"/>
        <v>6</v>
      </c>
      <c r="F319" s="9" t="s">
        <v>636</v>
      </c>
      <c r="G319" s="9" t="s">
        <v>11</v>
      </c>
      <c r="H319" s="9" t="s">
        <v>12</v>
      </c>
    </row>
    <row r="320" spans="1:8" x14ac:dyDescent="0.25">
      <c r="A320" t="s">
        <v>637</v>
      </c>
      <c r="B320" s="14" cm="1">
        <f t="array" ref="B320">_xll.GetLatestPrice(F320,,G320)</f>
        <v>305</v>
      </c>
      <c r="C320" s="1" cm="1">
        <f t="array" ref="C320">_xll.GetLatestPrice(F320,"Actual","AssessmentDate")</f>
        <v>45826.645833333336</v>
      </c>
      <c r="D320">
        <f t="shared" si="8"/>
        <v>2025</v>
      </c>
      <c r="E320">
        <f t="shared" si="9"/>
        <v>6</v>
      </c>
      <c r="F320" s="9" t="s">
        <v>638</v>
      </c>
      <c r="G320" s="9" t="s">
        <v>11</v>
      </c>
      <c r="H320" s="9" t="s">
        <v>12</v>
      </c>
    </row>
    <row r="321" spans="1:8" x14ac:dyDescent="0.25">
      <c r="A321" t="s">
        <v>639</v>
      </c>
      <c r="B321" s="14" cm="1">
        <f t="array" ref="B321">_xll.GetLatestPrice(F321,,G321)</f>
        <v>375</v>
      </c>
      <c r="C321" s="1" cm="1">
        <f t="array" ref="C321">_xll.GetLatestPrice(F321,"Actual","AssessmentDate")</f>
        <v>45826.645833333336</v>
      </c>
      <c r="D321">
        <f t="shared" si="8"/>
        <v>2025</v>
      </c>
      <c r="E321">
        <f t="shared" si="9"/>
        <v>6</v>
      </c>
      <c r="F321" s="9" t="s">
        <v>640</v>
      </c>
      <c r="G321" s="9" t="s">
        <v>11</v>
      </c>
      <c r="H321" s="9" t="s">
        <v>12</v>
      </c>
    </row>
    <row r="322" spans="1:8" x14ac:dyDescent="0.25">
      <c r="A322" t="s">
        <v>641</v>
      </c>
      <c r="B322" s="14" cm="1">
        <f t="array" ref="B322">_xll.GetLatestPrice(F322,,G322)</f>
        <v>305</v>
      </c>
      <c r="C322" s="1" cm="1">
        <f t="array" ref="C322">_xll.GetLatestPrice(F322,"Actual","AssessmentDate")</f>
        <v>45826.645833333336</v>
      </c>
      <c r="D322">
        <f t="shared" si="8"/>
        <v>2025</v>
      </c>
      <c r="E322">
        <f t="shared" si="9"/>
        <v>6</v>
      </c>
      <c r="F322" s="9" t="s">
        <v>642</v>
      </c>
      <c r="G322" s="9" t="s">
        <v>11</v>
      </c>
      <c r="H322" s="9" t="s">
        <v>12</v>
      </c>
    </row>
    <row r="323" spans="1:8" x14ac:dyDescent="0.25">
      <c r="A323" t="s">
        <v>643</v>
      </c>
      <c r="B323" s="14" cm="1">
        <f t="array" ref="B323">_xll.GetLatestPrice(F323,,G323)</f>
        <v>515</v>
      </c>
      <c r="C323" s="1" cm="1">
        <f t="array" ref="C323">_xll.GetLatestPrice(F323,"Actual","AssessmentDate")</f>
        <v>45826.645833333336</v>
      </c>
      <c r="D323">
        <f t="shared" ref="D323:D386" si="10">YEAR(C323)</f>
        <v>2025</v>
      </c>
      <c r="E323">
        <f t="shared" ref="E323:E386" si="11">MONTH(C323)</f>
        <v>6</v>
      </c>
      <c r="F323" s="9" t="s">
        <v>644</v>
      </c>
      <c r="G323" s="9" t="s">
        <v>11</v>
      </c>
      <c r="H323" s="9" t="s">
        <v>12</v>
      </c>
    </row>
    <row r="324" spans="1:8" x14ac:dyDescent="0.25">
      <c r="A324" t="s">
        <v>645</v>
      </c>
      <c r="B324" s="14" cm="1">
        <f t="array" ref="B324">_xll.GetLatestPrice(F324,,G324)</f>
        <v>440</v>
      </c>
      <c r="C324" s="1" cm="1">
        <f t="array" ref="C324">_xll.GetLatestPrice(F324,"Actual","AssessmentDate")</f>
        <v>45826.645833333336</v>
      </c>
      <c r="D324">
        <f t="shared" si="10"/>
        <v>2025</v>
      </c>
      <c r="E324">
        <f t="shared" si="11"/>
        <v>6</v>
      </c>
      <c r="F324" s="9" t="s">
        <v>646</v>
      </c>
      <c r="G324" s="9" t="s">
        <v>11</v>
      </c>
      <c r="H324" s="9" t="s">
        <v>12</v>
      </c>
    </row>
    <row r="325" spans="1:8" x14ac:dyDescent="0.25">
      <c r="A325" t="s">
        <v>647</v>
      </c>
      <c r="B325" s="14" cm="1">
        <f t="array" ref="B325">_xll.GetLatestPrice(F325,,G325)</f>
        <v>540</v>
      </c>
      <c r="C325" s="1" cm="1">
        <f t="array" ref="C325">_xll.GetLatestPrice(F325,"Actual","AssessmentDate")</f>
        <v>45826.645833333336</v>
      </c>
      <c r="D325">
        <f t="shared" si="10"/>
        <v>2025</v>
      </c>
      <c r="E325">
        <f t="shared" si="11"/>
        <v>6</v>
      </c>
      <c r="F325" s="9" t="s">
        <v>648</v>
      </c>
      <c r="G325" s="9" t="s">
        <v>11</v>
      </c>
      <c r="H325" s="9" t="s">
        <v>12</v>
      </c>
    </row>
    <row r="326" spans="1:8" x14ac:dyDescent="0.25">
      <c r="A326" t="s">
        <v>649</v>
      </c>
      <c r="B326" s="14" cm="1">
        <f t="array" ref="B326">_xll.GetLatestPrice(F326,,G326)</f>
        <v>445</v>
      </c>
      <c r="C326" s="1" cm="1">
        <f t="array" ref="C326">_xll.GetLatestPrice(F326,"Actual","AssessmentDate")</f>
        <v>45826.645833333336</v>
      </c>
      <c r="D326">
        <f t="shared" si="10"/>
        <v>2025</v>
      </c>
      <c r="E326">
        <f t="shared" si="11"/>
        <v>6</v>
      </c>
      <c r="F326" s="9" t="s">
        <v>650</v>
      </c>
      <c r="G326" s="9" t="s">
        <v>11</v>
      </c>
      <c r="H326" s="9" t="s">
        <v>12</v>
      </c>
    </row>
    <row r="327" spans="1:8" x14ac:dyDescent="0.25">
      <c r="A327" t="s">
        <v>651</v>
      </c>
      <c r="B327" s="14" cm="1">
        <f t="array" ref="B327">_xll.GetLatestPrice(F327,,G327)</f>
        <v>480</v>
      </c>
      <c r="C327" s="1" cm="1">
        <f t="array" ref="C327">_xll.GetLatestPrice(F327,"Actual","AssessmentDate")</f>
        <v>45826.645833333336</v>
      </c>
      <c r="D327">
        <f t="shared" si="10"/>
        <v>2025</v>
      </c>
      <c r="E327">
        <f t="shared" si="11"/>
        <v>6</v>
      </c>
      <c r="F327" s="9" t="s">
        <v>652</v>
      </c>
      <c r="G327" s="9" t="s">
        <v>11</v>
      </c>
      <c r="H327" s="9" t="s">
        <v>12</v>
      </c>
    </row>
    <row r="328" spans="1:8" x14ac:dyDescent="0.25">
      <c r="A328" t="s">
        <v>653</v>
      </c>
      <c r="B328" s="14" cm="1">
        <f t="array" ref="B328">_xll.GetLatestPrice(F328,,G328)</f>
        <v>395</v>
      </c>
      <c r="C328" s="1" cm="1">
        <f t="array" ref="C328">_xll.GetLatestPrice(F328,"Actual","AssessmentDate")</f>
        <v>45826.645833333336</v>
      </c>
      <c r="D328">
        <f t="shared" si="10"/>
        <v>2025</v>
      </c>
      <c r="E328">
        <f t="shared" si="11"/>
        <v>6</v>
      </c>
      <c r="F328" s="9" t="s">
        <v>654</v>
      </c>
      <c r="G328" s="9" t="s">
        <v>11</v>
      </c>
      <c r="H328" s="9" t="s">
        <v>12</v>
      </c>
    </row>
    <row r="329" spans="1:8" x14ac:dyDescent="0.25">
      <c r="A329" t="s">
        <v>655</v>
      </c>
      <c r="B329" s="14" cm="1">
        <f t="array" ref="B329">_xll.GetLatestPrice(F329,,G329)</f>
        <v>395</v>
      </c>
      <c r="C329" s="1" cm="1">
        <f t="array" ref="C329">_xll.GetLatestPrice(F329,"Actual","AssessmentDate")</f>
        <v>45826.645833333336</v>
      </c>
      <c r="D329">
        <f t="shared" si="10"/>
        <v>2025</v>
      </c>
      <c r="E329">
        <f t="shared" si="11"/>
        <v>6</v>
      </c>
      <c r="F329" s="9" t="s">
        <v>656</v>
      </c>
      <c r="G329" s="9" t="s">
        <v>11</v>
      </c>
      <c r="H329" s="9" t="s">
        <v>12</v>
      </c>
    </row>
    <row r="330" spans="1:8" x14ac:dyDescent="0.25">
      <c r="A330" t="s">
        <v>657</v>
      </c>
      <c r="B330" s="14" cm="1">
        <f t="array" ref="B330">_xll.GetLatestPrice(F330,,G330)</f>
        <v>655</v>
      </c>
      <c r="C330" s="1" cm="1">
        <f t="array" ref="C330">_xll.GetLatestPrice(F330,"Actual","AssessmentDate")</f>
        <v>45826.645833333336</v>
      </c>
      <c r="D330">
        <f t="shared" si="10"/>
        <v>2025</v>
      </c>
      <c r="E330">
        <f t="shared" si="11"/>
        <v>6</v>
      </c>
      <c r="F330" s="9" t="s">
        <v>658</v>
      </c>
      <c r="G330" s="9" t="s">
        <v>11</v>
      </c>
      <c r="H330" s="9" t="s">
        <v>12</v>
      </c>
    </row>
    <row r="331" spans="1:8" x14ac:dyDescent="0.25">
      <c r="A331" t="s">
        <v>659</v>
      </c>
      <c r="B331" s="14" cm="1">
        <f t="array" ref="B331">_xll.GetLatestPrice(F331,,G331)</f>
        <v>500</v>
      </c>
      <c r="C331" s="1" cm="1">
        <f t="array" ref="C331">_xll.GetLatestPrice(F331,"Actual","AssessmentDate")</f>
        <v>45826.645833333336</v>
      </c>
      <c r="D331">
        <f t="shared" si="10"/>
        <v>2025</v>
      </c>
      <c r="E331">
        <f t="shared" si="11"/>
        <v>6</v>
      </c>
      <c r="F331" s="9" t="s">
        <v>660</v>
      </c>
      <c r="G331" s="9" t="s">
        <v>11</v>
      </c>
      <c r="H331" s="9" t="s">
        <v>12</v>
      </c>
    </row>
    <row r="332" spans="1:8" x14ac:dyDescent="0.25">
      <c r="A332" t="s">
        <v>661</v>
      </c>
      <c r="B332" s="14" cm="1">
        <f t="array" ref="B332">_xll.GetLatestPrice(F332,,G332)</f>
        <v>465</v>
      </c>
      <c r="C332" s="1" cm="1">
        <f t="array" ref="C332">_xll.GetLatestPrice(F332,"Actual","AssessmentDate")</f>
        <v>45826.645833333336</v>
      </c>
      <c r="D332">
        <f t="shared" si="10"/>
        <v>2025</v>
      </c>
      <c r="E332">
        <f t="shared" si="11"/>
        <v>6</v>
      </c>
      <c r="F332" s="9" t="s">
        <v>662</v>
      </c>
      <c r="G332" s="9" t="s">
        <v>11</v>
      </c>
      <c r="H332" s="9" t="s">
        <v>12</v>
      </c>
    </row>
    <row r="333" spans="1:8" x14ac:dyDescent="0.25">
      <c r="A333" t="s">
        <v>663</v>
      </c>
      <c r="B333" s="14" cm="1">
        <f t="array" ref="B333">_xll.GetLatestPrice(F333,,G333)</f>
        <v>320</v>
      </c>
      <c r="C333" s="1" cm="1">
        <f t="array" ref="C333">_xll.GetLatestPrice(F333,"Actual","AssessmentDate")</f>
        <v>45826.645833333336</v>
      </c>
      <c r="D333">
        <f t="shared" si="10"/>
        <v>2025</v>
      </c>
      <c r="E333">
        <f t="shared" si="11"/>
        <v>6</v>
      </c>
      <c r="F333" s="9" t="s">
        <v>664</v>
      </c>
      <c r="G333" s="9" t="s">
        <v>11</v>
      </c>
      <c r="H333" s="9" t="s">
        <v>12</v>
      </c>
    </row>
    <row r="334" spans="1:8" x14ac:dyDescent="0.25">
      <c r="A334" t="s">
        <v>665</v>
      </c>
      <c r="B334" s="14" cm="1">
        <f t="array" ref="B334">_xll.GetLatestPrice(F334,,G334)</f>
        <v>330</v>
      </c>
      <c r="C334" s="1" cm="1">
        <f t="array" ref="C334">_xll.GetLatestPrice(F334,"Actual","AssessmentDate")</f>
        <v>45826.645833333336</v>
      </c>
      <c r="D334">
        <f t="shared" si="10"/>
        <v>2025</v>
      </c>
      <c r="E334">
        <f t="shared" si="11"/>
        <v>6</v>
      </c>
      <c r="F334" s="9" t="s">
        <v>666</v>
      </c>
      <c r="G334" s="9" t="s">
        <v>11</v>
      </c>
      <c r="H334" s="9" t="s">
        <v>12</v>
      </c>
    </row>
    <row r="335" spans="1:8" x14ac:dyDescent="0.25">
      <c r="A335" t="s">
        <v>667</v>
      </c>
      <c r="B335" s="14" cm="1">
        <f t="array" ref="B335">_xll.GetLatestPrice(F335,,G335)</f>
        <v>425</v>
      </c>
      <c r="C335" s="1" cm="1">
        <f t="array" ref="C335">_xll.GetLatestPrice(F335,"Actual","AssessmentDate")</f>
        <v>45826.645833333336</v>
      </c>
      <c r="D335">
        <f t="shared" si="10"/>
        <v>2025</v>
      </c>
      <c r="E335">
        <f t="shared" si="11"/>
        <v>6</v>
      </c>
      <c r="F335" s="9" t="s">
        <v>668</v>
      </c>
      <c r="G335" s="9" t="s">
        <v>11</v>
      </c>
      <c r="H335" s="9" t="s">
        <v>12</v>
      </c>
    </row>
    <row r="336" spans="1:8" x14ac:dyDescent="0.25">
      <c r="A336" t="s">
        <v>669</v>
      </c>
      <c r="B336" s="14" cm="1">
        <f t="array" ref="B336">_xll.GetLatestPrice(F336,,G336)</f>
        <v>405</v>
      </c>
      <c r="C336" s="1" cm="1">
        <f t="array" ref="C336">_xll.GetLatestPrice(F336,"Actual","AssessmentDate")</f>
        <v>45826.645833333336</v>
      </c>
      <c r="D336">
        <f t="shared" si="10"/>
        <v>2025</v>
      </c>
      <c r="E336">
        <f t="shared" si="11"/>
        <v>6</v>
      </c>
      <c r="F336" s="9" t="s">
        <v>670</v>
      </c>
      <c r="G336" s="9" t="s">
        <v>11</v>
      </c>
      <c r="H336" s="9" t="s">
        <v>12</v>
      </c>
    </row>
    <row r="337" spans="1:8" x14ac:dyDescent="0.25">
      <c r="A337" t="s">
        <v>671</v>
      </c>
      <c r="B337" s="14" cm="1">
        <f t="array" ref="B337">_xll.GetLatestPrice(F337,,G337)</f>
        <v>435</v>
      </c>
      <c r="C337" s="1" cm="1">
        <f t="array" ref="C337">_xll.GetLatestPrice(F337,"Actual","AssessmentDate")</f>
        <v>45826.645833333336</v>
      </c>
      <c r="D337">
        <f t="shared" si="10"/>
        <v>2025</v>
      </c>
      <c r="E337">
        <f t="shared" si="11"/>
        <v>6</v>
      </c>
      <c r="F337" s="9" t="s">
        <v>672</v>
      </c>
      <c r="G337" s="9" t="s">
        <v>11</v>
      </c>
      <c r="H337" s="9" t="s">
        <v>12</v>
      </c>
    </row>
    <row r="338" spans="1:8" x14ac:dyDescent="0.25">
      <c r="A338" t="s">
        <v>673</v>
      </c>
      <c r="B338" s="14" cm="1">
        <f t="array" ref="B338">_xll.GetLatestPrice(F338,,G338)</f>
        <v>280</v>
      </c>
      <c r="C338" s="1" cm="1">
        <f t="array" ref="C338">_xll.GetLatestPrice(F338,"Actual","AssessmentDate")</f>
        <v>45826.645833333336</v>
      </c>
      <c r="D338">
        <f t="shared" si="10"/>
        <v>2025</v>
      </c>
      <c r="E338">
        <f t="shared" si="11"/>
        <v>6</v>
      </c>
      <c r="F338" s="9" t="s">
        <v>674</v>
      </c>
      <c r="G338" s="9" t="s">
        <v>11</v>
      </c>
      <c r="H338" s="9" t="s">
        <v>12</v>
      </c>
    </row>
    <row r="339" spans="1:8" x14ac:dyDescent="0.25">
      <c r="A339" t="s">
        <v>675</v>
      </c>
      <c r="B339" s="14" cm="1">
        <f t="array" ref="B339">_xll.GetLatestPrice(F339,,G339)</f>
        <v>315</v>
      </c>
      <c r="C339" s="1" cm="1">
        <f t="array" ref="C339">_xll.GetLatestPrice(F339,"Actual","AssessmentDate")</f>
        <v>45826.645833333336</v>
      </c>
      <c r="D339">
        <f t="shared" si="10"/>
        <v>2025</v>
      </c>
      <c r="E339">
        <f t="shared" si="11"/>
        <v>6</v>
      </c>
      <c r="F339" s="9" t="s">
        <v>676</v>
      </c>
      <c r="G339" s="9" t="s">
        <v>11</v>
      </c>
      <c r="H339" s="9" t="s">
        <v>12</v>
      </c>
    </row>
    <row r="340" spans="1:8" x14ac:dyDescent="0.25">
      <c r="A340" t="s">
        <v>677</v>
      </c>
      <c r="B340" s="14" cm="1">
        <f t="array" ref="B340">_xll.GetLatestPrice(F340,,G340)</f>
        <v>330</v>
      </c>
      <c r="C340" s="1" cm="1">
        <f t="array" ref="C340">_xll.GetLatestPrice(F340,"Actual","AssessmentDate")</f>
        <v>45826.645833333336</v>
      </c>
      <c r="D340">
        <f t="shared" si="10"/>
        <v>2025</v>
      </c>
      <c r="E340">
        <f t="shared" si="11"/>
        <v>6</v>
      </c>
      <c r="F340" s="9" t="s">
        <v>678</v>
      </c>
      <c r="G340" s="9" t="s">
        <v>11</v>
      </c>
      <c r="H340" s="9" t="s">
        <v>12</v>
      </c>
    </row>
    <row r="341" spans="1:8" x14ac:dyDescent="0.25">
      <c r="A341" t="s">
        <v>679</v>
      </c>
      <c r="B341" s="14" cm="1">
        <f t="array" ref="B341">_xll.GetLatestPrice(F341,,G341)</f>
        <v>390</v>
      </c>
      <c r="C341" s="1" cm="1">
        <f t="array" ref="C341">_xll.GetLatestPrice(F341,"Actual","AssessmentDate")</f>
        <v>45826.645833333336</v>
      </c>
      <c r="D341">
        <f t="shared" si="10"/>
        <v>2025</v>
      </c>
      <c r="E341">
        <f t="shared" si="11"/>
        <v>6</v>
      </c>
      <c r="F341" s="9" t="s">
        <v>680</v>
      </c>
      <c r="G341" s="9" t="s">
        <v>11</v>
      </c>
      <c r="H341" s="9" t="s">
        <v>12</v>
      </c>
    </row>
    <row r="342" spans="1:8" x14ac:dyDescent="0.25">
      <c r="A342" t="s">
        <v>681</v>
      </c>
      <c r="B342" s="14" cm="1">
        <f t="array" ref="B342">_xll.GetLatestPrice(F342,,G342)</f>
        <v>480</v>
      </c>
      <c r="C342" s="1" cm="1">
        <f t="array" ref="C342">_xll.GetLatestPrice(F342,"Actual","AssessmentDate")</f>
        <v>45826.645833333336</v>
      </c>
      <c r="D342">
        <f t="shared" si="10"/>
        <v>2025</v>
      </c>
      <c r="E342">
        <f t="shared" si="11"/>
        <v>6</v>
      </c>
      <c r="F342" s="9" t="s">
        <v>682</v>
      </c>
      <c r="G342" s="9" t="s">
        <v>11</v>
      </c>
      <c r="H342" s="9" t="s">
        <v>12</v>
      </c>
    </row>
    <row r="343" spans="1:8" x14ac:dyDescent="0.25">
      <c r="A343" t="s">
        <v>683</v>
      </c>
      <c r="B343" s="14" cm="1">
        <f t="array" ref="B343">_xll.GetLatestPrice(F343,,G343)</f>
        <v>335</v>
      </c>
      <c r="C343" s="1" cm="1">
        <f t="array" ref="C343">_xll.GetLatestPrice(F343,"Actual","AssessmentDate")</f>
        <v>45826.645833333336</v>
      </c>
      <c r="D343">
        <f t="shared" si="10"/>
        <v>2025</v>
      </c>
      <c r="E343">
        <f t="shared" si="11"/>
        <v>6</v>
      </c>
      <c r="F343" s="9" t="s">
        <v>684</v>
      </c>
      <c r="G343" s="9" t="s">
        <v>11</v>
      </c>
      <c r="H343" s="9" t="s">
        <v>12</v>
      </c>
    </row>
    <row r="344" spans="1:8" x14ac:dyDescent="0.25">
      <c r="A344" t="s">
        <v>685</v>
      </c>
      <c r="B344" s="14" cm="1">
        <f t="array" ref="B344">_xll.GetLatestPrice(F344,,G344)</f>
        <v>445</v>
      </c>
      <c r="C344" s="1" cm="1">
        <f t="array" ref="C344">_xll.GetLatestPrice(F344,"Actual","AssessmentDate")</f>
        <v>45826.645833333336</v>
      </c>
      <c r="D344">
        <f t="shared" si="10"/>
        <v>2025</v>
      </c>
      <c r="E344">
        <f t="shared" si="11"/>
        <v>6</v>
      </c>
      <c r="F344" s="9" t="s">
        <v>686</v>
      </c>
      <c r="G344" s="9" t="s">
        <v>11</v>
      </c>
      <c r="H344" s="9" t="s">
        <v>12</v>
      </c>
    </row>
    <row r="345" spans="1:8" x14ac:dyDescent="0.25">
      <c r="A345" t="s">
        <v>687</v>
      </c>
      <c r="B345" s="14" cm="1">
        <f t="array" ref="B345">_xll.GetLatestPrice(F345,,G345)</f>
        <v>290</v>
      </c>
      <c r="C345" s="1" cm="1">
        <f t="array" ref="C345">_xll.GetLatestPrice(F345,"Actual","AssessmentDate")</f>
        <v>45826.645833333336</v>
      </c>
      <c r="D345">
        <f t="shared" si="10"/>
        <v>2025</v>
      </c>
      <c r="E345">
        <f t="shared" si="11"/>
        <v>6</v>
      </c>
      <c r="F345" s="9" t="s">
        <v>688</v>
      </c>
      <c r="G345" s="9" t="s">
        <v>11</v>
      </c>
      <c r="H345" s="9" t="s">
        <v>12</v>
      </c>
    </row>
    <row r="346" spans="1:8" x14ac:dyDescent="0.25">
      <c r="A346" t="s">
        <v>689</v>
      </c>
      <c r="B346" s="14" cm="1">
        <f t="array" ref="B346">_xll.GetLatestPrice(F346,,G346)</f>
        <v>315</v>
      </c>
      <c r="C346" s="1" cm="1">
        <f t="array" ref="C346">_xll.GetLatestPrice(F346,"Actual","AssessmentDate")</f>
        <v>45826.645833333336</v>
      </c>
      <c r="D346">
        <f t="shared" si="10"/>
        <v>2025</v>
      </c>
      <c r="E346">
        <f t="shared" si="11"/>
        <v>6</v>
      </c>
      <c r="F346" s="9" t="s">
        <v>690</v>
      </c>
      <c r="G346" s="9" t="s">
        <v>11</v>
      </c>
      <c r="H346" s="9" t="s">
        <v>12</v>
      </c>
    </row>
    <row r="347" spans="1:8" x14ac:dyDescent="0.25">
      <c r="A347" t="s">
        <v>691</v>
      </c>
      <c r="B347" s="14" cm="1">
        <f t="array" ref="B347">_xll.GetLatestPrice(F347,,G347)</f>
        <v>385</v>
      </c>
      <c r="C347" s="1" cm="1">
        <f t="array" ref="C347">_xll.GetLatestPrice(F347,"Actual","AssessmentDate")</f>
        <v>45826.645833333336</v>
      </c>
      <c r="D347">
        <f t="shared" si="10"/>
        <v>2025</v>
      </c>
      <c r="E347">
        <f t="shared" si="11"/>
        <v>6</v>
      </c>
      <c r="F347" s="9" t="s">
        <v>692</v>
      </c>
      <c r="G347" s="9" t="s">
        <v>11</v>
      </c>
      <c r="H347" s="9" t="s">
        <v>12</v>
      </c>
    </row>
    <row r="348" spans="1:8" x14ac:dyDescent="0.25">
      <c r="A348" t="s">
        <v>693</v>
      </c>
      <c r="B348" s="14" cm="1">
        <f t="array" ref="B348">_xll.GetLatestPrice(F348,,G348)</f>
        <v>365</v>
      </c>
      <c r="C348" s="1" cm="1">
        <f t="array" ref="C348">_xll.GetLatestPrice(F348,"Actual","AssessmentDate")</f>
        <v>45826.645833333336</v>
      </c>
      <c r="D348">
        <f t="shared" si="10"/>
        <v>2025</v>
      </c>
      <c r="E348">
        <f t="shared" si="11"/>
        <v>6</v>
      </c>
      <c r="F348" s="9" t="s">
        <v>694</v>
      </c>
      <c r="G348" s="9" t="s">
        <v>11</v>
      </c>
      <c r="H348" s="9" t="s">
        <v>12</v>
      </c>
    </row>
    <row r="349" spans="1:8" x14ac:dyDescent="0.25">
      <c r="A349" t="s">
        <v>695</v>
      </c>
      <c r="B349" s="14" cm="1">
        <f t="array" ref="B349">_xll.GetLatestPrice(F349,,G349)</f>
        <v>610</v>
      </c>
      <c r="C349" s="1" cm="1">
        <f t="array" ref="C349">_xll.GetLatestPrice(F349,"Actual","AssessmentDate")</f>
        <v>45826.645833333336</v>
      </c>
      <c r="D349">
        <f t="shared" si="10"/>
        <v>2025</v>
      </c>
      <c r="E349">
        <f t="shared" si="11"/>
        <v>6</v>
      </c>
      <c r="F349" s="9" t="s">
        <v>696</v>
      </c>
      <c r="G349" s="9" t="s">
        <v>11</v>
      </c>
      <c r="H349" s="9" t="s">
        <v>12</v>
      </c>
    </row>
    <row r="350" spans="1:8" x14ac:dyDescent="0.25">
      <c r="A350" t="s">
        <v>697</v>
      </c>
      <c r="B350" s="14" cm="1">
        <f t="array" ref="B350">_xll.GetLatestPrice(F350,,G350)</f>
        <v>515</v>
      </c>
      <c r="C350" s="1" cm="1">
        <f t="array" ref="C350">_xll.GetLatestPrice(F350,"Actual","AssessmentDate")</f>
        <v>45826.645833333336</v>
      </c>
      <c r="D350">
        <f t="shared" si="10"/>
        <v>2025</v>
      </c>
      <c r="E350">
        <f t="shared" si="11"/>
        <v>6</v>
      </c>
      <c r="F350" s="9" t="s">
        <v>698</v>
      </c>
      <c r="G350" s="9" t="s">
        <v>11</v>
      </c>
      <c r="H350" s="9" t="s">
        <v>12</v>
      </c>
    </row>
    <row r="351" spans="1:8" x14ac:dyDescent="0.25">
      <c r="A351" t="s">
        <v>699</v>
      </c>
      <c r="B351" s="14" cm="1">
        <f t="array" ref="B351">_xll.GetLatestPrice(F351,,G351)</f>
        <v>630</v>
      </c>
      <c r="C351" s="1" cm="1">
        <f t="array" ref="C351">_xll.GetLatestPrice(F351,"Actual","AssessmentDate")</f>
        <v>45826.645833333336</v>
      </c>
      <c r="D351">
        <f t="shared" si="10"/>
        <v>2025</v>
      </c>
      <c r="E351">
        <f t="shared" si="11"/>
        <v>6</v>
      </c>
      <c r="F351" s="9" t="s">
        <v>700</v>
      </c>
      <c r="G351" s="9" t="s">
        <v>11</v>
      </c>
      <c r="H351" s="9" t="s">
        <v>12</v>
      </c>
    </row>
    <row r="352" spans="1:8" x14ac:dyDescent="0.25">
      <c r="A352" t="s">
        <v>701</v>
      </c>
      <c r="B352" s="14" cm="1">
        <f t="array" ref="B352">_xll.GetLatestPrice(F352,,G352)</f>
        <v>490</v>
      </c>
      <c r="C352" s="1" cm="1">
        <f t="array" ref="C352">_xll.GetLatestPrice(F352,"Actual","AssessmentDate")</f>
        <v>45826.645833333336</v>
      </c>
      <c r="D352">
        <f t="shared" si="10"/>
        <v>2025</v>
      </c>
      <c r="E352">
        <f t="shared" si="11"/>
        <v>6</v>
      </c>
      <c r="F352" s="9" t="s">
        <v>702</v>
      </c>
      <c r="G352" s="9" t="s">
        <v>11</v>
      </c>
      <c r="H352" s="9" t="s">
        <v>12</v>
      </c>
    </row>
    <row r="353" spans="1:8" x14ac:dyDescent="0.25">
      <c r="A353" t="s">
        <v>703</v>
      </c>
      <c r="B353" s="14" cm="1">
        <f t="array" ref="B353">_xll.GetLatestPrice(F353,,G353)</f>
        <v>560</v>
      </c>
      <c r="C353" s="1" cm="1">
        <f t="array" ref="C353">_xll.GetLatestPrice(F353,"Actual","AssessmentDate")</f>
        <v>45826.645833333336</v>
      </c>
      <c r="D353">
        <f t="shared" si="10"/>
        <v>2025</v>
      </c>
      <c r="E353">
        <f t="shared" si="11"/>
        <v>6</v>
      </c>
      <c r="F353" s="9" t="s">
        <v>704</v>
      </c>
      <c r="G353" s="9" t="s">
        <v>11</v>
      </c>
      <c r="H353" s="9" t="s">
        <v>12</v>
      </c>
    </row>
    <row r="354" spans="1:8" x14ac:dyDescent="0.25">
      <c r="A354" t="s">
        <v>705</v>
      </c>
      <c r="B354" s="14" cm="1">
        <f t="array" ref="B354">_xll.GetLatestPrice(F354,,G354)</f>
        <v>520</v>
      </c>
      <c r="C354" s="1" cm="1">
        <f t="array" ref="C354">_xll.GetLatestPrice(F354,"Actual","AssessmentDate")</f>
        <v>45826.645833333336</v>
      </c>
      <c r="D354">
        <f t="shared" si="10"/>
        <v>2025</v>
      </c>
      <c r="E354">
        <f t="shared" si="11"/>
        <v>6</v>
      </c>
      <c r="F354" s="9" t="s">
        <v>706</v>
      </c>
      <c r="G354" s="9" t="s">
        <v>11</v>
      </c>
      <c r="H354" s="9" t="s">
        <v>12</v>
      </c>
    </row>
    <row r="355" spans="1:8" x14ac:dyDescent="0.25">
      <c r="A355" t="s">
        <v>707</v>
      </c>
      <c r="B355" s="14" cm="1">
        <f t="array" ref="B355">_xll.GetLatestPrice(F355,,G355)</f>
        <v>515</v>
      </c>
      <c r="C355" s="1" cm="1">
        <f t="array" ref="C355">_xll.GetLatestPrice(F355,"Actual","AssessmentDate")</f>
        <v>45826.645833333336</v>
      </c>
      <c r="D355">
        <f t="shared" si="10"/>
        <v>2025</v>
      </c>
      <c r="E355">
        <f t="shared" si="11"/>
        <v>6</v>
      </c>
      <c r="F355" s="9" t="s">
        <v>708</v>
      </c>
      <c r="G355" s="9" t="s">
        <v>11</v>
      </c>
      <c r="H355" s="9" t="s">
        <v>12</v>
      </c>
    </row>
    <row r="356" spans="1:8" x14ac:dyDescent="0.25">
      <c r="A356" t="s">
        <v>709</v>
      </c>
      <c r="B356" s="14" cm="1">
        <f t="array" ref="B356">_xll.GetLatestPrice(F356,,G356)</f>
        <v>685</v>
      </c>
      <c r="C356" s="1" cm="1">
        <f t="array" ref="C356">_xll.GetLatestPrice(F356,"Actual","AssessmentDate")</f>
        <v>45826.645833333336</v>
      </c>
      <c r="D356">
        <f t="shared" si="10"/>
        <v>2025</v>
      </c>
      <c r="E356">
        <f t="shared" si="11"/>
        <v>6</v>
      </c>
      <c r="F356" s="9" t="s">
        <v>710</v>
      </c>
      <c r="G356" s="9" t="s">
        <v>11</v>
      </c>
      <c r="H356" s="9" t="s">
        <v>12</v>
      </c>
    </row>
    <row r="357" spans="1:8" x14ac:dyDescent="0.25">
      <c r="A357" t="s">
        <v>711</v>
      </c>
      <c r="B357" s="14" cm="1">
        <f t="array" ref="B357">_xll.GetLatestPrice(F357,,G357)</f>
        <v>615</v>
      </c>
      <c r="C357" s="1" cm="1">
        <f t="array" ref="C357">_xll.GetLatestPrice(F357,"Actual","AssessmentDate")</f>
        <v>45826.645833333336</v>
      </c>
      <c r="D357">
        <f t="shared" si="10"/>
        <v>2025</v>
      </c>
      <c r="E357">
        <f t="shared" si="11"/>
        <v>6</v>
      </c>
      <c r="F357" s="9" t="s">
        <v>712</v>
      </c>
      <c r="G357" s="9" t="s">
        <v>11</v>
      </c>
      <c r="H357" s="9" t="s">
        <v>12</v>
      </c>
    </row>
    <row r="358" spans="1:8" x14ac:dyDescent="0.25">
      <c r="A358" t="s">
        <v>713</v>
      </c>
      <c r="B358" s="14" cm="1">
        <f t="array" ref="B358">_xll.GetLatestPrice(F358,,G358)</f>
        <v>360</v>
      </c>
      <c r="C358" s="1" cm="1">
        <f t="array" ref="C358">_xll.GetLatestPrice(F358,"Actual","AssessmentDate")</f>
        <v>45826.645833333336</v>
      </c>
      <c r="D358">
        <f t="shared" si="10"/>
        <v>2025</v>
      </c>
      <c r="E358">
        <f t="shared" si="11"/>
        <v>6</v>
      </c>
      <c r="F358" s="9" t="s">
        <v>714</v>
      </c>
      <c r="G358" s="9" t="s">
        <v>11</v>
      </c>
      <c r="H358" s="9" t="s">
        <v>12</v>
      </c>
    </row>
    <row r="359" spans="1:8" x14ac:dyDescent="0.25">
      <c r="A359" t="s">
        <v>715</v>
      </c>
      <c r="B359" s="14" cm="1">
        <f t="array" ref="B359">_xll.GetLatestPrice(F359,,G359)</f>
        <v>265</v>
      </c>
      <c r="C359" s="1" cm="1">
        <f t="array" ref="C359">_xll.GetLatestPrice(F359,"Actual","AssessmentDate")</f>
        <v>45826.645833333336</v>
      </c>
      <c r="D359">
        <f t="shared" si="10"/>
        <v>2025</v>
      </c>
      <c r="E359">
        <f t="shared" si="11"/>
        <v>6</v>
      </c>
      <c r="F359" s="9" t="s">
        <v>716</v>
      </c>
      <c r="G359" s="9" t="s">
        <v>11</v>
      </c>
      <c r="H359" s="9" t="s">
        <v>12</v>
      </c>
    </row>
    <row r="360" spans="1:8" x14ac:dyDescent="0.25">
      <c r="A360" t="s">
        <v>717</v>
      </c>
      <c r="B360" s="14" cm="1">
        <f t="array" ref="B360">_xll.GetLatestPrice(F360,,G360)</f>
        <v>280</v>
      </c>
      <c r="C360" s="1" cm="1">
        <f t="array" ref="C360">_xll.GetLatestPrice(F360,"Actual","AssessmentDate")</f>
        <v>45826.645833333336</v>
      </c>
      <c r="D360">
        <f t="shared" si="10"/>
        <v>2025</v>
      </c>
      <c r="E360">
        <f t="shared" si="11"/>
        <v>6</v>
      </c>
      <c r="F360" s="9" t="s">
        <v>718</v>
      </c>
      <c r="G360" s="9" t="s">
        <v>11</v>
      </c>
      <c r="H360" s="9" t="s">
        <v>12</v>
      </c>
    </row>
    <row r="361" spans="1:8" x14ac:dyDescent="0.25">
      <c r="A361" t="s">
        <v>719</v>
      </c>
      <c r="B361" s="14" cm="1">
        <f t="array" ref="B361">_xll.GetLatestPrice(F361,,G361)</f>
        <v>335</v>
      </c>
      <c r="C361" s="1" cm="1">
        <f t="array" ref="C361">_xll.GetLatestPrice(F361,"Actual","AssessmentDate")</f>
        <v>45826.645833333336</v>
      </c>
      <c r="D361">
        <f t="shared" si="10"/>
        <v>2025</v>
      </c>
      <c r="E361">
        <f t="shared" si="11"/>
        <v>6</v>
      </c>
      <c r="F361" s="9" t="s">
        <v>720</v>
      </c>
      <c r="G361" s="9" t="s">
        <v>11</v>
      </c>
      <c r="H361" s="9" t="s">
        <v>12</v>
      </c>
    </row>
    <row r="362" spans="1:8" x14ac:dyDescent="0.25">
      <c r="A362" t="s">
        <v>721</v>
      </c>
      <c r="B362" s="14" cm="1">
        <f t="array" ref="B362">_xll.GetLatestPrice(F362,,G362)</f>
        <v>350</v>
      </c>
      <c r="C362" s="1" cm="1">
        <f t="array" ref="C362">_xll.GetLatestPrice(F362,"Actual","AssessmentDate")</f>
        <v>45826.645833333336</v>
      </c>
      <c r="D362">
        <f t="shared" si="10"/>
        <v>2025</v>
      </c>
      <c r="E362">
        <f t="shared" si="11"/>
        <v>6</v>
      </c>
      <c r="F362" s="9" t="s">
        <v>722</v>
      </c>
      <c r="G362" s="9" t="s">
        <v>11</v>
      </c>
      <c r="H362" s="9" t="s">
        <v>12</v>
      </c>
    </row>
    <row r="363" spans="1:8" x14ac:dyDescent="0.25">
      <c r="A363" t="s">
        <v>723</v>
      </c>
      <c r="B363" s="14" cm="1">
        <f t="array" ref="B363">_xll.GetLatestPrice(F363,,G363)</f>
        <v>330</v>
      </c>
      <c r="C363" s="1" cm="1">
        <f t="array" ref="C363">_xll.GetLatestPrice(F363,"Actual","AssessmentDate")</f>
        <v>45826.645833333336</v>
      </c>
      <c r="D363">
        <f t="shared" si="10"/>
        <v>2025</v>
      </c>
      <c r="E363">
        <f t="shared" si="11"/>
        <v>6</v>
      </c>
      <c r="F363" s="9" t="s">
        <v>724</v>
      </c>
      <c r="G363" s="9" t="s">
        <v>11</v>
      </c>
      <c r="H363" s="9" t="s">
        <v>12</v>
      </c>
    </row>
    <row r="364" spans="1:8" x14ac:dyDescent="0.25">
      <c r="A364" t="s">
        <v>725</v>
      </c>
      <c r="B364" s="14" cm="1">
        <f t="array" ref="B364">_xll.GetLatestPrice(F364,,G364)</f>
        <v>245</v>
      </c>
      <c r="C364" s="1" cm="1">
        <f t="array" ref="C364">_xll.GetLatestPrice(F364,"Actual","AssessmentDate")</f>
        <v>45826.645833333336</v>
      </c>
      <c r="D364">
        <f t="shared" si="10"/>
        <v>2025</v>
      </c>
      <c r="E364">
        <f t="shared" si="11"/>
        <v>6</v>
      </c>
      <c r="F364" s="9" t="s">
        <v>726</v>
      </c>
      <c r="G364" s="9" t="s">
        <v>11</v>
      </c>
      <c r="H364" s="9" t="s">
        <v>12</v>
      </c>
    </row>
    <row r="365" spans="1:8" x14ac:dyDescent="0.25">
      <c r="A365" t="s">
        <v>727</v>
      </c>
      <c r="B365" s="14" cm="1">
        <f t="array" ref="B365">_xll.GetLatestPrice(F365,,G365)</f>
        <v>260</v>
      </c>
      <c r="C365" s="1" cm="1">
        <f t="array" ref="C365">_xll.GetLatestPrice(F365,"Actual","AssessmentDate")</f>
        <v>45826.645833333336</v>
      </c>
      <c r="D365">
        <f t="shared" si="10"/>
        <v>2025</v>
      </c>
      <c r="E365">
        <f t="shared" si="11"/>
        <v>6</v>
      </c>
      <c r="F365" s="9" t="s">
        <v>728</v>
      </c>
      <c r="G365" s="9" t="s">
        <v>11</v>
      </c>
      <c r="H365" s="9" t="s">
        <v>12</v>
      </c>
    </row>
    <row r="366" spans="1:8" x14ac:dyDescent="0.25">
      <c r="A366" t="s">
        <v>729</v>
      </c>
      <c r="B366" s="14" cm="1">
        <f t="array" ref="B366">_xll.GetLatestPrice(F366,,G366)</f>
        <v>275</v>
      </c>
      <c r="C366" s="1" cm="1">
        <f t="array" ref="C366">_xll.GetLatestPrice(F366,"Actual","AssessmentDate")</f>
        <v>45826.645833333336</v>
      </c>
      <c r="D366">
        <f t="shared" si="10"/>
        <v>2025</v>
      </c>
      <c r="E366">
        <f t="shared" si="11"/>
        <v>6</v>
      </c>
      <c r="F366" s="9" t="s">
        <v>730</v>
      </c>
      <c r="G366" s="9" t="s">
        <v>11</v>
      </c>
      <c r="H366" s="9" t="s">
        <v>12</v>
      </c>
    </row>
    <row r="367" spans="1:8" x14ac:dyDescent="0.25">
      <c r="A367" t="s">
        <v>731</v>
      </c>
      <c r="B367" s="14" cm="1">
        <f t="array" ref="B367">_xll.GetLatestPrice(F367,,G367)</f>
        <v>345</v>
      </c>
      <c r="C367" s="1" cm="1">
        <f t="array" ref="C367">_xll.GetLatestPrice(F367,"Actual","AssessmentDate")</f>
        <v>45826.645833333336</v>
      </c>
      <c r="D367">
        <f t="shared" si="10"/>
        <v>2025</v>
      </c>
      <c r="E367">
        <f t="shared" si="11"/>
        <v>6</v>
      </c>
      <c r="F367" s="9" t="s">
        <v>732</v>
      </c>
      <c r="G367" s="9" t="s">
        <v>11</v>
      </c>
      <c r="H367" s="9" t="s">
        <v>12</v>
      </c>
    </row>
    <row r="368" spans="1:8" x14ac:dyDescent="0.25">
      <c r="A368" t="s">
        <v>733</v>
      </c>
      <c r="B368" s="14" cm="1">
        <f t="array" ref="B368">_xll.GetLatestPrice(F368,,G368)</f>
        <v>535</v>
      </c>
      <c r="C368" s="1" cm="1">
        <f t="array" ref="C368">_xll.GetLatestPrice(F368,"Actual","AssessmentDate")</f>
        <v>45826.645833333336</v>
      </c>
      <c r="D368">
        <f t="shared" si="10"/>
        <v>2025</v>
      </c>
      <c r="E368">
        <f t="shared" si="11"/>
        <v>6</v>
      </c>
      <c r="F368" s="9" t="s">
        <v>734</v>
      </c>
      <c r="G368" s="9" t="s">
        <v>11</v>
      </c>
      <c r="H368" s="9" t="s">
        <v>12</v>
      </c>
    </row>
    <row r="369" spans="1:8" x14ac:dyDescent="0.25">
      <c r="A369" t="s">
        <v>735</v>
      </c>
      <c r="B369" s="14" cm="1">
        <f t="array" ref="B369">_xll.GetLatestPrice(F369,,G369)</f>
        <v>945</v>
      </c>
      <c r="C369" s="1" cm="1">
        <f t="array" ref="C369">_xll.GetLatestPrice(F369,"Actual","AssessmentDate")</f>
        <v>45826.645833333336</v>
      </c>
      <c r="D369">
        <f t="shared" si="10"/>
        <v>2025</v>
      </c>
      <c r="E369">
        <f t="shared" si="11"/>
        <v>6</v>
      </c>
      <c r="F369" s="9" t="s">
        <v>736</v>
      </c>
      <c r="G369" s="9" t="s">
        <v>11</v>
      </c>
      <c r="H369" s="9" t="s">
        <v>12</v>
      </c>
    </row>
    <row r="370" spans="1:8" x14ac:dyDescent="0.25">
      <c r="A370" t="s">
        <v>737</v>
      </c>
      <c r="B370" s="14" cm="1">
        <f t="array" ref="B370">_xll.GetLatestPrice(F370,,G370)</f>
        <v>440</v>
      </c>
      <c r="C370" s="1" cm="1">
        <f t="array" ref="C370">_xll.GetLatestPrice(F370,"Actual","AssessmentDate")</f>
        <v>45826.645833333336</v>
      </c>
      <c r="D370">
        <f t="shared" si="10"/>
        <v>2025</v>
      </c>
      <c r="E370">
        <f t="shared" si="11"/>
        <v>6</v>
      </c>
      <c r="F370" s="9" t="s">
        <v>738</v>
      </c>
      <c r="G370" s="9" t="s">
        <v>11</v>
      </c>
      <c r="H370" s="9" t="s">
        <v>12</v>
      </c>
    </row>
    <row r="371" spans="1:8" x14ac:dyDescent="0.25">
      <c r="A371" t="s">
        <v>739</v>
      </c>
      <c r="B371" s="14" cm="1">
        <f t="array" ref="B371">_xll.GetLatestPrice(F371,,G371)</f>
        <v>320</v>
      </c>
      <c r="C371" s="1" cm="1">
        <f t="array" ref="C371">_xll.GetLatestPrice(F371,"Actual","AssessmentDate")</f>
        <v>45826.645833333336</v>
      </c>
      <c r="D371">
        <f t="shared" si="10"/>
        <v>2025</v>
      </c>
      <c r="E371">
        <f t="shared" si="11"/>
        <v>6</v>
      </c>
      <c r="F371" s="9" t="s">
        <v>740</v>
      </c>
      <c r="G371" s="9" t="s">
        <v>11</v>
      </c>
      <c r="H371" s="9" t="s">
        <v>12</v>
      </c>
    </row>
    <row r="372" spans="1:8" x14ac:dyDescent="0.25">
      <c r="A372" t="s">
        <v>741</v>
      </c>
      <c r="B372" s="14" cm="1">
        <f t="array" ref="B372">_xll.GetLatestPrice(F372,,G372)</f>
        <v>415</v>
      </c>
      <c r="C372" s="1" cm="1">
        <f t="array" ref="C372">_xll.GetLatestPrice(F372,"Actual","AssessmentDate")</f>
        <v>45826.645833333336</v>
      </c>
      <c r="D372">
        <f t="shared" si="10"/>
        <v>2025</v>
      </c>
      <c r="E372">
        <f t="shared" si="11"/>
        <v>6</v>
      </c>
      <c r="F372" s="9" t="s">
        <v>742</v>
      </c>
      <c r="G372" s="9" t="s">
        <v>11</v>
      </c>
      <c r="H372" s="9" t="s">
        <v>12</v>
      </c>
    </row>
    <row r="373" spans="1:8" x14ac:dyDescent="0.25">
      <c r="A373" t="s">
        <v>743</v>
      </c>
      <c r="B373" s="14" cm="1">
        <f t="array" ref="B373">_xll.GetLatestPrice(F373,,G373)</f>
        <v>300</v>
      </c>
      <c r="C373" s="1" cm="1">
        <f t="array" ref="C373">_xll.GetLatestPrice(F373,"Actual","AssessmentDate")</f>
        <v>45826.645833333336</v>
      </c>
      <c r="D373">
        <f t="shared" si="10"/>
        <v>2025</v>
      </c>
      <c r="E373">
        <f t="shared" si="11"/>
        <v>6</v>
      </c>
      <c r="F373" s="9" t="s">
        <v>744</v>
      </c>
      <c r="G373" s="9" t="s">
        <v>11</v>
      </c>
      <c r="H373" s="9" t="s">
        <v>12</v>
      </c>
    </row>
    <row r="374" spans="1:8" x14ac:dyDescent="0.25">
      <c r="A374" t="s">
        <v>745</v>
      </c>
      <c r="B374" s="14" cm="1">
        <f t="array" ref="B374">_xll.GetLatestPrice(F374,,G374)</f>
        <v>280</v>
      </c>
      <c r="C374" s="1" cm="1">
        <f t="array" ref="C374">_xll.GetLatestPrice(F374,"Actual","AssessmentDate")</f>
        <v>45826.645833333336</v>
      </c>
      <c r="D374">
        <f t="shared" si="10"/>
        <v>2025</v>
      </c>
      <c r="E374">
        <f t="shared" si="11"/>
        <v>6</v>
      </c>
      <c r="F374" s="9" t="s">
        <v>746</v>
      </c>
      <c r="G374" s="9" t="s">
        <v>11</v>
      </c>
      <c r="H374" s="9" t="s">
        <v>12</v>
      </c>
    </row>
    <row r="375" spans="1:8" x14ac:dyDescent="0.25">
      <c r="A375" t="s">
        <v>747</v>
      </c>
      <c r="B375" s="14" cm="1">
        <f t="array" ref="B375">_xll.GetLatestPrice(F375,,G375)</f>
        <v>300</v>
      </c>
      <c r="C375" s="1" cm="1">
        <f t="array" ref="C375">_xll.GetLatestPrice(F375,"Actual","AssessmentDate")</f>
        <v>45826.645833333336</v>
      </c>
      <c r="D375">
        <f t="shared" si="10"/>
        <v>2025</v>
      </c>
      <c r="E375">
        <f t="shared" si="11"/>
        <v>6</v>
      </c>
      <c r="F375" s="9" t="s">
        <v>748</v>
      </c>
      <c r="G375" s="9" t="s">
        <v>11</v>
      </c>
      <c r="H375" s="9" t="s">
        <v>12</v>
      </c>
    </row>
    <row r="376" spans="1:8" x14ac:dyDescent="0.25">
      <c r="A376" t="s">
        <v>749</v>
      </c>
      <c r="B376" s="14" cm="1">
        <f t="array" ref="B376">_xll.GetLatestPrice(F376,,G376)</f>
        <v>370</v>
      </c>
      <c r="C376" s="1" cm="1">
        <f t="array" ref="C376">_xll.GetLatestPrice(F376,"Actual","AssessmentDate")</f>
        <v>45826.645833333336</v>
      </c>
      <c r="D376">
        <f t="shared" si="10"/>
        <v>2025</v>
      </c>
      <c r="E376">
        <f t="shared" si="11"/>
        <v>6</v>
      </c>
      <c r="F376" s="9" t="s">
        <v>750</v>
      </c>
      <c r="G376" s="9" t="s">
        <v>11</v>
      </c>
      <c r="H376" s="9" t="s">
        <v>12</v>
      </c>
    </row>
    <row r="377" spans="1:8" x14ac:dyDescent="0.25">
      <c r="A377" t="s">
        <v>751</v>
      </c>
      <c r="B377" s="14" cm="1">
        <f t="array" ref="B377">_xll.GetLatestPrice(F377,,G377)</f>
        <v>515</v>
      </c>
      <c r="C377" s="1" cm="1">
        <f t="array" ref="C377">_xll.GetLatestPrice(F377,"Actual","AssessmentDate")</f>
        <v>45826.645833333336</v>
      </c>
      <c r="D377">
        <f t="shared" si="10"/>
        <v>2025</v>
      </c>
      <c r="E377">
        <f t="shared" si="11"/>
        <v>6</v>
      </c>
      <c r="F377" s="9" t="s">
        <v>752</v>
      </c>
      <c r="G377" s="9" t="s">
        <v>11</v>
      </c>
      <c r="H377" s="9" t="s">
        <v>12</v>
      </c>
    </row>
    <row r="378" spans="1:8" x14ac:dyDescent="0.25">
      <c r="A378" t="s">
        <v>753</v>
      </c>
      <c r="B378" s="14" cm="1">
        <f t="array" ref="B378">_xll.GetLatestPrice(F378,,G378)</f>
        <v>440</v>
      </c>
      <c r="C378" s="1" cm="1">
        <f t="array" ref="C378">_xll.GetLatestPrice(F378,"Actual","AssessmentDate")</f>
        <v>45826.645833333336</v>
      </c>
      <c r="D378">
        <f t="shared" si="10"/>
        <v>2025</v>
      </c>
      <c r="E378">
        <f t="shared" si="11"/>
        <v>6</v>
      </c>
      <c r="F378" s="9" t="s">
        <v>754</v>
      </c>
      <c r="G378" s="9" t="s">
        <v>11</v>
      </c>
      <c r="H378" s="9" t="s">
        <v>12</v>
      </c>
    </row>
    <row r="379" spans="1:8" x14ac:dyDescent="0.25">
      <c r="A379" t="s">
        <v>755</v>
      </c>
      <c r="B379" s="14" cm="1">
        <f t="array" ref="B379">_xll.GetLatestPrice(F379,,G379)</f>
        <v>425</v>
      </c>
      <c r="C379" s="1" cm="1">
        <f t="array" ref="C379">_xll.GetLatestPrice(F379,"Actual","AssessmentDate")</f>
        <v>45826.645833333336</v>
      </c>
      <c r="D379">
        <f t="shared" si="10"/>
        <v>2025</v>
      </c>
      <c r="E379">
        <f t="shared" si="11"/>
        <v>6</v>
      </c>
      <c r="F379" s="9" t="s">
        <v>756</v>
      </c>
      <c r="G379" s="9" t="s">
        <v>11</v>
      </c>
      <c r="H379" s="9" t="s">
        <v>12</v>
      </c>
    </row>
    <row r="380" spans="1:8" x14ac:dyDescent="0.25">
      <c r="A380" t="s">
        <v>757</v>
      </c>
      <c r="B380" s="14" cm="1">
        <f t="array" ref="B380">_xll.GetLatestPrice(F380,,G380)</f>
        <v>630</v>
      </c>
      <c r="C380" s="1" cm="1">
        <f t="array" ref="C380">_xll.GetLatestPrice(F380,"Actual","AssessmentDate")</f>
        <v>45826.645833333336</v>
      </c>
      <c r="D380">
        <f t="shared" si="10"/>
        <v>2025</v>
      </c>
      <c r="E380">
        <f t="shared" si="11"/>
        <v>6</v>
      </c>
      <c r="F380" s="9" t="s">
        <v>758</v>
      </c>
      <c r="G380" s="9" t="s">
        <v>11</v>
      </c>
      <c r="H380" s="9" t="s">
        <v>12</v>
      </c>
    </row>
    <row r="381" spans="1:8" x14ac:dyDescent="0.25">
      <c r="A381" t="s">
        <v>759</v>
      </c>
      <c r="B381" s="14" cm="1">
        <f t="array" ref="B381">_xll.GetLatestPrice(F381,,G381)</f>
        <v>530</v>
      </c>
      <c r="C381" s="1" cm="1">
        <f t="array" ref="C381">_xll.GetLatestPrice(F381,"Actual","AssessmentDate")</f>
        <v>45826.645833333336</v>
      </c>
      <c r="D381">
        <f t="shared" si="10"/>
        <v>2025</v>
      </c>
      <c r="E381">
        <f t="shared" si="11"/>
        <v>6</v>
      </c>
      <c r="F381" s="9" t="s">
        <v>760</v>
      </c>
      <c r="G381" s="9" t="s">
        <v>11</v>
      </c>
      <c r="H381" s="9" t="s">
        <v>12</v>
      </c>
    </row>
    <row r="382" spans="1:8" x14ac:dyDescent="0.25">
      <c r="A382" t="s">
        <v>761</v>
      </c>
      <c r="B382" s="14" cm="1">
        <f t="array" ref="B382">_xll.GetLatestPrice(F382,,G382)</f>
        <v>380</v>
      </c>
      <c r="C382" s="1" cm="1">
        <f t="array" ref="C382">_xll.GetLatestPrice(F382,"Actual","AssessmentDate")</f>
        <v>45826.645833333336</v>
      </c>
      <c r="D382">
        <f t="shared" si="10"/>
        <v>2025</v>
      </c>
      <c r="E382">
        <f t="shared" si="11"/>
        <v>6</v>
      </c>
      <c r="F382" s="9" t="s">
        <v>762</v>
      </c>
      <c r="G382" s="9" t="s">
        <v>11</v>
      </c>
      <c r="H382" s="9" t="s">
        <v>12</v>
      </c>
    </row>
    <row r="383" spans="1:8" x14ac:dyDescent="0.25">
      <c r="A383" t="s">
        <v>763</v>
      </c>
      <c r="B383" s="14" cm="1">
        <f t="array" ref="B383">_xll.GetLatestPrice(F383,,G383)</f>
        <v>280</v>
      </c>
      <c r="C383" s="1" cm="1">
        <f t="array" ref="C383">_xll.GetLatestPrice(F383,"Actual","AssessmentDate")</f>
        <v>45826.645833333336</v>
      </c>
      <c r="D383">
        <f t="shared" si="10"/>
        <v>2025</v>
      </c>
      <c r="E383">
        <f t="shared" si="11"/>
        <v>6</v>
      </c>
      <c r="F383" s="9" t="s">
        <v>764</v>
      </c>
      <c r="G383" s="9" t="s">
        <v>11</v>
      </c>
      <c r="H383" s="9" t="s">
        <v>12</v>
      </c>
    </row>
    <row r="384" spans="1:8" x14ac:dyDescent="0.25">
      <c r="A384" t="s">
        <v>765</v>
      </c>
      <c r="B384" s="14" cm="1">
        <f t="array" ref="B384">_xll.GetLatestPrice(F384,,G384)</f>
        <v>345</v>
      </c>
      <c r="C384" s="1" cm="1">
        <f t="array" ref="C384">_xll.GetLatestPrice(F384,"Actual","AssessmentDate")</f>
        <v>45826.645833333336</v>
      </c>
      <c r="D384">
        <f t="shared" si="10"/>
        <v>2025</v>
      </c>
      <c r="E384">
        <f t="shared" si="11"/>
        <v>6</v>
      </c>
      <c r="F384" s="9" t="s">
        <v>766</v>
      </c>
      <c r="G384" s="9" t="s">
        <v>11</v>
      </c>
      <c r="H384" s="9" t="s">
        <v>12</v>
      </c>
    </row>
    <row r="385" spans="1:8" x14ac:dyDescent="0.25">
      <c r="A385" t="s">
        <v>767</v>
      </c>
      <c r="B385" s="14" cm="1">
        <f t="array" ref="B385">_xll.GetLatestPrice(F385,,G385)</f>
        <v>495</v>
      </c>
      <c r="C385" s="1" cm="1">
        <f t="array" ref="C385">_xll.GetLatestPrice(F385,"Actual","AssessmentDate")</f>
        <v>45826.645833333336</v>
      </c>
      <c r="D385">
        <f t="shared" si="10"/>
        <v>2025</v>
      </c>
      <c r="E385">
        <f t="shared" si="11"/>
        <v>6</v>
      </c>
      <c r="F385" s="9" t="s">
        <v>768</v>
      </c>
      <c r="G385" s="9" t="s">
        <v>11</v>
      </c>
      <c r="H385" s="9" t="s">
        <v>12</v>
      </c>
    </row>
    <row r="386" spans="1:8" x14ac:dyDescent="0.25">
      <c r="A386" t="s">
        <v>769</v>
      </c>
      <c r="B386" s="14" cm="1">
        <f t="array" ref="B386">_xll.GetLatestPrice(F386,,G386)</f>
        <v>630</v>
      </c>
      <c r="C386" s="1" cm="1">
        <f t="array" ref="C386">_xll.GetLatestPrice(F386,"Actual","AssessmentDate")</f>
        <v>45826.645833333336</v>
      </c>
      <c r="D386">
        <f t="shared" si="10"/>
        <v>2025</v>
      </c>
      <c r="E386">
        <f t="shared" si="11"/>
        <v>6</v>
      </c>
      <c r="F386" s="9" t="s">
        <v>770</v>
      </c>
      <c r="G386" s="9" t="s">
        <v>11</v>
      </c>
      <c r="H386" s="9" t="s">
        <v>12</v>
      </c>
    </row>
    <row r="387" spans="1:8" x14ac:dyDescent="0.25">
      <c r="A387" t="s">
        <v>771</v>
      </c>
      <c r="B387" s="14" cm="1">
        <f t="array" ref="B387">_xll.GetLatestPrice(F387,,G387)</f>
        <v>345</v>
      </c>
      <c r="C387" s="1" cm="1">
        <f t="array" ref="C387">_xll.GetLatestPrice(F387,"Actual","AssessmentDate")</f>
        <v>45826.645833333336</v>
      </c>
      <c r="D387">
        <f t="shared" ref="D387:D450" si="12">YEAR(C387)</f>
        <v>2025</v>
      </c>
      <c r="E387">
        <f t="shared" ref="E387:E450" si="13">MONTH(C387)</f>
        <v>6</v>
      </c>
      <c r="F387" s="9" t="s">
        <v>772</v>
      </c>
      <c r="G387" s="9" t="s">
        <v>11</v>
      </c>
      <c r="H387" s="9" t="s">
        <v>12</v>
      </c>
    </row>
    <row r="388" spans="1:8" x14ac:dyDescent="0.25">
      <c r="A388" t="s">
        <v>773</v>
      </c>
      <c r="B388" s="14" cm="1">
        <f t="array" ref="B388">_xll.GetLatestPrice(F388,,G388)</f>
        <v>235</v>
      </c>
      <c r="C388" s="1" cm="1">
        <f t="array" ref="C388">_xll.GetLatestPrice(F388,"Actual","AssessmentDate")</f>
        <v>45826.645833333336</v>
      </c>
      <c r="D388">
        <f t="shared" si="12"/>
        <v>2025</v>
      </c>
      <c r="E388">
        <f t="shared" si="13"/>
        <v>6</v>
      </c>
      <c r="F388" s="9" t="s">
        <v>774</v>
      </c>
      <c r="G388" s="9" t="s">
        <v>11</v>
      </c>
      <c r="H388" s="9" t="s">
        <v>12</v>
      </c>
    </row>
    <row r="389" spans="1:8" x14ac:dyDescent="0.25">
      <c r="A389" t="s">
        <v>775</v>
      </c>
      <c r="B389" s="14" cm="1">
        <f t="array" ref="B389">_xll.GetLatestPrice(F389,,G389)</f>
        <v>295</v>
      </c>
      <c r="C389" s="1" cm="1">
        <f t="array" ref="C389">_xll.GetLatestPrice(F389,"Actual","AssessmentDate")</f>
        <v>45826.645833333336</v>
      </c>
      <c r="D389">
        <f t="shared" si="12"/>
        <v>2025</v>
      </c>
      <c r="E389">
        <f t="shared" si="13"/>
        <v>6</v>
      </c>
      <c r="F389" s="9" t="s">
        <v>776</v>
      </c>
      <c r="G389" s="9" t="s">
        <v>11</v>
      </c>
      <c r="H389" s="9" t="s">
        <v>12</v>
      </c>
    </row>
    <row r="390" spans="1:8" x14ac:dyDescent="0.25">
      <c r="A390" t="s">
        <v>777</v>
      </c>
      <c r="B390" s="14" cm="1">
        <f t="array" ref="B390">_xll.GetLatestPrice(F390,,G390)</f>
        <v>305</v>
      </c>
      <c r="C390" s="1" cm="1">
        <f t="array" ref="C390">_xll.GetLatestPrice(F390,"Actual","AssessmentDate")</f>
        <v>45826.645833333336</v>
      </c>
      <c r="D390">
        <f t="shared" si="12"/>
        <v>2025</v>
      </c>
      <c r="E390">
        <f t="shared" si="13"/>
        <v>6</v>
      </c>
      <c r="F390" s="9" t="s">
        <v>778</v>
      </c>
      <c r="G390" s="9" t="s">
        <v>11</v>
      </c>
      <c r="H390" s="9" t="s">
        <v>12</v>
      </c>
    </row>
    <row r="391" spans="1:8" x14ac:dyDescent="0.25">
      <c r="A391" t="s">
        <v>779</v>
      </c>
      <c r="B391" s="14" cm="1">
        <f t="array" ref="B391">_xll.GetLatestPrice(F391,,G391)</f>
        <v>550</v>
      </c>
      <c r="C391" s="1" cm="1">
        <f t="array" ref="C391">_xll.GetLatestPrice(F391,"Actual","AssessmentDate")</f>
        <v>45826.645833333336</v>
      </c>
      <c r="D391">
        <f t="shared" si="12"/>
        <v>2025</v>
      </c>
      <c r="E391">
        <f t="shared" si="13"/>
        <v>6</v>
      </c>
      <c r="F391" s="9" t="s">
        <v>780</v>
      </c>
      <c r="G391" s="9" t="s">
        <v>11</v>
      </c>
      <c r="H391" s="9" t="s">
        <v>12</v>
      </c>
    </row>
    <row r="392" spans="1:8" x14ac:dyDescent="0.25">
      <c r="A392" t="s">
        <v>781</v>
      </c>
      <c r="B392" s="14" cm="1">
        <f t="array" ref="B392">_xll.GetLatestPrice(F392,,G392)</f>
        <v>610</v>
      </c>
      <c r="C392" s="1" cm="1">
        <f t="array" ref="C392">_xll.GetLatestPrice(F392,"Actual","AssessmentDate")</f>
        <v>45826.645833333336</v>
      </c>
      <c r="D392">
        <f t="shared" si="12"/>
        <v>2025</v>
      </c>
      <c r="E392">
        <f t="shared" si="13"/>
        <v>6</v>
      </c>
      <c r="F392" s="9" t="s">
        <v>782</v>
      </c>
      <c r="G392" s="9" t="s">
        <v>11</v>
      </c>
      <c r="H392" s="9" t="s">
        <v>12</v>
      </c>
    </row>
    <row r="393" spans="1:8" x14ac:dyDescent="0.25">
      <c r="A393" t="s">
        <v>783</v>
      </c>
      <c r="B393" s="14" cm="1">
        <f t="array" ref="B393">_xll.GetLatestPrice(F393,,G393)</f>
        <v>960</v>
      </c>
      <c r="C393" s="1" cm="1">
        <f t="array" ref="C393">_xll.GetLatestPrice(F393,"Actual","AssessmentDate")</f>
        <v>45826.645833333336</v>
      </c>
      <c r="D393">
        <f t="shared" si="12"/>
        <v>2025</v>
      </c>
      <c r="E393">
        <f t="shared" si="13"/>
        <v>6</v>
      </c>
      <c r="F393" s="9" t="s">
        <v>784</v>
      </c>
      <c r="G393" s="9" t="s">
        <v>11</v>
      </c>
      <c r="H393" s="9" t="s">
        <v>12</v>
      </c>
    </row>
    <row r="394" spans="1:8" x14ac:dyDescent="0.25">
      <c r="A394" t="s">
        <v>785</v>
      </c>
      <c r="B394" s="14" cm="1">
        <f t="array" ref="B394">_xll.GetLatestPrice(F394,,G394)</f>
        <v>445</v>
      </c>
      <c r="C394" s="1" cm="1">
        <f t="array" ref="C394">_xll.GetLatestPrice(F394,"Actual","AssessmentDate")</f>
        <v>45826.645833333336</v>
      </c>
      <c r="D394">
        <f t="shared" si="12"/>
        <v>2025</v>
      </c>
      <c r="E394">
        <f t="shared" si="13"/>
        <v>6</v>
      </c>
      <c r="F394" s="9" t="s">
        <v>786</v>
      </c>
      <c r="G394" s="9" t="s">
        <v>11</v>
      </c>
      <c r="H394" s="9" t="s">
        <v>12</v>
      </c>
    </row>
    <row r="395" spans="1:8" x14ac:dyDescent="0.25">
      <c r="A395" t="s">
        <v>787</v>
      </c>
      <c r="B395" s="14" cm="1">
        <f t="array" ref="B395">_xll.GetLatestPrice(F395,,G395)</f>
        <v>370</v>
      </c>
      <c r="C395" s="1" cm="1">
        <f t="array" ref="C395">_xll.GetLatestPrice(F395,"Actual","AssessmentDate")</f>
        <v>45826.645833333336</v>
      </c>
      <c r="D395">
        <f t="shared" si="12"/>
        <v>2025</v>
      </c>
      <c r="E395">
        <f t="shared" si="13"/>
        <v>6</v>
      </c>
      <c r="F395" s="9" t="s">
        <v>788</v>
      </c>
      <c r="G395" s="9" t="s">
        <v>11</v>
      </c>
      <c r="H395" s="9" t="s">
        <v>12</v>
      </c>
    </row>
    <row r="396" spans="1:8" x14ac:dyDescent="0.25">
      <c r="A396" t="s">
        <v>789</v>
      </c>
      <c r="B396" s="14" cm="1">
        <f t="array" ref="B396">_xll.GetLatestPrice(F396,,G396)</f>
        <v>415</v>
      </c>
      <c r="C396" s="1" cm="1">
        <f t="array" ref="C396">_xll.GetLatestPrice(F396,"Actual","AssessmentDate")</f>
        <v>45826.645833333336</v>
      </c>
      <c r="D396">
        <f t="shared" si="12"/>
        <v>2025</v>
      </c>
      <c r="E396">
        <f t="shared" si="13"/>
        <v>6</v>
      </c>
      <c r="F396" s="9" t="s">
        <v>790</v>
      </c>
      <c r="G396" s="9" t="s">
        <v>11</v>
      </c>
      <c r="H396" s="9" t="s">
        <v>12</v>
      </c>
    </row>
    <row r="397" spans="1:8" x14ac:dyDescent="0.25">
      <c r="A397" t="s">
        <v>791</v>
      </c>
      <c r="B397" s="14" cm="1">
        <f t="array" ref="B397">_xll.GetLatestPrice(F397,,G397)</f>
        <v>290</v>
      </c>
      <c r="C397" s="1" cm="1">
        <f t="array" ref="C397">_xll.GetLatestPrice(F397,"Actual","AssessmentDate")</f>
        <v>45826.645833333336</v>
      </c>
      <c r="D397">
        <f t="shared" si="12"/>
        <v>2025</v>
      </c>
      <c r="E397">
        <f t="shared" si="13"/>
        <v>6</v>
      </c>
      <c r="F397" s="9" t="s">
        <v>792</v>
      </c>
      <c r="G397" s="9" t="s">
        <v>11</v>
      </c>
      <c r="H397" s="9" t="s">
        <v>12</v>
      </c>
    </row>
    <row r="398" spans="1:8" x14ac:dyDescent="0.25">
      <c r="A398" t="s">
        <v>793</v>
      </c>
      <c r="B398" s="14" cm="1">
        <f t="array" ref="B398">_xll.GetLatestPrice(F398,,G398)</f>
        <v>275</v>
      </c>
      <c r="C398" s="1" cm="1">
        <f t="array" ref="C398">_xll.GetLatestPrice(F398,"Actual","AssessmentDate")</f>
        <v>45826.645833333336</v>
      </c>
      <c r="D398">
        <f t="shared" si="12"/>
        <v>2025</v>
      </c>
      <c r="E398">
        <f t="shared" si="13"/>
        <v>6</v>
      </c>
      <c r="F398" s="9" t="s">
        <v>794</v>
      </c>
      <c r="G398" s="9" t="s">
        <v>11</v>
      </c>
      <c r="H398" s="9" t="s">
        <v>12</v>
      </c>
    </row>
    <row r="399" spans="1:8" x14ac:dyDescent="0.25">
      <c r="A399" t="s">
        <v>795</v>
      </c>
      <c r="B399" s="14" cm="1">
        <f t="array" ref="B399">_xll.GetLatestPrice(F399,,G399)</f>
        <v>355</v>
      </c>
      <c r="C399" s="1" cm="1">
        <f t="array" ref="C399">_xll.GetLatestPrice(F399,"Actual","AssessmentDate")</f>
        <v>45826.645833333336</v>
      </c>
      <c r="D399">
        <f t="shared" si="12"/>
        <v>2025</v>
      </c>
      <c r="E399">
        <f t="shared" si="13"/>
        <v>6</v>
      </c>
      <c r="F399" s="9" t="s">
        <v>796</v>
      </c>
      <c r="G399" s="9" t="s">
        <v>11</v>
      </c>
      <c r="H399" s="9" t="s">
        <v>12</v>
      </c>
    </row>
    <row r="400" spans="1:8" x14ac:dyDescent="0.25">
      <c r="A400" t="s">
        <v>797</v>
      </c>
      <c r="B400" s="14" cm="1">
        <f t="array" ref="B400">_xll.GetLatestPrice(F400,,G400)</f>
        <v>505</v>
      </c>
      <c r="C400" s="1" cm="1">
        <f t="array" ref="C400">_xll.GetLatestPrice(F400,"Actual","AssessmentDate")</f>
        <v>45826.645833333336</v>
      </c>
      <c r="D400">
        <f t="shared" si="12"/>
        <v>2025</v>
      </c>
      <c r="E400">
        <f t="shared" si="13"/>
        <v>6</v>
      </c>
      <c r="F400" s="9" t="s">
        <v>798</v>
      </c>
      <c r="G400" s="9" t="s">
        <v>11</v>
      </c>
      <c r="H400" s="9" t="s">
        <v>12</v>
      </c>
    </row>
    <row r="401" spans="1:8" x14ac:dyDescent="0.25">
      <c r="A401" t="s">
        <v>799</v>
      </c>
      <c r="B401" s="14" cm="1">
        <f t="array" ref="B401">_xll.GetLatestPrice(F401,,G401)</f>
        <v>550</v>
      </c>
      <c r="C401" s="1" cm="1">
        <f t="array" ref="C401">_xll.GetLatestPrice(F401,"Actual","AssessmentDate")</f>
        <v>45826.645833333336</v>
      </c>
      <c r="D401">
        <f t="shared" si="12"/>
        <v>2025</v>
      </c>
      <c r="E401">
        <f t="shared" si="13"/>
        <v>6</v>
      </c>
      <c r="F401" s="9" t="s">
        <v>800</v>
      </c>
      <c r="G401" s="9" t="s">
        <v>11</v>
      </c>
      <c r="H401" s="9" t="s">
        <v>12</v>
      </c>
    </row>
    <row r="402" spans="1:8" x14ac:dyDescent="0.25">
      <c r="A402" t="s">
        <v>801</v>
      </c>
      <c r="B402" s="14" cm="1">
        <f t="array" ref="B402">_xll.GetLatestPrice(F402,,G402)</f>
        <v>520</v>
      </c>
      <c r="C402" s="1" cm="1">
        <f t="array" ref="C402">_xll.GetLatestPrice(F402,"Actual","AssessmentDate")</f>
        <v>45826.645833333336</v>
      </c>
      <c r="D402">
        <f t="shared" si="12"/>
        <v>2025</v>
      </c>
      <c r="E402">
        <f t="shared" si="13"/>
        <v>6</v>
      </c>
      <c r="F402" s="9" t="s">
        <v>802</v>
      </c>
      <c r="G402" s="9" t="s">
        <v>11</v>
      </c>
      <c r="H402" s="9" t="s">
        <v>12</v>
      </c>
    </row>
    <row r="403" spans="1:8" x14ac:dyDescent="0.25">
      <c r="A403" t="s">
        <v>803</v>
      </c>
      <c r="B403" s="14" cm="1">
        <f t="array" ref="B403">_xll.GetLatestPrice(F403,,G403)</f>
        <v>495</v>
      </c>
      <c r="C403" s="1" cm="1">
        <f t="array" ref="C403">_xll.GetLatestPrice(F403,"Actual","AssessmentDate")</f>
        <v>45826.645833333336</v>
      </c>
      <c r="D403">
        <f t="shared" si="12"/>
        <v>2025</v>
      </c>
      <c r="E403">
        <f t="shared" si="13"/>
        <v>6</v>
      </c>
      <c r="F403" s="9" t="s">
        <v>804</v>
      </c>
      <c r="G403" s="9" t="s">
        <v>11</v>
      </c>
      <c r="H403" s="9" t="s">
        <v>12</v>
      </c>
    </row>
    <row r="404" spans="1:8" x14ac:dyDescent="0.25">
      <c r="A404" t="s">
        <v>805</v>
      </c>
      <c r="B404" s="14" cm="1">
        <f t="array" ref="B404">_xll.GetLatestPrice(F404,,G404)</f>
        <v>630</v>
      </c>
      <c r="C404" s="1" cm="1">
        <f t="array" ref="C404">_xll.GetLatestPrice(F404,"Actual","AssessmentDate")</f>
        <v>45826.645833333336</v>
      </c>
      <c r="D404">
        <f t="shared" si="12"/>
        <v>2025</v>
      </c>
      <c r="E404">
        <f t="shared" si="13"/>
        <v>6</v>
      </c>
      <c r="F404" s="9" t="s">
        <v>806</v>
      </c>
      <c r="G404" s="9" t="s">
        <v>11</v>
      </c>
      <c r="H404" s="9" t="s">
        <v>12</v>
      </c>
    </row>
    <row r="405" spans="1:8" x14ac:dyDescent="0.25">
      <c r="A405" t="s">
        <v>807</v>
      </c>
      <c r="B405" s="14" cm="1">
        <f t="array" ref="B405">_xll.GetLatestPrice(F405,,G405)</f>
        <v>725</v>
      </c>
      <c r="C405" s="1" cm="1">
        <f t="array" ref="C405">_xll.GetLatestPrice(F405,"Actual","AssessmentDate")</f>
        <v>45826.645833333336</v>
      </c>
      <c r="D405">
        <f t="shared" si="12"/>
        <v>2025</v>
      </c>
      <c r="E405">
        <f t="shared" si="13"/>
        <v>6</v>
      </c>
      <c r="F405" s="9" t="s">
        <v>808</v>
      </c>
      <c r="G405" s="9" t="s">
        <v>11</v>
      </c>
      <c r="H405" s="9" t="s">
        <v>12</v>
      </c>
    </row>
    <row r="406" spans="1:8" x14ac:dyDescent="0.25">
      <c r="A406" t="s">
        <v>809</v>
      </c>
      <c r="B406" s="14" cm="1">
        <f t="array" ref="B406">_xll.GetLatestPrice(F406,,G406)</f>
        <v>630</v>
      </c>
      <c r="C406" s="1" cm="1">
        <f t="array" ref="C406">_xll.GetLatestPrice(F406,"Actual","AssessmentDate")</f>
        <v>45826.645833333336</v>
      </c>
      <c r="D406">
        <f t="shared" si="12"/>
        <v>2025</v>
      </c>
      <c r="E406">
        <f t="shared" si="13"/>
        <v>6</v>
      </c>
      <c r="F406" s="9" t="s">
        <v>810</v>
      </c>
      <c r="G406" s="9" t="s">
        <v>11</v>
      </c>
      <c r="H406" s="9" t="s">
        <v>12</v>
      </c>
    </row>
    <row r="407" spans="1:8" x14ac:dyDescent="0.25">
      <c r="A407" t="s">
        <v>811</v>
      </c>
      <c r="B407" s="14" cm="1">
        <f t="array" ref="B407">_xll.GetLatestPrice(F407,,G407)</f>
        <v>690</v>
      </c>
      <c r="C407" s="1" cm="1">
        <f t="array" ref="C407">_xll.GetLatestPrice(F407,"Actual","AssessmentDate")</f>
        <v>45826.645833333336</v>
      </c>
      <c r="D407">
        <f t="shared" si="12"/>
        <v>2025</v>
      </c>
      <c r="E407">
        <f t="shared" si="13"/>
        <v>6</v>
      </c>
      <c r="F407" s="9" t="s">
        <v>812</v>
      </c>
      <c r="G407" s="9" t="s">
        <v>11</v>
      </c>
      <c r="H407" s="9" t="s">
        <v>12</v>
      </c>
    </row>
    <row r="408" spans="1:8" x14ac:dyDescent="0.25">
      <c r="A408" t="s">
        <v>813</v>
      </c>
      <c r="B408" s="14" cm="1">
        <f t="array" ref="B408">_xll.GetLatestPrice(F408,,G408)</f>
        <v>650</v>
      </c>
      <c r="C408" s="1" cm="1">
        <f t="array" ref="C408">_xll.GetLatestPrice(F408,"Actual","AssessmentDate")</f>
        <v>45826.645833333336</v>
      </c>
      <c r="D408">
        <f t="shared" si="12"/>
        <v>2025</v>
      </c>
      <c r="E408">
        <f t="shared" si="13"/>
        <v>6</v>
      </c>
      <c r="F408" s="9" t="s">
        <v>814</v>
      </c>
      <c r="G408" s="9" t="s">
        <v>11</v>
      </c>
      <c r="H408" s="9" t="s">
        <v>12</v>
      </c>
    </row>
    <row r="409" spans="1:8" x14ac:dyDescent="0.25">
      <c r="A409" t="s">
        <v>815</v>
      </c>
      <c r="B409" s="14" cm="1">
        <f t="array" ref="B409">_xll.GetLatestPrice(F409,,G409)</f>
        <v>985</v>
      </c>
      <c r="C409" s="1" cm="1">
        <f t="array" ref="C409">_xll.GetLatestPrice(F409,"Actual","AssessmentDate")</f>
        <v>45826.645833333336</v>
      </c>
      <c r="D409">
        <f t="shared" si="12"/>
        <v>2025</v>
      </c>
      <c r="E409">
        <f t="shared" si="13"/>
        <v>6</v>
      </c>
      <c r="F409" s="9" t="s">
        <v>816</v>
      </c>
      <c r="G409" s="9" t="s">
        <v>11</v>
      </c>
      <c r="H409" s="9" t="s">
        <v>12</v>
      </c>
    </row>
    <row r="410" spans="1:8" x14ac:dyDescent="0.25">
      <c r="A410" t="s">
        <v>817</v>
      </c>
      <c r="B410" s="14" cm="1">
        <f t="array" ref="B410">_xll.GetLatestPrice(F410,,G410)</f>
        <v>860</v>
      </c>
      <c r="C410" s="1" cm="1">
        <f t="array" ref="C410">_xll.GetLatestPrice(F410,"Actual","AssessmentDate")</f>
        <v>45826.645833333336</v>
      </c>
      <c r="D410">
        <f t="shared" si="12"/>
        <v>2025</v>
      </c>
      <c r="E410">
        <f t="shared" si="13"/>
        <v>6</v>
      </c>
      <c r="F410" s="9" t="s">
        <v>818</v>
      </c>
      <c r="G410" s="9" t="s">
        <v>11</v>
      </c>
      <c r="H410" s="9" t="s">
        <v>12</v>
      </c>
    </row>
    <row r="411" spans="1:8" x14ac:dyDescent="0.25">
      <c r="A411" t="s">
        <v>819</v>
      </c>
      <c r="B411" s="14" cm="1">
        <f t="array" ref="B411">_xll.GetLatestPrice(F411,,G411)</f>
        <v>597</v>
      </c>
      <c r="C411" s="1" cm="1">
        <f t="array" ref="C411">_xll.GetLatestPrice(F411,"Actual","AssessmentDate")</f>
        <v>45826.649791666663</v>
      </c>
      <c r="D411">
        <f t="shared" si="12"/>
        <v>2025</v>
      </c>
      <c r="E411">
        <f t="shared" si="13"/>
        <v>6</v>
      </c>
      <c r="F411" s="9" t="s">
        <v>820</v>
      </c>
      <c r="G411" s="9" t="s">
        <v>11</v>
      </c>
      <c r="H411" s="9" t="s">
        <v>12</v>
      </c>
    </row>
    <row r="412" spans="1:8" x14ac:dyDescent="0.25">
      <c r="A412" t="s">
        <v>821</v>
      </c>
      <c r="B412" s="14" cm="1">
        <f t="array" ref="B412">_xll.GetLatestPrice(F412,,G412)</f>
        <v>602</v>
      </c>
      <c r="C412" s="1" cm="1">
        <f t="array" ref="C412">_xll.GetLatestPrice(F412,"Actual","AssessmentDate")</f>
        <v>45826.649791666663</v>
      </c>
      <c r="D412">
        <f t="shared" si="12"/>
        <v>2025</v>
      </c>
      <c r="E412">
        <f t="shared" si="13"/>
        <v>6</v>
      </c>
      <c r="F412" s="9" t="s">
        <v>822</v>
      </c>
      <c r="G412" s="9" t="s">
        <v>11</v>
      </c>
      <c r="H412" s="9" t="s">
        <v>12</v>
      </c>
    </row>
    <row r="413" spans="1:8" x14ac:dyDescent="0.25">
      <c r="A413" t="s">
        <v>823</v>
      </c>
      <c r="B413" s="14" cm="1">
        <f t="array" ref="B413">_xll.GetLatestPrice(F413,,G413)</f>
        <v>625</v>
      </c>
      <c r="C413" s="1" cm="1">
        <f t="array" ref="C413">_xll.GetLatestPrice(F413,"Actual","AssessmentDate")</f>
        <v>45826.645833333336</v>
      </c>
      <c r="D413">
        <f t="shared" si="12"/>
        <v>2025</v>
      </c>
      <c r="E413">
        <f t="shared" si="13"/>
        <v>6</v>
      </c>
      <c r="F413" s="9" t="s">
        <v>824</v>
      </c>
      <c r="G413" s="9" t="s">
        <v>11</v>
      </c>
      <c r="H413" s="9" t="s">
        <v>12</v>
      </c>
    </row>
    <row r="414" spans="1:8" x14ac:dyDescent="0.25">
      <c r="A414" t="s">
        <v>825</v>
      </c>
      <c r="B414" s="14" cm="1">
        <f t="array" ref="B414">_xll.GetLatestPrice(F414,,G414)</f>
        <v>700</v>
      </c>
      <c r="C414" s="1" cm="1">
        <f t="array" ref="C414">_xll.GetLatestPrice(F414,"Actual","AssessmentDate")</f>
        <v>45826.645833333336</v>
      </c>
      <c r="D414">
        <f t="shared" si="12"/>
        <v>2025</v>
      </c>
      <c r="E414">
        <f t="shared" si="13"/>
        <v>6</v>
      </c>
      <c r="F414" s="9" t="s">
        <v>826</v>
      </c>
      <c r="G414" s="9" t="s">
        <v>11</v>
      </c>
      <c r="H414" s="9" t="s">
        <v>12</v>
      </c>
    </row>
    <row r="415" spans="1:8" x14ac:dyDescent="0.25">
      <c r="A415" t="s">
        <v>827</v>
      </c>
      <c r="B415" s="14" cm="1">
        <f t="array" ref="B415">_xll.GetLatestPrice(F415,,G415)</f>
        <v>630</v>
      </c>
      <c r="C415" s="1" cm="1">
        <f t="array" ref="C415">_xll.GetLatestPrice(F415,"Actual","AssessmentDate")</f>
        <v>45826.645833333336</v>
      </c>
      <c r="D415">
        <f t="shared" si="12"/>
        <v>2025</v>
      </c>
      <c r="E415">
        <f t="shared" si="13"/>
        <v>6</v>
      </c>
      <c r="F415" s="9" t="s">
        <v>828</v>
      </c>
      <c r="G415" s="9" t="s">
        <v>11</v>
      </c>
      <c r="H415" s="9" t="s">
        <v>12</v>
      </c>
    </row>
    <row r="416" spans="1:8" x14ac:dyDescent="0.25">
      <c r="A416" t="s">
        <v>829</v>
      </c>
      <c r="B416" s="14" cm="1">
        <f t="array" ref="B416">_xll.GetLatestPrice(F416,,G416)</f>
        <v>975</v>
      </c>
      <c r="C416" s="1" cm="1">
        <f t="array" ref="C416">_xll.GetLatestPrice(F416,"Actual","AssessmentDate")</f>
        <v>45826.645833333336</v>
      </c>
      <c r="D416">
        <f t="shared" si="12"/>
        <v>2025</v>
      </c>
      <c r="E416">
        <f t="shared" si="13"/>
        <v>6</v>
      </c>
      <c r="F416" s="9" t="s">
        <v>830</v>
      </c>
      <c r="G416" s="9" t="s">
        <v>11</v>
      </c>
      <c r="H416" s="9" t="s">
        <v>12</v>
      </c>
    </row>
    <row r="417" spans="1:8" x14ac:dyDescent="0.25">
      <c r="A417" t="s">
        <v>831</v>
      </c>
      <c r="B417" s="14" cm="1">
        <f t="array" ref="B417">_xll.GetLatestPrice(F417,,G417)</f>
        <v>503</v>
      </c>
      <c r="C417" s="1" cm="1">
        <f t="array" ref="C417">_xll.GetLatestPrice(F417,"Actual","AssessmentDate")</f>
        <v>45826.649791666663</v>
      </c>
      <c r="D417">
        <f t="shared" si="12"/>
        <v>2025</v>
      </c>
      <c r="E417">
        <f t="shared" si="13"/>
        <v>6</v>
      </c>
      <c r="F417" s="9" t="s">
        <v>832</v>
      </c>
      <c r="G417" s="9" t="s">
        <v>11</v>
      </c>
      <c r="H417" s="9" t="s">
        <v>12</v>
      </c>
    </row>
    <row r="418" spans="1:8" x14ac:dyDescent="0.25">
      <c r="A418" t="s">
        <v>833</v>
      </c>
      <c r="B418" s="14" cm="1">
        <f t="array" ref="B418">_xll.GetLatestPrice(F418,,G418)</f>
        <v>507</v>
      </c>
      <c r="C418" s="1" cm="1">
        <f t="array" ref="C418">_xll.GetLatestPrice(F418,"Actual","AssessmentDate")</f>
        <v>45826.649791666663</v>
      </c>
      <c r="D418">
        <f t="shared" si="12"/>
        <v>2025</v>
      </c>
      <c r="E418">
        <f t="shared" si="13"/>
        <v>6</v>
      </c>
      <c r="F418" s="9" t="s">
        <v>834</v>
      </c>
      <c r="G418" s="9" t="s">
        <v>11</v>
      </c>
      <c r="H418" s="9" t="s">
        <v>12</v>
      </c>
    </row>
    <row r="419" spans="1:8" x14ac:dyDescent="0.25">
      <c r="A419" t="s">
        <v>835</v>
      </c>
      <c r="B419" s="14" cm="1">
        <f t="array" ref="B419">_xll.GetLatestPrice(F419,,G419)</f>
        <v>425</v>
      </c>
      <c r="C419" s="1" cm="1">
        <f t="array" ref="C419">_xll.GetLatestPrice(F419,"Actual","AssessmentDate")</f>
        <v>45826.645833333336</v>
      </c>
      <c r="D419">
        <f t="shared" si="12"/>
        <v>2025</v>
      </c>
      <c r="E419">
        <f t="shared" si="13"/>
        <v>6</v>
      </c>
      <c r="F419" s="9" t="s">
        <v>836</v>
      </c>
      <c r="G419" s="9" t="s">
        <v>11</v>
      </c>
      <c r="H419" s="9" t="s">
        <v>12</v>
      </c>
    </row>
    <row r="420" spans="1:8" x14ac:dyDescent="0.25">
      <c r="A420" t="s">
        <v>837</v>
      </c>
      <c r="B420" s="14" cm="1">
        <f t="array" ref="B420">_xll.GetLatestPrice(F420,,G420)</f>
        <v>285</v>
      </c>
      <c r="C420" s="1" cm="1">
        <f t="array" ref="C420">_xll.GetLatestPrice(F420,"Actual","AssessmentDate")</f>
        <v>45826.645833333336</v>
      </c>
      <c r="D420">
        <f t="shared" si="12"/>
        <v>2025</v>
      </c>
      <c r="E420">
        <f t="shared" si="13"/>
        <v>6</v>
      </c>
      <c r="F420" s="9" t="s">
        <v>838</v>
      </c>
      <c r="G420" s="9" t="s">
        <v>11</v>
      </c>
      <c r="H420" s="9" t="s">
        <v>12</v>
      </c>
    </row>
    <row r="421" spans="1:8" x14ac:dyDescent="0.25">
      <c r="A421" t="s">
        <v>839</v>
      </c>
      <c r="B421" s="14" cm="1">
        <f t="array" ref="B421">_xll.GetLatestPrice(F421,,G421)</f>
        <v>310</v>
      </c>
      <c r="C421" s="1" cm="1">
        <f t="array" ref="C421">_xll.GetLatestPrice(F421,"Actual","AssessmentDate")</f>
        <v>45826.645833333336</v>
      </c>
      <c r="D421">
        <f t="shared" si="12"/>
        <v>2025</v>
      </c>
      <c r="E421">
        <f t="shared" si="13"/>
        <v>6</v>
      </c>
      <c r="F421" s="9" t="s">
        <v>840</v>
      </c>
      <c r="G421" s="9" t="s">
        <v>11</v>
      </c>
      <c r="H421" s="9" t="s">
        <v>12</v>
      </c>
    </row>
    <row r="422" spans="1:8" x14ac:dyDescent="0.25">
      <c r="A422" t="s">
        <v>841</v>
      </c>
      <c r="B422" s="14" cm="1">
        <f t="array" ref="B422">_xll.GetLatestPrice(F422,,G422)</f>
        <v>385</v>
      </c>
      <c r="C422" s="1" cm="1">
        <f t="array" ref="C422">_xll.GetLatestPrice(F422,"Actual","AssessmentDate")</f>
        <v>45826.645833333336</v>
      </c>
      <c r="D422">
        <f t="shared" si="12"/>
        <v>2025</v>
      </c>
      <c r="E422">
        <f t="shared" si="13"/>
        <v>6</v>
      </c>
      <c r="F422" s="9" t="s">
        <v>842</v>
      </c>
      <c r="G422" s="9" t="s">
        <v>11</v>
      </c>
      <c r="H422" s="9" t="s">
        <v>12</v>
      </c>
    </row>
    <row r="423" spans="1:8" x14ac:dyDescent="0.25">
      <c r="A423" t="s">
        <v>843</v>
      </c>
      <c r="B423" s="14" cm="1">
        <f t="array" ref="B423">_xll.GetLatestPrice(F423,,G423)</f>
        <v>435</v>
      </c>
      <c r="C423" s="1" cm="1">
        <f t="array" ref="C423">_xll.GetLatestPrice(F423,"Actual","AssessmentDate")</f>
        <v>45826.645833333336</v>
      </c>
      <c r="D423">
        <f t="shared" si="12"/>
        <v>2025</v>
      </c>
      <c r="E423">
        <f t="shared" si="13"/>
        <v>6</v>
      </c>
      <c r="F423" s="9" t="s">
        <v>844</v>
      </c>
      <c r="G423" s="9" t="s">
        <v>11</v>
      </c>
      <c r="H423" s="9" t="s">
        <v>12</v>
      </c>
    </row>
    <row r="424" spans="1:8" x14ac:dyDescent="0.25">
      <c r="A424" t="s">
        <v>845</v>
      </c>
      <c r="B424" s="14" cm="1">
        <f t="array" ref="B424">_xll.GetLatestPrice(F424,,G424)</f>
        <v>380</v>
      </c>
      <c r="C424" s="1" cm="1">
        <f t="array" ref="C424">_xll.GetLatestPrice(F424,"Actual","AssessmentDate")</f>
        <v>45826.645833333336</v>
      </c>
      <c r="D424">
        <f t="shared" si="12"/>
        <v>2025</v>
      </c>
      <c r="E424">
        <f t="shared" si="13"/>
        <v>6</v>
      </c>
      <c r="F424" s="9" t="s">
        <v>846</v>
      </c>
      <c r="G424" s="9" t="s">
        <v>11</v>
      </c>
      <c r="H424" s="9" t="s">
        <v>12</v>
      </c>
    </row>
    <row r="425" spans="1:8" x14ac:dyDescent="0.25">
      <c r="A425" t="s">
        <v>847</v>
      </c>
      <c r="B425" s="14" cm="1">
        <f t="array" ref="B425">_xll.GetLatestPrice(F425,,G425)</f>
        <v>255</v>
      </c>
      <c r="C425" s="1" cm="1">
        <f t="array" ref="C425">_xll.GetLatestPrice(F425,"Actual","AssessmentDate")</f>
        <v>45826.645833333336</v>
      </c>
      <c r="D425">
        <f t="shared" si="12"/>
        <v>2025</v>
      </c>
      <c r="E425">
        <f t="shared" si="13"/>
        <v>6</v>
      </c>
      <c r="F425" s="9" t="s">
        <v>848</v>
      </c>
      <c r="G425" s="9" t="s">
        <v>11</v>
      </c>
      <c r="H425" s="9" t="s">
        <v>12</v>
      </c>
    </row>
    <row r="426" spans="1:8" x14ac:dyDescent="0.25">
      <c r="A426" t="s">
        <v>849</v>
      </c>
      <c r="B426" s="14" cm="1">
        <f t="array" ref="B426">_xll.GetLatestPrice(F426,,G426)</f>
        <v>260</v>
      </c>
      <c r="C426" s="1" cm="1">
        <f t="array" ref="C426">_xll.GetLatestPrice(F426,"Actual","AssessmentDate")</f>
        <v>45826.645833333336</v>
      </c>
      <c r="D426">
        <f t="shared" si="12"/>
        <v>2025</v>
      </c>
      <c r="E426">
        <f t="shared" si="13"/>
        <v>6</v>
      </c>
      <c r="F426" s="9" t="s">
        <v>850</v>
      </c>
      <c r="G426" s="9" t="s">
        <v>11</v>
      </c>
      <c r="H426" s="9" t="s">
        <v>12</v>
      </c>
    </row>
    <row r="427" spans="1:8" x14ac:dyDescent="0.25">
      <c r="A427" t="s">
        <v>851</v>
      </c>
      <c r="B427" s="14" cm="1">
        <f t="array" ref="B427">_xll.GetLatestPrice(F427,,G427)</f>
        <v>255</v>
      </c>
      <c r="C427" s="1" cm="1">
        <f t="array" ref="C427">_xll.GetLatestPrice(F427,"Actual","AssessmentDate")</f>
        <v>45826.645833333336</v>
      </c>
      <c r="D427">
        <f t="shared" si="12"/>
        <v>2025</v>
      </c>
      <c r="E427">
        <f t="shared" si="13"/>
        <v>6</v>
      </c>
      <c r="F427" s="9" t="s">
        <v>852</v>
      </c>
      <c r="G427" s="9" t="s">
        <v>11</v>
      </c>
      <c r="H427" s="9" t="s">
        <v>12</v>
      </c>
    </row>
    <row r="428" spans="1:8" x14ac:dyDescent="0.25">
      <c r="A428" t="s">
        <v>853</v>
      </c>
      <c r="B428" s="14" cm="1">
        <f t="array" ref="B428">_xll.GetLatestPrice(F428,,G428)</f>
        <v>285</v>
      </c>
      <c r="C428" s="1" cm="1">
        <f t="array" ref="C428">_xll.GetLatestPrice(F428,"Actual","AssessmentDate")</f>
        <v>45826.645833333336</v>
      </c>
      <c r="D428">
        <f t="shared" si="12"/>
        <v>2025</v>
      </c>
      <c r="E428">
        <f t="shared" si="13"/>
        <v>6</v>
      </c>
      <c r="F428" s="9" t="s">
        <v>854</v>
      </c>
      <c r="G428" s="9" t="s">
        <v>11</v>
      </c>
      <c r="H428" s="9" t="s">
        <v>12</v>
      </c>
    </row>
    <row r="429" spans="1:8" x14ac:dyDescent="0.25">
      <c r="A429" t="s">
        <v>855</v>
      </c>
      <c r="B429" s="14" cm="1">
        <f t="array" ref="B429">_xll.GetLatestPrice(F429,,G429)</f>
        <v>315</v>
      </c>
      <c r="C429" s="1" cm="1">
        <f t="array" ref="C429">_xll.GetLatestPrice(F429,"Actual","AssessmentDate")</f>
        <v>45826.645833333336</v>
      </c>
      <c r="D429">
        <f t="shared" si="12"/>
        <v>2025</v>
      </c>
      <c r="E429">
        <f t="shared" si="13"/>
        <v>6</v>
      </c>
      <c r="F429" s="9" t="s">
        <v>856</v>
      </c>
      <c r="G429" s="9" t="s">
        <v>11</v>
      </c>
      <c r="H429" s="9" t="s">
        <v>12</v>
      </c>
    </row>
    <row r="430" spans="1:8" x14ac:dyDescent="0.25">
      <c r="A430" t="s">
        <v>857</v>
      </c>
      <c r="B430" s="14" cm="1">
        <f t="array" ref="B430">_xll.GetLatestPrice(F430,,G430)</f>
        <v>280</v>
      </c>
      <c r="C430" s="1" cm="1">
        <f t="array" ref="C430">_xll.GetLatestPrice(F430,"Actual","AssessmentDate")</f>
        <v>45826.645833333336</v>
      </c>
      <c r="D430">
        <f t="shared" si="12"/>
        <v>2025</v>
      </c>
      <c r="E430">
        <f t="shared" si="13"/>
        <v>6</v>
      </c>
      <c r="F430" s="9" t="s">
        <v>858</v>
      </c>
      <c r="G430" s="9" t="s">
        <v>11</v>
      </c>
      <c r="H430" s="9" t="s">
        <v>12</v>
      </c>
    </row>
    <row r="431" spans="1:8" x14ac:dyDescent="0.25">
      <c r="A431" t="s">
        <v>859</v>
      </c>
      <c r="B431" s="14" cm="1">
        <f t="array" ref="B431">_xll.GetLatestPrice(F431,,G431)</f>
        <v>275</v>
      </c>
      <c r="C431" s="1" cm="1">
        <f t="array" ref="C431">_xll.GetLatestPrice(F431,"Actual","AssessmentDate")</f>
        <v>45826.645833333336</v>
      </c>
      <c r="D431">
        <f t="shared" si="12"/>
        <v>2025</v>
      </c>
      <c r="E431">
        <f t="shared" si="13"/>
        <v>6</v>
      </c>
      <c r="F431" s="9" t="s">
        <v>860</v>
      </c>
      <c r="G431" s="9" t="s">
        <v>11</v>
      </c>
      <c r="H431" s="9" t="s">
        <v>12</v>
      </c>
    </row>
    <row r="432" spans="1:8" x14ac:dyDescent="0.25">
      <c r="A432" t="s">
        <v>861</v>
      </c>
      <c r="B432" s="14" cm="1">
        <f t="array" ref="B432">_xll.GetLatestPrice(F432,,G432)</f>
        <v>265</v>
      </c>
      <c r="C432" s="1" cm="1">
        <f t="array" ref="C432">_xll.GetLatestPrice(F432,"Actual","AssessmentDate")</f>
        <v>45826.645833333336</v>
      </c>
      <c r="D432">
        <f t="shared" si="12"/>
        <v>2025</v>
      </c>
      <c r="E432">
        <f t="shared" si="13"/>
        <v>6</v>
      </c>
      <c r="F432" s="9" t="s">
        <v>862</v>
      </c>
      <c r="G432" s="9" t="s">
        <v>11</v>
      </c>
      <c r="H432" s="9" t="s">
        <v>12</v>
      </c>
    </row>
    <row r="433" spans="1:8" x14ac:dyDescent="0.25">
      <c r="A433" t="s">
        <v>863</v>
      </c>
      <c r="B433" s="14" cm="1">
        <f t="array" ref="B433">_xll.GetLatestPrice(F433,,G433)</f>
        <v>1485</v>
      </c>
      <c r="C433" s="1" cm="1">
        <f t="array" ref="C433">_xll.GetLatestPrice(F433,"Actual","AssessmentDate")</f>
        <v>45826.645833333336</v>
      </c>
      <c r="D433">
        <f t="shared" si="12"/>
        <v>2025</v>
      </c>
      <c r="E433">
        <f t="shared" si="13"/>
        <v>6</v>
      </c>
      <c r="F433" s="9" t="s">
        <v>864</v>
      </c>
      <c r="G433" s="9" t="s">
        <v>11</v>
      </c>
      <c r="H433" s="9" t="s">
        <v>12</v>
      </c>
    </row>
    <row r="434" spans="1:8" x14ac:dyDescent="0.25">
      <c r="A434" t="s">
        <v>865</v>
      </c>
      <c r="B434" s="14" cm="1">
        <f t="array" ref="B434">_xll.GetLatestPrice(F434,,G434)</f>
        <v>1025</v>
      </c>
      <c r="C434" s="1" cm="1">
        <f t="array" ref="C434">_xll.GetLatestPrice(F434,"Actual","AssessmentDate")</f>
        <v>45826.645833333336</v>
      </c>
      <c r="D434">
        <f t="shared" si="12"/>
        <v>2025</v>
      </c>
      <c r="E434">
        <f t="shared" si="13"/>
        <v>6</v>
      </c>
      <c r="F434" s="9" t="s">
        <v>866</v>
      </c>
      <c r="G434" s="9" t="s">
        <v>11</v>
      </c>
      <c r="H434" s="9" t="s">
        <v>12</v>
      </c>
    </row>
    <row r="435" spans="1:8" x14ac:dyDescent="0.25">
      <c r="A435" t="s">
        <v>867</v>
      </c>
      <c r="B435" s="14" cm="1">
        <f t="array" ref="B435">_xll.GetLatestPrice(F435,,G435)</f>
        <v>1090</v>
      </c>
      <c r="C435" s="1" cm="1">
        <f t="array" ref="C435">_xll.GetLatestPrice(F435,"Actual","AssessmentDate")</f>
        <v>45826.645833333336</v>
      </c>
      <c r="D435">
        <f t="shared" si="12"/>
        <v>2025</v>
      </c>
      <c r="E435">
        <f t="shared" si="13"/>
        <v>6</v>
      </c>
      <c r="F435" s="9" t="s">
        <v>868</v>
      </c>
      <c r="G435" s="9" t="s">
        <v>11</v>
      </c>
      <c r="H435" s="9" t="s">
        <v>12</v>
      </c>
    </row>
    <row r="436" spans="1:8" x14ac:dyDescent="0.25">
      <c r="A436" t="s">
        <v>869</v>
      </c>
      <c r="B436" s="14" cm="1">
        <f t="array" ref="B436">_xll.GetLatestPrice(F436,,G436)</f>
        <v>1865</v>
      </c>
      <c r="C436" s="1" cm="1">
        <f t="array" ref="C436">_xll.GetLatestPrice(F436,"Actual","AssessmentDate")</f>
        <v>45826.645833333336</v>
      </c>
      <c r="D436">
        <f t="shared" si="12"/>
        <v>2025</v>
      </c>
      <c r="E436">
        <f t="shared" si="13"/>
        <v>6</v>
      </c>
      <c r="F436" s="9" t="s">
        <v>870</v>
      </c>
      <c r="G436" s="9" t="s">
        <v>11</v>
      </c>
      <c r="H436" s="9" t="s">
        <v>12</v>
      </c>
    </row>
    <row r="437" spans="1:8" x14ac:dyDescent="0.25">
      <c r="A437" t="s">
        <v>871</v>
      </c>
      <c r="B437" s="14" cm="1">
        <f t="array" ref="B437">_xll.GetLatestPrice(F437,,G437)</f>
        <v>380</v>
      </c>
      <c r="C437" s="1" cm="1">
        <f t="array" ref="C437">_xll.GetLatestPrice(F437,"Actual","AssessmentDate")</f>
        <v>45826.645833333336</v>
      </c>
      <c r="D437">
        <f t="shared" si="12"/>
        <v>2025</v>
      </c>
      <c r="E437">
        <f t="shared" si="13"/>
        <v>6</v>
      </c>
      <c r="F437" s="9" t="s">
        <v>872</v>
      </c>
      <c r="G437" s="9" t="s">
        <v>11</v>
      </c>
      <c r="H437" s="9" t="s">
        <v>12</v>
      </c>
    </row>
    <row r="438" spans="1:8" x14ac:dyDescent="0.25">
      <c r="A438" t="s">
        <v>873</v>
      </c>
      <c r="B438" s="14" cm="1">
        <f t="array" ref="B438">_xll.GetLatestPrice(F438,,G438)</f>
        <v>295</v>
      </c>
      <c r="C438" s="1" cm="1">
        <f t="array" ref="C438">_xll.GetLatestPrice(F438,"Actual","AssessmentDate")</f>
        <v>45826.645833333336</v>
      </c>
      <c r="D438">
        <f t="shared" si="12"/>
        <v>2025</v>
      </c>
      <c r="E438">
        <f t="shared" si="13"/>
        <v>6</v>
      </c>
      <c r="F438" s="9" t="s">
        <v>874</v>
      </c>
      <c r="G438" s="9" t="s">
        <v>11</v>
      </c>
      <c r="H438" s="9" t="s">
        <v>12</v>
      </c>
    </row>
    <row r="439" spans="1:8" x14ac:dyDescent="0.25">
      <c r="A439" t="s">
        <v>875</v>
      </c>
      <c r="B439" s="14" cm="1">
        <f t="array" ref="B439">_xll.GetLatestPrice(F439,,G439)</f>
        <v>320</v>
      </c>
      <c r="C439" s="1" cm="1">
        <f t="array" ref="C439">_xll.GetLatestPrice(F439,"Actual","AssessmentDate")</f>
        <v>45826.645833333336</v>
      </c>
      <c r="D439">
        <f t="shared" si="12"/>
        <v>2025</v>
      </c>
      <c r="E439">
        <f t="shared" si="13"/>
        <v>6</v>
      </c>
      <c r="F439" s="9" t="s">
        <v>876</v>
      </c>
      <c r="G439" s="9" t="s">
        <v>11</v>
      </c>
      <c r="H439" s="9" t="s">
        <v>12</v>
      </c>
    </row>
    <row r="440" spans="1:8" x14ac:dyDescent="0.25">
      <c r="A440" t="s">
        <v>877</v>
      </c>
      <c r="B440" s="14" cm="1">
        <f t="array" ref="B440">_xll.GetLatestPrice(F440,,G440)</f>
        <v>455</v>
      </c>
      <c r="C440" s="1" cm="1">
        <f t="array" ref="C440">_xll.GetLatestPrice(F440,"Actual","AssessmentDate")</f>
        <v>45826.645833333336</v>
      </c>
      <c r="D440">
        <f t="shared" si="12"/>
        <v>2025</v>
      </c>
      <c r="E440">
        <f t="shared" si="13"/>
        <v>6</v>
      </c>
      <c r="F440" s="9" t="s">
        <v>878</v>
      </c>
      <c r="G440" s="9" t="s">
        <v>11</v>
      </c>
      <c r="H440" s="9" t="s">
        <v>12</v>
      </c>
    </row>
    <row r="441" spans="1:8" x14ac:dyDescent="0.25">
      <c r="A441" t="s">
        <v>879</v>
      </c>
      <c r="B441" s="14" cm="1">
        <f t="array" ref="B441">_xll.GetLatestPrice(F441,,G441)</f>
        <v>460</v>
      </c>
      <c r="C441" s="1" cm="1">
        <f t="array" ref="C441">_xll.GetLatestPrice(F441,"Actual","AssessmentDate")</f>
        <v>45826.645833333336</v>
      </c>
      <c r="D441">
        <f t="shared" si="12"/>
        <v>2025</v>
      </c>
      <c r="E441">
        <f t="shared" si="13"/>
        <v>6</v>
      </c>
      <c r="F441" s="9" t="s">
        <v>880</v>
      </c>
      <c r="G441" s="9" t="s">
        <v>11</v>
      </c>
      <c r="H441" s="9" t="s">
        <v>12</v>
      </c>
    </row>
    <row r="442" spans="1:8" x14ac:dyDescent="0.25">
      <c r="A442" t="s">
        <v>881</v>
      </c>
      <c r="B442" s="14" cm="1">
        <f t="array" ref="B442">_xll.GetLatestPrice(F442,,G442)</f>
        <v>300</v>
      </c>
      <c r="C442" s="1" cm="1">
        <f t="array" ref="C442">_xll.GetLatestPrice(F442,"Actual","AssessmentDate")</f>
        <v>45826.645833333336</v>
      </c>
      <c r="D442">
        <f t="shared" si="12"/>
        <v>2025</v>
      </c>
      <c r="E442">
        <f t="shared" si="13"/>
        <v>6</v>
      </c>
      <c r="F442" s="9" t="s">
        <v>882</v>
      </c>
      <c r="G442" s="9" t="s">
        <v>11</v>
      </c>
      <c r="H442" s="9" t="s">
        <v>12</v>
      </c>
    </row>
    <row r="443" spans="1:8" x14ac:dyDescent="0.25">
      <c r="A443" t="s">
        <v>883</v>
      </c>
      <c r="B443" s="14" cm="1">
        <f t="array" ref="B443">_xll.GetLatestPrice(F443,,G443)</f>
        <v>255</v>
      </c>
      <c r="C443" s="1" cm="1">
        <f t="array" ref="C443">_xll.GetLatestPrice(F443,"Actual","AssessmentDate")</f>
        <v>45826.645833333336</v>
      </c>
      <c r="D443">
        <f t="shared" si="12"/>
        <v>2025</v>
      </c>
      <c r="E443">
        <f t="shared" si="13"/>
        <v>6</v>
      </c>
      <c r="F443" s="9" t="s">
        <v>884</v>
      </c>
      <c r="G443" s="9" t="s">
        <v>11</v>
      </c>
      <c r="H443" s="9" t="s">
        <v>12</v>
      </c>
    </row>
    <row r="444" spans="1:8" x14ac:dyDescent="0.25">
      <c r="A444" t="s">
        <v>885</v>
      </c>
      <c r="B444" s="14" cm="1">
        <f t="array" ref="B444">_xll.GetLatestPrice(F444,,G444)</f>
        <v>255</v>
      </c>
      <c r="C444" s="1" cm="1">
        <f t="array" ref="C444">_xll.GetLatestPrice(F444,"Actual","AssessmentDate")</f>
        <v>45826.645833333336</v>
      </c>
      <c r="D444">
        <f t="shared" si="12"/>
        <v>2025</v>
      </c>
      <c r="E444">
        <f t="shared" si="13"/>
        <v>6</v>
      </c>
      <c r="F444" s="9" t="s">
        <v>886</v>
      </c>
      <c r="G444" s="9" t="s">
        <v>11</v>
      </c>
      <c r="H444" s="9" t="s">
        <v>12</v>
      </c>
    </row>
    <row r="445" spans="1:8" x14ac:dyDescent="0.25">
      <c r="A445" t="s">
        <v>887</v>
      </c>
      <c r="B445" s="14" cm="1">
        <f t="array" ref="B445">_xll.GetLatestPrice(F445,,G445)</f>
        <v>305</v>
      </c>
      <c r="C445" s="1" cm="1">
        <f t="array" ref="C445">_xll.GetLatestPrice(F445,"Actual","AssessmentDate")</f>
        <v>45826.645833333336</v>
      </c>
      <c r="D445">
        <f t="shared" si="12"/>
        <v>2025</v>
      </c>
      <c r="E445">
        <f t="shared" si="13"/>
        <v>6</v>
      </c>
      <c r="F445" s="9" t="s">
        <v>888</v>
      </c>
      <c r="G445" s="9" t="s">
        <v>11</v>
      </c>
      <c r="H445" s="9" t="s">
        <v>12</v>
      </c>
    </row>
    <row r="446" spans="1:8" x14ac:dyDescent="0.25">
      <c r="A446" t="s">
        <v>889</v>
      </c>
      <c r="B446" s="14" cm="1">
        <f t="array" ref="B446">_xll.GetLatestPrice(F446,,G446)</f>
        <v>300</v>
      </c>
      <c r="C446" s="1" cm="1">
        <f t="array" ref="C446">_xll.GetLatestPrice(F446,"Actual","AssessmentDate")</f>
        <v>45826.645833333336</v>
      </c>
      <c r="D446">
        <f t="shared" si="12"/>
        <v>2025</v>
      </c>
      <c r="E446">
        <f t="shared" si="13"/>
        <v>6</v>
      </c>
      <c r="F446" s="9" t="s">
        <v>890</v>
      </c>
      <c r="G446" s="9" t="s">
        <v>11</v>
      </c>
      <c r="H446" s="9" t="s">
        <v>12</v>
      </c>
    </row>
    <row r="447" spans="1:8" x14ac:dyDescent="0.25">
      <c r="A447" t="s">
        <v>891</v>
      </c>
      <c r="B447" s="14" cm="1">
        <f t="array" ref="B447">_xll.GetLatestPrice(F447,,G447)</f>
        <v>435</v>
      </c>
      <c r="C447" s="1" cm="1">
        <f t="array" ref="C447">_xll.GetLatestPrice(F447,"Actual","AssessmentDate")</f>
        <v>45826.645833333336</v>
      </c>
      <c r="D447">
        <f t="shared" si="12"/>
        <v>2025</v>
      </c>
      <c r="E447">
        <f t="shared" si="13"/>
        <v>6</v>
      </c>
      <c r="F447" s="9" t="s">
        <v>892</v>
      </c>
      <c r="G447" s="9" t="s">
        <v>11</v>
      </c>
      <c r="H447" s="9" t="s">
        <v>12</v>
      </c>
    </row>
    <row r="448" spans="1:8" x14ac:dyDescent="0.25">
      <c r="A448" t="s">
        <v>893</v>
      </c>
      <c r="B448" s="14" cm="1">
        <f t="array" ref="B448">_xll.GetLatestPrice(F448,,G448)</f>
        <v>335</v>
      </c>
      <c r="C448" s="1" cm="1">
        <f t="array" ref="C448">_xll.GetLatestPrice(F448,"Actual","AssessmentDate")</f>
        <v>45826.645833333336</v>
      </c>
      <c r="D448">
        <f t="shared" si="12"/>
        <v>2025</v>
      </c>
      <c r="E448">
        <f t="shared" si="13"/>
        <v>6</v>
      </c>
      <c r="F448" s="9" t="s">
        <v>894</v>
      </c>
      <c r="G448" s="9" t="s">
        <v>11</v>
      </c>
      <c r="H448" s="9" t="s">
        <v>12</v>
      </c>
    </row>
    <row r="449" spans="1:8" x14ac:dyDescent="0.25">
      <c r="A449" t="s">
        <v>895</v>
      </c>
      <c r="B449" s="14" cm="1">
        <f t="array" ref="B449">_xll.GetLatestPrice(F449,,G449)</f>
        <v>365</v>
      </c>
      <c r="C449" s="1" cm="1">
        <f t="array" ref="C449">_xll.GetLatestPrice(F449,"Actual","AssessmentDate")</f>
        <v>45826.645833333336</v>
      </c>
      <c r="D449">
        <f t="shared" si="12"/>
        <v>2025</v>
      </c>
      <c r="E449">
        <f t="shared" si="13"/>
        <v>6</v>
      </c>
      <c r="F449" s="9" t="s">
        <v>896</v>
      </c>
      <c r="G449" s="9" t="s">
        <v>11</v>
      </c>
      <c r="H449" s="9" t="s">
        <v>12</v>
      </c>
    </row>
    <row r="450" spans="1:8" x14ac:dyDescent="0.25">
      <c r="A450" t="s">
        <v>897</v>
      </c>
      <c r="B450" s="14" cm="1">
        <f t="array" ref="B450">_xll.GetLatestPrice(F450,,G450)</f>
        <v>290</v>
      </c>
      <c r="C450" s="1" cm="1">
        <f t="array" ref="C450">_xll.GetLatestPrice(F450,"Actual","AssessmentDate")</f>
        <v>45826.645833333336</v>
      </c>
      <c r="D450">
        <f t="shared" si="12"/>
        <v>2025</v>
      </c>
      <c r="E450">
        <f t="shared" si="13"/>
        <v>6</v>
      </c>
      <c r="F450" s="9" t="s">
        <v>898</v>
      </c>
      <c r="G450" s="9" t="s">
        <v>11</v>
      </c>
      <c r="H450" s="9" t="s">
        <v>12</v>
      </c>
    </row>
    <row r="451" spans="1:8" x14ac:dyDescent="0.25">
      <c r="A451" t="s">
        <v>899</v>
      </c>
      <c r="B451" s="14" cm="1">
        <f t="array" ref="B451">_xll.GetLatestPrice(F451,,G451)</f>
        <v>1525</v>
      </c>
      <c r="C451" s="1" cm="1">
        <f t="array" ref="C451">_xll.GetLatestPrice(F451,"Actual","AssessmentDate")</f>
        <v>45826.645833333336</v>
      </c>
      <c r="D451">
        <f t="shared" ref="D451:D514" si="14">YEAR(C451)</f>
        <v>2025</v>
      </c>
      <c r="E451">
        <f t="shared" ref="E451:E514" si="15">MONTH(C451)</f>
        <v>6</v>
      </c>
      <c r="F451" s="9" t="s">
        <v>900</v>
      </c>
      <c r="G451" s="9" t="s">
        <v>11</v>
      </c>
      <c r="H451" s="9" t="s">
        <v>12</v>
      </c>
    </row>
    <row r="452" spans="1:8" x14ac:dyDescent="0.25">
      <c r="A452" t="s">
        <v>901</v>
      </c>
      <c r="B452" s="14" cm="1">
        <f t="array" ref="B452">_xll.GetLatestPrice(F452,,G452)</f>
        <v>1555</v>
      </c>
      <c r="C452" s="1" cm="1">
        <f t="array" ref="C452">_xll.GetLatestPrice(F452,"Actual","AssessmentDate")</f>
        <v>45826.645833333336</v>
      </c>
      <c r="D452">
        <f t="shared" si="14"/>
        <v>2025</v>
      </c>
      <c r="E452">
        <f t="shared" si="15"/>
        <v>6</v>
      </c>
      <c r="F452" s="9" t="s">
        <v>902</v>
      </c>
      <c r="G452" s="9" t="s">
        <v>11</v>
      </c>
      <c r="H452" s="9" t="s">
        <v>12</v>
      </c>
    </row>
    <row r="453" spans="1:8" x14ac:dyDescent="0.25">
      <c r="A453" t="s">
        <v>903</v>
      </c>
      <c r="B453" s="14" cm="1">
        <f t="array" ref="B453">_xll.GetLatestPrice(F453,,G453)</f>
        <v>1525</v>
      </c>
      <c r="C453" s="1" cm="1">
        <f t="array" ref="C453">_xll.GetLatestPrice(F453,"Actual","AssessmentDate")</f>
        <v>45826.645833333336</v>
      </c>
      <c r="D453">
        <f t="shared" si="14"/>
        <v>2025</v>
      </c>
      <c r="E453">
        <f t="shared" si="15"/>
        <v>6</v>
      </c>
      <c r="F453" s="9" t="s">
        <v>904</v>
      </c>
      <c r="G453" s="9" t="s">
        <v>11</v>
      </c>
      <c r="H453" s="9" t="s">
        <v>12</v>
      </c>
    </row>
    <row r="454" spans="1:8" x14ac:dyDescent="0.25">
      <c r="A454" t="s">
        <v>905</v>
      </c>
      <c r="B454" s="14" cm="1">
        <f t="array" ref="B454">_xll.GetLatestPrice(F454,,G454)</f>
        <v>1890</v>
      </c>
      <c r="C454" s="1" cm="1">
        <f t="array" ref="C454">_xll.GetLatestPrice(F454,"Actual","AssessmentDate")</f>
        <v>45826.645833333336</v>
      </c>
      <c r="D454">
        <f t="shared" si="14"/>
        <v>2025</v>
      </c>
      <c r="E454">
        <f t="shared" si="15"/>
        <v>6</v>
      </c>
      <c r="F454" s="9" t="s">
        <v>906</v>
      </c>
      <c r="G454" s="9" t="s">
        <v>11</v>
      </c>
      <c r="H454" s="9" t="s">
        <v>12</v>
      </c>
    </row>
    <row r="455" spans="1:8" x14ac:dyDescent="0.25">
      <c r="A455" t="s">
        <v>907</v>
      </c>
      <c r="B455" s="14" cm="1">
        <f t="array" ref="B455">_xll.GetLatestPrice(F455,,G455)</f>
        <v>380</v>
      </c>
      <c r="C455" s="1" cm="1">
        <f t="array" ref="C455">_xll.GetLatestPrice(F455,"Actual","AssessmentDate")</f>
        <v>45826.645833333336</v>
      </c>
      <c r="D455">
        <f t="shared" si="14"/>
        <v>2025</v>
      </c>
      <c r="E455">
        <f t="shared" si="15"/>
        <v>6</v>
      </c>
      <c r="F455" s="9" t="s">
        <v>908</v>
      </c>
      <c r="G455" s="9" t="s">
        <v>11</v>
      </c>
      <c r="H455" s="9" t="s">
        <v>12</v>
      </c>
    </row>
    <row r="456" spans="1:8" x14ac:dyDescent="0.25">
      <c r="A456" t="s">
        <v>909</v>
      </c>
      <c r="B456" s="14" cm="1">
        <f t="array" ref="B456">_xll.GetLatestPrice(F456,,G456)</f>
        <v>310</v>
      </c>
      <c r="C456" s="1" cm="1">
        <f t="array" ref="C456">_xll.GetLatestPrice(F456,"Actual","AssessmentDate")</f>
        <v>45826.645833333336</v>
      </c>
      <c r="D456">
        <f t="shared" si="14"/>
        <v>2025</v>
      </c>
      <c r="E456">
        <f t="shared" si="15"/>
        <v>6</v>
      </c>
      <c r="F456" s="9" t="s">
        <v>910</v>
      </c>
      <c r="G456" s="9" t="s">
        <v>11</v>
      </c>
      <c r="H456" s="9" t="s">
        <v>12</v>
      </c>
    </row>
    <row r="457" spans="1:8" x14ac:dyDescent="0.25">
      <c r="A457" t="s">
        <v>911</v>
      </c>
      <c r="B457" s="14" cm="1">
        <f t="array" ref="B457">_xll.GetLatestPrice(F457,,G457)</f>
        <v>325</v>
      </c>
      <c r="C457" s="1" cm="1">
        <f t="array" ref="C457">_xll.GetLatestPrice(F457,"Actual","AssessmentDate")</f>
        <v>45826.645833333336</v>
      </c>
      <c r="D457">
        <f t="shared" si="14"/>
        <v>2025</v>
      </c>
      <c r="E457">
        <f t="shared" si="15"/>
        <v>6</v>
      </c>
      <c r="F457" s="9" t="s">
        <v>912</v>
      </c>
      <c r="G457" s="9" t="s">
        <v>11</v>
      </c>
      <c r="H457" s="9" t="s">
        <v>12</v>
      </c>
    </row>
    <row r="458" spans="1:8" x14ac:dyDescent="0.25">
      <c r="A458" t="s">
        <v>913</v>
      </c>
      <c r="B458" s="14" cm="1">
        <f t="array" ref="B458">_xll.GetLatestPrice(F458,,G458)</f>
        <v>440</v>
      </c>
      <c r="C458" s="1" cm="1">
        <f t="array" ref="C458">_xll.GetLatestPrice(F458,"Actual","AssessmentDate")</f>
        <v>45826.645833333336</v>
      </c>
      <c r="D458">
        <f t="shared" si="14"/>
        <v>2025</v>
      </c>
      <c r="E458">
        <f t="shared" si="15"/>
        <v>6</v>
      </c>
      <c r="F458" s="9" t="s">
        <v>914</v>
      </c>
      <c r="G458" s="9" t="s">
        <v>11</v>
      </c>
      <c r="H458" s="9" t="s">
        <v>12</v>
      </c>
    </row>
    <row r="459" spans="1:8" x14ac:dyDescent="0.25">
      <c r="A459" t="s">
        <v>915</v>
      </c>
      <c r="B459" s="14" cm="1">
        <f t="array" ref="B459">_xll.GetLatestPrice(F459,,G459)</f>
        <v>415</v>
      </c>
      <c r="C459" s="1" cm="1">
        <f t="array" ref="C459">_xll.GetLatestPrice(F459,"Actual","AssessmentDate")</f>
        <v>45826.645833333336</v>
      </c>
      <c r="D459">
        <f t="shared" si="14"/>
        <v>2025</v>
      </c>
      <c r="E459">
        <f t="shared" si="15"/>
        <v>6</v>
      </c>
      <c r="F459" s="9" t="s">
        <v>916</v>
      </c>
      <c r="G459" s="9" t="s">
        <v>11</v>
      </c>
      <c r="H459" s="9" t="s">
        <v>12</v>
      </c>
    </row>
    <row r="460" spans="1:8" x14ac:dyDescent="0.25">
      <c r="A460" t="s">
        <v>917</v>
      </c>
      <c r="B460" s="14" cm="1">
        <f t="array" ref="B460">_xll.GetLatestPrice(F460,,G460)</f>
        <v>300</v>
      </c>
      <c r="C460" s="1" cm="1">
        <f t="array" ref="C460">_xll.GetLatestPrice(F460,"Actual","AssessmentDate")</f>
        <v>45826.645833333336</v>
      </c>
      <c r="D460">
        <f t="shared" si="14"/>
        <v>2025</v>
      </c>
      <c r="E460">
        <f t="shared" si="15"/>
        <v>6</v>
      </c>
      <c r="F460" s="9" t="s">
        <v>918</v>
      </c>
      <c r="G460" s="9" t="s">
        <v>11</v>
      </c>
      <c r="H460" s="9" t="s">
        <v>12</v>
      </c>
    </row>
    <row r="461" spans="1:8" x14ac:dyDescent="0.25">
      <c r="A461" t="s">
        <v>919</v>
      </c>
      <c r="B461" s="14" cm="1">
        <f t="array" ref="B461">_xll.GetLatestPrice(F461,,G461)</f>
        <v>260</v>
      </c>
      <c r="C461" s="1" cm="1">
        <f t="array" ref="C461">_xll.GetLatestPrice(F461,"Actual","AssessmentDate")</f>
        <v>45826.645833333336</v>
      </c>
      <c r="D461">
        <f t="shared" si="14"/>
        <v>2025</v>
      </c>
      <c r="E461">
        <f t="shared" si="15"/>
        <v>6</v>
      </c>
      <c r="F461" s="9" t="s">
        <v>920</v>
      </c>
      <c r="G461" s="9" t="s">
        <v>11</v>
      </c>
      <c r="H461" s="9" t="s">
        <v>12</v>
      </c>
    </row>
    <row r="462" spans="1:8" x14ac:dyDescent="0.25">
      <c r="A462" t="s">
        <v>921</v>
      </c>
      <c r="B462" s="14" cm="1">
        <f t="array" ref="B462">_xll.GetLatestPrice(F462,,G462)</f>
        <v>265</v>
      </c>
      <c r="C462" s="1" cm="1">
        <f t="array" ref="C462">_xll.GetLatestPrice(F462,"Actual","AssessmentDate")</f>
        <v>45826.645833333336</v>
      </c>
      <c r="D462">
        <f t="shared" si="14"/>
        <v>2025</v>
      </c>
      <c r="E462">
        <f t="shared" si="15"/>
        <v>6</v>
      </c>
      <c r="F462" s="9" t="s">
        <v>922</v>
      </c>
      <c r="G462" s="9" t="s">
        <v>11</v>
      </c>
      <c r="H462" s="9" t="s">
        <v>12</v>
      </c>
    </row>
    <row r="463" spans="1:8" x14ac:dyDescent="0.25">
      <c r="A463" t="s">
        <v>923</v>
      </c>
      <c r="B463" s="14" cm="1">
        <f t="array" ref="B463">_xll.GetLatestPrice(F463,,G463)</f>
        <v>310</v>
      </c>
      <c r="C463" s="1" cm="1">
        <f t="array" ref="C463">_xll.GetLatestPrice(F463,"Actual","AssessmentDate")</f>
        <v>45826.645833333336</v>
      </c>
      <c r="D463">
        <f t="shared" si="14"/>
        <v>2025</v>
      </c>
      <c r="E463">
        <f t="shared" si="15"/>
        <v>6</v>
      </c>
      <c r="F463" s="9" t="s">
        <v>924</v>
      </c>
      <c r="G463" s="9" t="s">
        <v>11</v>
      </c>
      <c r="H463" s="9" t="s">
        <v>12</v>
      </c>
    </row>
    <row r="464" spans="1:8" x14ac:dyDescent="0.25">
      <c r="A464" t="s">
        <v>925</v>
      </c>
      <c r="B464" s="14" cm="1">
        <f t="array" ref="B464">_xll.GetLatestPrice(F464,,G464)</f>
        <v>330</v>
      </c>
      <c r="C464" s="1" cm="1">
        <f t="array" ref="C464">_xll.GetLatestPrice(F464,"Actual","AssessmentDate")</f>
        <v>45826.645833333336</v>
      </c>
      <c r="D464">
        <f t="shared" si="14"/>
        <v>2025</v>
      </c>
      <c r="E464">
        <f t="shared" si="15"/>
        <v>6</v>
      </c>
      <c r="F464" s="9" t="s">
        <v>926</v>
      </c>
      <c r="G464" s="9" t="s">
        <v>11</v>
      </c>
      <c r="H464" s="9" t="s">
        <v>12</v>
      </c>
    </row>
    <row r="465" spans="1:8" x14ac:dyDescent="0.25">
      <c r="A465" t="s">
        <v>927</v>
      </c>
      <c r="B465" s="14" cm="1">
        <f t="array" ref="B465">_xll.GetLatestPrice(F465,,G465)</f>
        <v>425</v>
      </c>
      <c r="C465" s="1" cm="1">
        <f t="array" ref="C465">_xll.GetLatestPrice(F465,"Actual","AssessmentDate")</f>
        <v>45826.645833333336</v>
      </c>
      <c r="D465">
        <f t="shared" si="14"/>
        <v>2025</v>
      </c>
      <c r="E465">
        <f t="shared" si="15"/>
        <v>6</v>
      </c>
      <c r="F465" s="9" t="s">
        <v>928</v>
      </c>
      <c r="G465" s="9" t="s">
        <v>11</v>
      </c>
      <c r="H465" s="9" t="s">
        <v>12</v>
      </c>
    </row>
    <row r="466" spans="1:8" x14ac:dyDescent="0.25">
      <c r="A466" t="s">
        <v>929</v>
      </c>
      <c r="B466" s="14" cm="1">
        <f t="array" ref="B466">_xll.GetLatestPrice(F466,,G466)</f>
        <v>370</v>
      </c>
      <c r="C466" s="1" cm="1">
        <f t="array" ref="C466">_xll.GetLatestPrice(F466,"Actual","AssessmentDate")</f>
        <v>45826.645833333336</v>
      </c>
      <c r="D466">
        <f t="shared" si="14"/>
        <v>2025</v>
      </c>
      <c r="E466">
        <f t="shared" si="15"/>
        <v>6</v>
      </c>
      <c r="F466" s="9" t="s">
        <v>930</v>
      </c>
      <c r="G466" s="9" t="s">
        <v>11</v>
      </c>
      <c r="H466" s="9" t="s">
        <v>12</v>
      </c>
    </row>
    <row r="467" spans="1:8" x14ac:dyDescent="0.25">
      <c r="A467" t="s">
        <v>931</v>
      </c>
      <c r="B467" s="14" cm="1">
        <f t="array" ref="B467">_xll.GetLatestPrice(F467,,G467)</f>
        <v>370</v>
      </c>
      <c r="C467" s="1" cm="1">
        <f t="array" ref="C467">_xll.GetLatestPrice(F467,"Actual","AssessmentDate")</f>
        <v>45826.645833333336</v>
      </c>
      <c r="D467">
        <f t="shared" si="14"/>
        <v>2025</v>
      </c>
      <c r="E467">
        <f t="shared" si="15"/>
        <v>6</v>
      </c>
      <c r="F467" s="9" t="s">
        <v>932</v>
      </c>
      <c r="G467" s="9" t="s">
        <v>11</v>
      </c>
      <c r="H467" s="9" t="s">
        <v>12</v>
      </c>
    </row>
    <row r="468" spans="1:8" x14ac:dyDescent="0.25">
      <c r="A468" t="s">
        <v>933</v>
      </c>
      <c r="B468" s="14" cm="1">
        <f t="array" ref="B468">_xll.GetLatestPrice(F468,,G468)</f>
        <v>365</v>
      </c>
      <c r="C468" s="1" cm="1">
        <f t="array" ref="C468">_xll.GetLatestPrice(F468,"Actual","AssessmentDate")</f>
        <v>45826.645833333336</v>
      </c>
      <c r="D468">
        <f t="shared" si="14"/>
        <v>2025</v>
      </c>
      <c r="E468">
        <f t="shared" si="15"/>
        <v>6</v>
      </c>
      <c r="F468" s="9" t="s">
        <v>934</v>
      </c>
      <c r="G468" s="9" t="s">
        <v>11</v>
      </c>
      <c r="H468" s="9" t="s">
        <v>12</v>
      </c>
    </row>
    <row r="469" spans="1:8" x14ac:dyDescent="0.25">
      <c r="A469" t="s">
        <v>935</v>
      </c>
      <c r="B469" s="14" cm="1">
        <f t="array" ref="B469">_xll.GetLatestPrice(F469,,G469)</f>
        <v>630</v>
      </c>
      <c r="C469" s="1" cm="1">
        <f t="array" ref="C469">_xll.GetLatestPrice(F469,"Actual","AssessmentDate")</f>
        <v>45826.645833333336</v>
      </c>
      <c r="D469">
        <f t="shared" si="14"/>
        <v>2025</v>
      </c>
      <c r="E469">
        <f t="shared" si="15"/>
        <v>6</v>
      </c>
      <c r="F469" s="9" t="s">
        <v>936</v>
      </c>
      <c r="G469" s="9" t="s">
        <v>11</v>
      </c>
      <c r="H469" s="9" t="s">
        <v>12</v>
      </c>
    </row>
    <row r="470" spans="1:8" x14ac:dyDescent="0.25">
      <c r="A470" t="s">
        <v>937</v>
      </c>
      <c r="B470" s="14" cm="1">
        <f t="array" ref="B470">_xll.GetLatestPrice(F470,,G470)</f>
        <v>695</v>
      </c>
      <c r="C470" s="1" cm="1">
        <f t="array" ref="C470">_xll.GetLatestPrice(F470,"Actual","AssessmentDate")</f>
        <v>45826.645833333336</v>
      </c>
      <c r="D470">
        <f t="shared" si="14"/>
        <v>2025</v>
      </c>
      <c r="E470">
        <f t="shared" si="15"/>
        <v>6</v>
      </c>
      <c r="F470" s="9" t="s">
        <v>938</v>
      </c>
      <c r="G470" s="9" t="s">
        <v>11</v>
      </c>
      <c r="H470" s="9" t="s">
        <v>12</v>
      </c>
    </row>
    <row r="471" spans="1:8" x14ac:dyDescent="0.25">
      <c r="A471" t="s">
        <v>939</v>
      </c>
      <c r="B471" s="14" cm="1">
        <f t="array" ref="B471">_xll.GetLatestPrice(F471,,G471)</f>
        <v>640</v>
      </c>
      <c r="C471" s="1" cm="1">
        <f t="array" ref="C471">_xll.GetLatestPrice(F471,"Actual","AssessmentDate")</f>
        <v>45826.645833333336</v>
      </c>
      <c r="D471">
        <f t="shared" si="14"/>
        <v>2025</v>
      </c>
      <c r="E471">
        <f t="shared" si="15"/>
        <v>6</v>
      </c>
      <c r="F471" s="9" t="s">
        <v>940</v>
      </c>
      <c r="G471" s="9" t="s">
        <v>11</v>
      </c>
      <c r="H471" s="9" t="s">
        <v>12</v>
      </c>
    </row>
    <row r="472" spans="1:8" x14ac:dyDescent="0.25">
      <c r="A472" t="s">
        <v>941</v>
      </c>
      <c r="B472" s="14" cm="1">
        <f t="array" ref="B472">_xll.GetLatestPrice(F472,,G472)</f>
        <v>980</v>
      </c>
      <c r="C472" s="1" cm="1">
        <f t="array" ref="C472">_xll.GetLatestPrice(F472,"Actual","AssessmentDate")</f>
        <v>45826.645833333336</v>
      </c>
      <c r="D472">
        <f t="shared" si="14"/>
        <v>2025</v>
      </c>
      <c r="E472">
        <f t="shared" si="15"/>
        <v>6</v>
      </c>
      <c r="F472" s="9" t="s">
        <v>942</v>
      </c>
      <c r="G472" s="9" t="s">
        <v>11</v>
      </c>
      <c r="H472" s="9" t="s">
        <v>12</v>
      </c>
    </row>
    <row r="473" spans="1:8" x14ac:dyDescent="0.25">
      <c r="A473" t="s">
        <v>943</v>
      </c>
      <c r="B473" s="14" cm="1">
        <f t="array" ref="B473">_xll.GetLatestPrice(F473,,G473)</f>
        <v>581</v>
      </c>
      <c r="C473" s="1" cm="1">
        <f t="array" ref="C473">_xll.GetLatestPrice(F473,"Actual","AssessmentDate")</f>
        <v>45826.649791666663</v>
      </c>
      <c r="D473">
        <f t="shared" si="14"/>
        <v>2025</v>
      </c>
      <c r="E473">
        <f t="shared" si="15"/>
        <v>6</v>
      </c>
      <c r="F473" s="9" t="s">
        <v>944</v>
      </c>
      <c r="G473" s="9" t="s">
        <v>11</v>
      </c>
      <c r="H473" s="9" t="s">
        <v>12</v>
      </c>
    </row>
    <row r="474" spans="1:8" x14ac:dyDescent="0.25">
      <c r="A474" t="s">
        <v>945</v>
      </c>
      <c r="B474" s="14" cm="1">
        <f t="array" ref="B474">_xll.GetLatestPrice(F474,,G474)</f>
        <v>591</v>
      </c>
      <c r="C474" s="1" cm="1">
        <f t="array" ref="C474">_xll.GetLatestPrice(F474,"Actual","AssessmentDate")</f>
        <v>45826.649791666663</v>
      </c>
      <c r="D474">
        <f t="shared" si="14"/>
        <v>2025</v>
      </c>
      <c r="E474">
        <f t="shared" si="15"/>
        <v>6</v>
      </c>
      <c r="F474" s="9" t="s">
        <v>946</v>
      </c>
      <c r="G474" s="9" t="s">
        <v>11</v>
      </c>
      <c r="H474" s="9" t="s">
        <v>12</v>
      </c>
    </row>
    <row r="475" spans="1:8" x14ac:dyDescent="0.25">
      <c r="A475" t="s">
        <v>947</v>
      </c>
      <c r="B475" s="14" cm="1">
        <f t="array" ref="B475">_xll.GetLatestPrice(F475,,G475)</f>
        <v>602</v>
      </c>
      <c r="C475" s="1" cm="1">
        <f t="array" ref="C475">_xll.GetLatestPrice(F475,"Actual","AssessmentDate")</f>
        <v>45826.649791666663</v>
      </c>
      <c r="D475">
        <f t="shared" si="14"/>
        <v>2025</v>
      </c>
      <c r="E475">
        <f t="shared" si="15"/>
        <v>6</v>
      </c>
      <c r="F475" s="9" t="s">
        <v>948</v>
      </c>
      <c r="G475" s="9" t="s">
        <v>11</v>
      </c>
      <c r="H475" s="9" t="s">
        <v>12</v>
      </c>
    </row>
    <row r="476" spans="1:8" x14ac:dyDescent="0.25">
      <c r="A476" t="s">
        <v>949</v>
      </c>
      <c r="B476" s="14" cm="1">
        <f t="array" ref="B476">_xll.GetLatestPrice(F476,,G476)</f>
        <v>410</v>
      </c>
      <c r="C476" s="1" cm="1">
        <f t="array" ref="C476">_xll.GetLatestPrice(F476,"Actual","AssessmentDate")</f>
        <v>45826.645833333336</v>
      </c>
      <c r="D476">
        <f t="shared" si="14"/>
        <v>2025</v>
      </c>
      <c r="E476">
        <f t="shared" si="15"/>
        <v>6</v>
      </c>
      <c r="F476" s="9" t="s">
        <v>950</v>
      </c>
      <c r="G476" s="9" t="s">
        <v>11</v>
      </c>
      <c r="H476" s="9" t="s">
        <v>12</v>
      </c>
    </row>
    <row r="477" spans="1:8" x14ac:dyDescent="0.25">
      <c r="A477" t="s">
        <v>951</v>
      </c>
      <c r="B477" s="14" cm="1">
        <f t="array" ref="B477">_xll.GetLatestPrice(F477,,G477)</f>
        <v>305</v>
      </c>
      <c r="C477" s="1" cm="1">
        <f t="array" ref="C477">_xll.GetLatestPrice(F477,"Actual","AssessmentDate")</f>
        <v>45826.645833333336</v>
      </c>
      <c r="D477">
        <f t="shared" si="14"/>
        <v>2025</v>
      </c>
      <c r="E477">
        <f t="shared" si="15"/>
        <v>6</v>
      </c>
      <c r="F477" s="9" t="s">
        <v>952</v>
      </c>
      <c r="G477" s="9" t="s">
        <v>11</v>
      </c>
      <c r="H477" s="9" t="s">
        <v>12</v>
      </c>
    </row>
    <row r="478" spans="1:8" x14ac:dyDescent="0.25">
      <c r="A478" t="s">
        <v>953</v>
      </c>
      <c r="B478" s="14" cm="1">
        <f t="array" ref="B478">_xll.GetLatestPrice(F478,,G478)</f>
        <v>310</v>
      </c>
      <c r="C478" s="1" cm="1">
        <f t="array" ref="C478">_xll.GetLatestPrice(F478,"Actual","AssessmentDate")</f>
        <v>45826.645833333336</v>
      </c>
      <c r="D478">
        <f t="shared" si="14"/>
        <v>2025</v>
      </c>
      <c r="E478">
        <f t="shared" si="15"/>
        <v>6</v>
      </c>
      <c r="F478" s="9" t="s">
        <v>954</v>
      </c>
      <c r="G478" s="9" t="s">
        <v>11</v>
      </c>
      <c r="H478" s="9" t="s">
        <v>12</v>
      </c>
    </row>
    <row r="479" spans="1:8" x14ac:dyDescent="0.25">
      <c r="A479" t="s">
        <v>955</v>
      </c>
      <c r="B479" s="14" cm="1">
        <f t="array" ref="B479">_xll.GetLatestPrice(F479,,G479)</f>
        <v>410</v>
      </c>
      <c r="C479" s="1" cm="1">
        <f t="array" ref="C479">_xll.GetLatestPrice(F479,"Actual","AssessmentDate")</f>
        <v>45826.645833333336</v>
      </c>
      <c r="D479">
        <f t="shared" si="14"/>
        <v>2025</v>
      </c>
      <c r="E479">
        <f t="shared" si="15"/>
        <v>6</v>
      </c>
      <c r="F479" s="9" t="s">
        <v>956</v>
      </c>
      <c r="G479" s="9" t="s">
        <v>11</v>
      </c>
      <c r="H479" s="9" t="s">
        <v>12</v>
      </c>
    </row>
    <row r="480" spans="1:8" x14ac:dyDescent="0.25">
      <c r="A480" t="s">
        <v>957</v>
      </c>
      <c r="B480" s="14" cm="1">
        <f t="array" ref="B480">_xll.GetLatestPrice(F480,,G480)</f>
        <v>350</v>
      </c>
      <c r="C480" s="1" cm="1">
        <f t="array" ref="C480">_xll.GetLatestPrice(F480,"Actual","AssessmentDate")</f>
        <v>45826.645833333336</v>
      </c>
      <c r="D480">
        <f t="shared" si="14"/>
        <v>2025</v>
      </c>
      <c r="E480">
        <f t="shared" si="15"/>
        <v>6</v>
      </c>
      <c r="F480" s="9" t="s">
        <v>958</v>
      </c>
      <c r="G480" s="9" t="s">
        <v>11</v>
      </c>
      <c r="H480" s="9" t="s">
        <v>12</v>
      </c>
    </row>
    <row r="481" spans="1:8" x14ac:dyDescent="0.25">
      <c r="A481" t="s">
        <v>959</v>
      </c>
      <c r="B481" s="14" cm="1">
        <f t="array" ref="B481">_xll.GetLatestPrice(F481,,G481)</f>
        <v>350</v>
      </c>
      <c r="C481" s="1" cm="1">
        <f t="array" ref="C481">_xll.GetLatestPrice(F481,"Actual","AssessmentDate")</f>
        <v>45826.645833333336</v>
      </c>
      <c r="D481">
        <f t="shared" si="14"/>
        <v>2025</v>
      </c>
      <c r="E481">
        <f t="shared" si="15"/>
        <v>6</v>
      </c>
      <c r="F481" s="9" t="s">
        <v>960</v>
      </c>
      <c r="G481" s="9" t="s">
        <v>11</v>
      </c>
      <c r="H481" s="9" t="s">
        <v>12</v>
      </c>
    </row>
    <row r="482" spans="1:8" x14ac:dyDescent="0.25">
      <c r="A482" t="s">
        <v>961</v>
      </c>
      <c r="B482" s="14" cm="1">
        <f t="array" ref="B482">_xll.GetLatestPrice(F482,,G482)</f>
        <v>265</v>
      </c>
      <c r="C482" s="1" cm="1">
        <f t="array" ref="C482">_xll.GetLatestPrice(F482,"Actual","AssessmentDate")</f>
        <v>45826.645833333336</v>
      </c>
      <c r="D482">
        <f t="shared" si="14"/>
        <v>2025</v>
      </c>
      <c r="E482">
        <f t="shared" si="15"/>
        <v>6</v>
      </c>
      <c r="F482" s="9" t="s">
        <v>962</v>
      </c>
      <c r="G482" s="9" t="s">
        <v>11</v>
      </c>
      <c r="H482" s="9" t="s">
        <v>12</v>
      </c>
    </row>
    <row r="483" spans="1:8" x14ac:dyDescent="0.25">
      <c r="A483" t="s">
        <v>963</v>
      </c>
      <c r="B483" s="14" cm="1">
        <f t="array" ref="B483">_xll.GetLatestPrice(F483,,G483)</f>
        <v>275</v>
      </c>
      <c r="C483" s="1" cm="1">
        <f t="array" ref="C483">_xll.GetLatestPrice(F483,"Actual","AssessmentDate")</f>
        <v>45826.645833333336</v>
      </c>
      <c r="D483">
        <f t="shared" si="14"/>
        <v>2025</v>
      </c>
      <c r="E483">
        <f t="shared" si="15"/>
        <v>6</v>
      </c>
      <c r="F483" s="9" t="s">
        <v>964</v>
      </c>
      <c r="G483" s="9" t="s">
        <v>11</v>
      </c>
      <c r="H483" s="9" t="s">
        <v>12</v>
      </c>
    </row>
    <row r="484" spans="1:8" x14ac:dyDescent="0.25">
      <c r="A484" t="s">
        <v>965</v>
      </c>
      <c r="B484" s="14" cm="1">
        <f t="array" ref="B484">_xll.GetLatestPrice(F484,,G484)</f>
        <v>315</v>
      </c>
      <c r="C484" s="1" cm="1">
        <f t="array" ref="C484">_xll.GetLatestPrice(F484,"Actual","AssessmentDate")</f>
        <v>45826.645833333336</v>
      </c>
      <c r="D484">
        <f t="shared" si="14"/>
        <v>2025</v>
      </c>
      <c r="E484">
        <f t="shared" si="15"/>
        <v>6</v>
      </c>
      <c r="F484" s="9" t="s">
        <v>966</v>
      </c>
      <c r="G484" s="9" t="s">
        <v>11</v>
      </c>
      <c r="H484" s="9" t="s">
        <v>12</v>
      </c>
    </row>
    <row r="485" spans="1:8" x14ac:dyDescent="0.25">
      <c r="A485" t="s">
        <v>967</v>
      </c>
      <c r="B485" s="14" cm="1">
        <f t="array" ref="B485">_xll.GetLatestPrice(F485,,G485)</f>
        <v>300</v>
      </c>
      <c r="C485" s="1" cm="1">
        <f t="array" ref="C485">_xll.GetLatestPrice(F485,"Actual","AssessmentDate")</f>
        <v>45826.645833333336</v>
      </c>
      <c r="D485">
        <f t="shared" si="14"/>
        <v>2025</v>
      </c>
      <c r="E485">
        <f t="shared" si="15"/>
        <v>6</v>
      </c>
      <c r="F485" s="9" t="s">
        <v>968</v>
      </c>
      <c r="G485" s="9" t="s">
        <v>11</v>
      </c>
      <c r="H485" s="9" t="s">
        <v>12</v>
      </c>
    </row>
    <row r="486" spans="1:8" x14ac:dyDescent="0.25">
      <c r="A486" t="s">
        <v>969</v>
      </c>
      <c r="B486" s="14" cm="1">
        <f t="array" ref="B486">_xll.GetLatestPrice(F486,,G486)</f>
        <v>435</v>
      </c>
      <c r="C486" s="1" cm="1">
        <f t="array" ref="C486">_xll.GetLatestPrice(F486,"Actual","AssessmentDate")</f>
        <v>45826.645833333336</v>
      </c>
      <c r="D486">
        <f t="shared" si="14"/>
        <v>2025</v>
      </c>
      <c r="E486">
        <f t="shared" si="15"/>
        <v>6</v>
      </c>
      <c r="F486" s="9" t="s">
        <v>970</v>
      </c>
      <c r="G486" s="9" t="s">
        <v>11</v>
      </c>
      <c r="H486" s="9" t="s">
        <v>12</v>
      </c>
    </row>
    <row r="487" spans="1:8" x14ac:dyDescent="0.25">
      <c r="A487" t="s">
        <v>971</v>
      </c>
      <c r="B487" s="14" cm="1">
        <f t="array" ref="B487">_xll.GetLatestPrice(F487,,G487)</f>
        <v>380</v>
      </c>
      <c r="C487" s="1" cm="1">
        <f t="array" ref="C487">_xll.GetLatestPrice(F487,"Actual","AssessmentDate")</f>
        <v>45826.645833333336</v>
      </c>
      <c r="D487">
        <f t="shared" si="14"/>
        <v>2025</v>
      </c>
      <c r="E487">
        <f t="shared" si="15"/>
        <v>6</v>
      </c>
      <c r="F487" s="9" t="s">
        <v>972</v>
      </c>
      <c r="G487" s="9" t="s">
        <v>11</v>
      </c>
      <c r="H487" s="9" t="s">
        <v>12</v>
      </c>
    </row>
    <row r="488" spans="1:8" x14ac:dyDescent="0.25">
      <c r="A488" t="s">
        <v>973</v>
      </c>
      <c r="B488" s="14" cm="1">
        <f t="array" ref="B488">_xll.GetLatestPrice(F488,,G488)</f>
        <v>435</v>
      </c>
      <c r="C488" s="1" cm="1">
        <f t="array" ref="C488">_xll.GetLatestPrice(F488,"Actual","AssessmentDate")</f>
        <v>45826.645833333336</v>
      </c>
      <c r="D488">
        <f t="shared" si="14"/>
        <v>2025</v>
      </c>
      <c r="E488">
        <f t="shared" si="15"/>
        <v>6</v>
      </c>
      <c r="F488" s="9" t="s">
        <v>974</v>
      </c>
      <c r="G488" s="9" t="s">
        <v>11</v>
      </c>
      <c r="H488" s="9" t="s">
        <v>12</v>
      </c>
    </row>
    <row r="489" spans="1:8" x14ac:dyDescent="0.25">
      <c r="A489" t="s">
        <v>975</v>
      </c>
      <c r="B489" s="14" cm="1">
        <f t="array" ref="B489">_xll.GetLatestPrice(F489,,G489)</f>
        <v>380</v>
      </c>
      <c r="C489" s="1" cm="1">
        <f t="array" ref="C489">_xll.GetLatestPrice(F489,"Actual","AssessmentDate")</f>
        <v>45826.645833333336</v>
      </c>
      <c r="D489">
        <f t="shared" si="14"/>
        <v>2025</v>
      </c>
      <c r="E489">
        <f t="shared" si="15"/>
        <v>6</v>
      </c>
      <c r="F489" s="9" t="s">
        <v>976</v>
      </c>
      <c r="G489" s="9" t="s">
        <v>11</v>
      </c>
      <c r="H489" s="9" t="s">
        <v>12</v>
      </c>
    </row>
    <row r="490" spans="1:8" x14ac:dyDescent="0.25">
      <c r="A490" t="s">
        <v>977</v>
      </c>
      <c r="B490" s="14" cm="1">
        <f t="array" ref="B490">_xll.GetLatestPrice(F490,,G490)</f>
        <v>487</v>
      </c>
      <c r="C490" s="1" cm="1">
        <f t="array" ref="C490">_xll.GetLatestPrice(F490,"Actual","AssessmentDate")</f>
        <v>45826.649791666663</v>
      </c>
      <c r="D490">
        <f t="shared" si="14"/>
        <v>2025</v>
      </c>
      <c r="E490">
        <f t="shared" si="15"/>
        <v>6</v>
      </c>
      <c r="F490" s="9" t="s">
        <v>978</v>
      </c>
      <c r="G490" s="9" t="s">
        <v>11</v>
      </c>
      <c r="H490" s="9" t="s">
        <v>12</v>
      </c>
    </row>
    <row r="491" spans="1:8" x14ac:dyDescent="0.25">
      <c r="A491" t="s">
        <v>979</v>
      </c>
      <c r="B491" s="14" cm="1">
        <f t="array" ref="B491">_xll.GetLatestPrice(F491,,G491)</f>
        <v>521</v>
      </c>
      <c r="C491" s="1" cm="1">
        <f t="array" ref="C491">_xll.GetLatestPrice(F491,"Actual","AssessmentDate")</f>
        <v>45826.649791666663</v>
      </c>
      <c r="D491">
        <f t="shared" si="14"/>
        <v>2025</v>
      </c>
      <c r="E491">
        <f t="shared" si="15"/>
        <v>6</v>
      </c>
      <c r="F491" s="9" t="s">
        <v>980</v>
      </c>
      <c r="G491" s="9" t="s">
        <v>11</v>
      </c>
      <c r="H491" s="9" t="s">
        <v>12</v>
      </c>
    </row>
    <row r="492" spans="1:8" x14ac:dyDescent="0.25">
      <c r="A492" t="s">
        <v>981</v>
      </c>
      <c r="B492" s="14" cm="1">
        <f t="array" ref="B492">_xll.GetLatestPrice(F492,,G492)</f>
        <v>532</v>
      </c>
      <c r="C492" s="1" cm="1">
        <f t="array" ref="C492">_xll.GetLatestPrice(F492,"Actual","AssessmentDate")</f>
        <v>45826.649791666663</v>
      </c>
      <c r="D492">
        <f t="shared" si="14"/>
        <v>2025</v>
      </c>
      <c r="E492">
        <f t="shared" si="15"/>
        <v>6</v>
      </c>
      <c r="F492" s="9" t="s">
        <v>982</v>
      </c>
      <c r="G492" s="9" t="s">
        <v>11</v>
      </c>
      <c r="H492" s="9" t="s">
        <v>12</v>
      </c>
    </row>
    <row r="493" spans="1:8" x14ac:dyDescent="0.25">
      <c r="A493" t="s">
        <v>983</v>
      </c>
      <c r="B493" s="14" cm="1">
        <f t="array" ref="B493">_xll.GetLatestPrice(F493,,G493)</f>
        <v>545</v>
      </c>
      <c r="C493" s="1" cm="1">
        <f t="array" ref="C493">_xll.GetLatestPrice(F493,"Actual","AssessmentDate")</f>
        <v>45826.649791666663</v>
      </c>
      <c r="D493">
        <f t="shared" si="14"/>
        <v>2025</v>
      </c>
      <c r="E493">
        <f t="shared" si="15"/>
        <v>6</v>
      </c>
      <c r="F493" s="9" t="s">
        <v>984</v>
      </c>
      <c r="G493" s="9" t="s">
        <v>11</v>
      </c>
      <c r="H493" s="9" t="s">
        <v>12</v>
      </c>
    </row>
    <row r="494" spans="1:8" x14ac:dyDescent="0.25">
      <c r="A494" t="s">
        <v>985</v>
      </c>
      <c r="B494" s="14" cm="1">
        <f t="array" ref="B494">_xll.GetLatestPrice(F494,,G494)</f>
        <v>460</v>
      </c>
      <c r="C494" s="1" cm="1">
        <f t="array" ref="C494">_xll.GetLatestPrice(F494,"Actual","AssessmentDate")</f>
        <v>45826.645833333336</v>
      </c>
      <c r="D494">
        <f t="shared" si="14"/>
        <v>2025</v>
      </c>
      <c r="E494">
        <f t="shared" si="15"/>
        <v>6</v>
      </c>
      <c r="F494" s="9" t="s">
        <v>986</v>
      </c>
      <c r="G494" s="9" t="s">
        <v>11</v>
      </c>
      <c r="H494" s="9" t="s">
        <v>12</v>
      </c>
    </row>
    <row r="495" spans="1:8" x14ac:dyDescent="0.25">
      <c r="A495" t="s">
        <v>987</v>
      </c>
      <c r="B495" s="14" cm="1">
        <f t="array" ref="B495">_xll.GetLatestPrice(F495,,G495)</f>
        <v>315</v>
      </c>
      <c r="C495" s="1" cm="1">
        <f t="array" ref="C495">_xll.GetLatestPrice(F495,"Actual","AssessmentDate")</f>
        <v>45826.645833333336</v>
      </c>
      <c r="D495">
        <f t="shared" si="14"/>
        <v>2025</v>
      </c>
      <c r="E495">
        <f t="shared" si="15"/>
        <v>6</v>
      </c>
      <c r="F495" s="9" t="s">
        <v>988</v>
      </c>
      <c r="G495" s="9" t="s">
        <v>11</v>
      </c>
      <c r="H495" s="9" t="s">
        <v>12</v>
      </c>
    </row>
    <row r="496" spans="1:8" x14ac:dyDescent="0.25">
      <c r="A496" t="s">
        <v>989</v>
      </c>
      <c r="B496" s="14" cm="1">
        <f t="array" ref="B496">_xll.GetLatestPrice(F496,,G496)</f>
        <v>320</v>
      </c>
      <c r="C496" s="1" cm="1">
        <f t="array" ref="C496">_xll.GetLatestPrice(F496,"Actual","AssessmentDate")</f>
        <v>45826.645833333336</v>
      </c>
      <c r="D496">
        <f t="shared" si="14"/>
        <v>2025</v>
      </c>
      <c r="E496">
        <f t="shared" si="15"/>
        <v>6</v>
      </c>
      <c r="F496" s="9" t="s">
        <v>990</v>
      </c>
      <c r="G496" s="9" t="s">
        <v>11</v>
      </c>
      <c r="H496" s="9" t="s">
        <v>12</v>
      </c>
    </row>
    <row r="497" spans="1:8" x14ac:dyDescent="0.25">
      <c r="A497" t="s">
        <v>991</v>
      </c>
      <c r="B497" s="14" cm="1">
        <f t="array" ref="B497">_xll.GetLatestPrice(F497,,G497)</f>
        <v>410</v>
      </c>
      <c r="C497" s="1" cm="1">
        <f t="array" ref="C497">_xll.GetLatestPrice(F497,"Actual","AssessmentDate")</f>
        <v>45826.645833333336</v>
      </c>
      <c r="D497">
        <f t="shared" si="14"/>
        <v>2025</v>
      </c>
      <c r="E497">
        <f t="shared" si="15"/>
        <v>6</v>
      </c>
      <c r="F497" s="9" t="s">
        <v>992</v>
      </c>
      <c r="G497" s="9" t="s">
        <v>11</v>
      </c>
      <c r="H497" s="9" t="s">
        <v>12</v>
      </c>
    </row>
    <row r="498" spans="1:8" x14ac:dyDescent="0.25">
      <c r="A498" t="s">
        <v>993</v>
      </c>
      <c r="B498" s="14" cm="1">
        <f t="array" ref="B498">_xll.GetLatestPrice(F498,,G498)</f>
        <v>415</v>
      </c>
      <c r="C498" s="1" cm="1">
        <f t="array" ref="C498">_xll.GetLatestPrice(F498,"Actual","AssessmentDate")</f>
        <v>45826.645833333336</v>
      </c>
      <c r="D498">
        <f t="shared" si="14"/>
        <v>2025</v>
      </c>
      <c r="E498">
        <f t="shared" si="15"/>
        <v>6</v>
      </c>
      <c r="F498" s="9" t="s">
        <v>994</v>
      </c>
      <c r="G498" s="9" t="s">
        <v>11</v>
      </c>
      <c r="H498" s="9" t="s">
        <v>12</v>
      </c>
    </row>
    <row r="499" spans="1:8" x14ac:dyDescent="0.25">
      <c r="A499" t="s">
        <v>995</v>
      </c>
      <c r="B499" s="14" cm="1">
        <f t="array" ref="B499">_xll.GetLatestPrice(F499,,G499)</f>
        <v>385</v>
      </c>
      <c r="C499" s="1" cm="1">
        <f t="array" ref="C499">_xll.GetLatestPrice(F499,"Actual","AssessmentDate")</f>
        <v>45826.645833333336</v>
      </c>
      <c r="D499">
        <f t="shared" si="14"/>
        <v>2025</v>
      </c>
      <c r="E499">
        <f t="shared" si="15"/>
        <v>6</v>
      </c>
      <c r="F499" s="9" t="s">
        <v>996</v>
      </c>
      <c r="G499" s="9" t="s">
        <v>11</v>
      </c>
      <c r="H499" s="9" t="s">
        <v>12</v>
      </c>
    </row>
    <row r="500" spans="1:8" x14ac:dyDescent="0.25">
      <c r="A500" t="s">
        <v>997</v>
      </c>
      <c r="B500" s="14" cm="1">
        <f t="array" ref="B500">_xll.GetLatestPrice(F500,,G500)</f>
        <v>270</v>
      </c>
      <c r="C500" s="1" cm="1">
        <f t="array" ref="C500">_xll.GetLatestPrice(F500,"Actual","AssessmentDate")</f>
        <v>45826.645833333336</v>
      </c>
      <c r="D500">
        <f t="shared" si="14"/>
        <v>2025</v>
      </c>
      <c r="E500">
        <f t="shared" si="15"/>
        <v>6</v>
      </c>
      <c r="F500" s="9" t="s">
        <v>998</v>
      </c>
      <c r="G500" s="9" t="s">
        <v>11</v>
      </c>
      <c r="H500" s="9" t="s">
        <v>12</v>
      </c>
    </row>
    <row r="501" spans="1:8" x14ac:dyDescent="0.25">
      <c r="A501" t="s">
        <v>999</v>
      </c>
      <c r="B501" s="14" cm="1">
        <f t="array" ref="B501">_xll.GetLatestPrice(F501,,G501)</f>
        <v>290</v>
      </c>
      <c r="C501" s="1" cm="1">
        <f t="array" ref="C501">_xll.GetLatestPrice(F501,"Actual","AssessmentDate")</f>
        <v>45826.645833333336</v>
      </c>
      <c r="D501">
        <f t="shared" si="14"/>
        <v>2025</v>
      </c>
      <c r="E501">
        <f t="shared" si="15"/>
        <v>6</v>
      </c>
      <c r="F501" s="9" t="s">
        <v>1000</v>
      </c>
      <c r="G501" s="9" t="s">
        <v>11</v>
      </c>
      <c r="H501" s="9" t="s">
        <v>12</v>
      </c>
    </row>
    <row r="502" spans="1:8" x14ac:dyDescent="0.25">
      <c r="A502" t="s">
        <v>1001</v>
      </c>
      <c r="B502" s="14" cm="1">
        <f t="array" ref="B502">_xll.GetLatestPrice(F502,,G502)</f>
        <v>300</v>
      </c>
      <c r="C502" s="1" cm="1">
        <f t="array" ref="C502">_xll.GetLatestPrice(F502,"Actual","AssessmentDate")</f>
        <v>45826.645833333336</v>
      </c>
      <c r="D502">
        <f t="shared" si="14"/>
        <v>2025</v>
      </c>
      <c r="E502">
        <f t="shared" si="15"/>
        <v>6</v>
      </c>
      <c r="F502" s="9" t="s">
        <v>1002</v>
      </c>
      <c r="G502" s="9" t="s">
        <v>11</v>
      </c>
      <c r="H502" s="9" t="s">
        <v>12</v>
      </c>
    </row>
    <row r="503" spans="1:8" x14ac:dyDescent="0.25">
      <c r="A503" t="s">
        <v>1003</v>
      </c>
      <c r="B503" s="14" cm="1">
        <f t="array" ref="B503">_xll.GetLatestPrice(F503,,G503)</f>
        <v>370</v>
      </c>
      <c r="C503" s="1" cm="1">
        <f t="array" ref="C503">_xll.GetLatestPrice(F503,"Actual","AssessmentDate")</f>
        <v>45826.645833333336</v>
      </c>
      <c r="D503">
        <f t="shared" si="14"/>
        <v>2025</v>
      </c>
      <c r="E503">
        <f t="shared" si="15"/>
        <v>6</v>
      </c>
      <c r="F503" s="9" t="s">
        <v>1004</v>
      </c>
      <c r="G503" s="9" t="s">
        <v>11</v>
      </c>
      <c r="H503" s="9" t="s">
        <v>12</v>
      </c>
    </row>
    <row r="504" spans="1:8" x14ac:dyDescent="0.25">
      <c r="A504" t="s">
        <v>1005</v>
      </c>
      <c r="B504" s="14" cm="1">
        <f t="array" ref="B504">_xll.GetLatestPrice(F504,,G504)</f>
        <v>495</v>
      </c>
      <c r="C504" s="1" cm="1">
        <f t="array" ref="C504">_xll.GetLatestPrice(F504,"Actual","AssessmentDate")</f>
        <v>45826.645833333336</v>
      </c>
      <c r="D504">
        <f t="shared" si="14"/>
        <v>2025</v>
      </c>
      <c r="E504">
        <f t="shared" si="15"/>
        <v>6</v>
      </c>
      <c r="F504" s="9" t="s">
        <v>1006</v>
      </c>
      <c r="G504" s="9" t="s">
        <v>11</v>
      </c>
      <c r="H504" s="9" t="s">
        <v>12</v>
      </c>
    </row>
    <row r="505" spans="1:8" x14ac:dyDescent="0.25">
      <c r="A505" t="s">
        <v>1007</v>
      </c>
      <c r="B505" s="14" cm="1">
        <f t="array" ref="B505">_xll.GetLatestPrice(F505,,G505)</f>
        <v>440</v>
      </c>
      <c r="C505" s="1" cm="1">
        <f t="array" ref="C505">_xll.GetLatestPrice(F505,"Actual","AssessmentDate")</f>
        <v>45826.645833333336</v>
      </c>
      <c r="D505">
        <f t="shared" si="14"/>
        <v>2025</v>
      </c>
      <c r="E505">
        <f t="shared" si="15"/>
        <v>6</v>
      </c>
      <c r="F505" s="9" t="s">
        <v>1008</v>
      </c>
      <c r="G505" s="9" t="s">
        <v>11</v>
      </c>
      <c r="H505" s="9" t="s">
        <v>12</v>
      </c>
    </row>
    <row r="506" spans="1:8" x14ac:dyDescent="0.25">
      <c r="A506" t="s">
        <v>1009</v>
      </c>
      <c r="B506" s="14" cm="1">
        <f t="array" ref="B506">_xll.GetLatestPrice(F506,,G506)</f>
        <v>445</v>
      </c>
      <c r="C506" s="1" cm="1">
        <f t="array" ref="C506">_xll.GetLatestPrice(F506,"Actual","AssessmentDate")</f>
        <v>45826.645833333336</v>
      </c>
      <c r="D506">
        <f t="shared" si="14"/>
        <v>2025</v>
      </c>
      <c r="E506">
        <f t="shared" si="15"/>
        <v>6</v>
      </c>
      <c r="F506" s="9" t="s">
        <v>1010</v>
      </c>
      <c r="G506" s="9" t="s">
        <v>11</v>
      </c>
      <c r="H506" s="9" t="s">
        <v>12</v>
      </c>
    </row>
    <row r="507" spans="1:8" x14ac:dyDescent="0.25">
      <c r="A507" t="s">
        <v>1011</v>
      </c>
      <c r="B507" s="14" cm="1">
        <f t="array" ref="B507">_xll.GetLatestPrice(F507,,G507)</f>
        <v>455</v>
      </c>
      <c r="C507" s="1" cm="1">
        <f t="array" ref="C507">_xll.GetLatestPrice(F507,"Actual","AssessmentDate")</f>
        <v>45826.645833333336</v>
      </c>
      <c r="D507">
        <f t="shared" si="14"/>
        <v>2025</v>
      </c>
      <c r="E507">
        <f t="shared" si="15"/>
        <v>6</v>
      </c>
      <c r="F507" s="9" t="s">
        <v>1012</v>
      </c>
      <c r="G507" s="9" t="s">
        <v>11</v>
      </c>
      <c r="H507" s="9" t="s">
        <v>12</v>
      </c>
    </row>
    <row r="508" spans="1:8" x14ac:dyDescent="0.25">
      <c r="A508" t="s">
        <v>1013</v>
      </c>
      <c r="B508" s="14" cm="1">
        <f t="array" ref="B508">_xll.GetLatestPrice(F508,,G508)</f>
        <v>405</v>
      </c>
      <c r="C508" s="1" cm="1">
        <f t="array" ref="C508">_xll.GetLatestPrice(F508,"Actual","AssessmentDate")</f>
        <v>45826.645833333336</v>
      </c>
      <c r="D508">
        <f t="shared" si="14"/>
        <v>2025</v>
      </c>
      <c r="E508">
        <f t="shared" si="15"/>
        <v>6</v>
      </c>
      <c r="F508" s="9" t="s">
        <v>1014</v>
      </c>
      <c r="G508" s="9" t="s">
        <v>11</v>
      </c>
      <c r="H508" s="9" t="s">
        <v>12</v>
      </c>
    </row>
    <row r="509" spans="1:8" x14ac:dyDescent="0.25">
      <c r="A509" t="s">
        <v>1015</v>
      </c>
      <c r="B509" s="14" cm="1">
        <f t="array" ref="B509">_xll.GetLatestPrice(F509,,G509)</f>
        <v>290</v>
      </c>
      <c r="C509" s="1" cm="1">
        <f t="array" ref="C509">_xll.GetLatestPrice(F509,"Actual","AssessmentDate")</f>
        <v>45826.645833333336</v>
      </c>
      <c r="D509">
        <f t="shared" si="14"/>
        <v>2025</v>
      </c>
      <c r="E509">
        <f t="shared" si="15"/>
        <v>6</v>
      </c>
      <c r="F509" s="9" t="s">
        <v>1016</v>
      </c>
      <c r="G509" s="9" t="s">
        <v>11</v>
      </c>
      <c r="H509" s="9" t="s">
        <v>12</v>
      </c>
    </row>
    <row r="510" spans="1:8" x14ac:dyDescent="0.25">
      <c r="A510" t="s">
        <v>1017</v>
      </c>
      <c r="B510" s="14" cm="1">
        <f t="array" ref="B510">_xll.GetLatestPrice(F510,,G510)</f>
        <v>310</v>
      </c>
      <c r="C510" s="1" cm="1">
        <f t="array" ref="C510">_xll.GetLatestPrice(F510,"Actual","AssessmentDate")</f>
        <v>45826.645833333336</v>
      </c>
      <c r="D510">
        <f t="shared" si="14"/>
        <v>2025</v>
      </c>
      <c r="E510">
        <f t="shared" si="15"/>
        <v>6</v>
      </c>
      <c r="F510" s="9" t="s">
        <v>1018</v>
      </c>
      <c r="G510" s="9" t="s">
        <v>11</v>
      </c>
      <c r="H510" s="9" t="s">
        <v>12</v>
      </c>
    </row>
    <row r="511" spans="1:8" x14ac:dyDescent="0.25">
      <c r="A511" t="s">
        <v>1019</v>
      </c>
      <c r="B511" s="14" cm="1">
        <f t="array" ref="B511">_xll.GetLatestPrice(F511,,G511)</f>
        <v>360</v>
      </c>
      <c r="C511" s="1" cm="1">
        <f t="array" ref="C511">_xll.GetLatestPrice(F511,"Actual","AssessmentDate")</f>
        <v>45826.645833333336</v>
      </c>
      <c r="D511">
        <f t="shared" si="14"/>
        <v>2025</v>
      </c>
      <c r="E511">
        <f t="shared" si="15"/>
        <v>6</v>
      </c>
      <c r="F511" s="9" t="s">
        <v>1020</v>
      </c>
      <c r="G511" s="9" t="s">
        <v>11</v>
      </c>
      <c r="H511" s="9" t="s">
        <v>12</v>
      </c>
    </row>
    <row r="512" spans="1:8" x14ac:dyDescent="0.25">
      <c r="A512" t="s">
        <v>1021</v>
      </c>
      <c r="B512" s="14" cm="1">
        <f t="array" ref="B512">_xll.GetLatestPrice(F512,,G512)</f>
        <v>435</v>
      </c>
      <c r="C512" s="1" cm="1">
        <f t="array" ref="C512">_xll.GetLatestPrice(F512,"Actual","AssessmentDate")</f>
        <v>45826.645833333336</v>
      </c>
      <c r="D512">
        <f t="shared" si="14"/>
        <v>2025</v>
      </c>
      <c r="E512">
        <f t="shared" si="15"/>
        <v>6</v>
      </c>
      <c r="F512" s="9" t="s">
        <v>1022</v>
      </c>
      <c r="G512" s="9" t="s">
        <v>11</v>
      </c>
      <c r="H512" s="9" t="s">
        <v>12</v>
      </c>
    </row>
    <row r="513" spans="1:8" x14ac:dyDescent="0.25">
      <c r="A513" t="s">
        <v>1023</v>
      </c>
      <c r="B513" s="14" cm="1">
        <f t="array" ref="B513">_xll.GetLatestPrice(F513,,G513)</f>
        <v>325</v>
      </c>
      <c r="C513" s="1" cm="1">
        <f t="array" ref="C513">_xll.GetLatestPrice(F513,"Actual","AssessmentDate")</f>
        <v>45826.645833333336</v>
      </c>
      <c r="D513">
        <f t="shared" si="14"/>
        <v>2025</v>
      </c>
      <c r="E513">
        <f t="shared" si="15"/>
        <v>6</v>
      </c>
      <c r="F513" s="9" t="s">
        <v>1024</v>
      </c>
      <c r="G513" s="9" t="s">
        <v>11</v>
      </c>
      <c r="H513" s="9" t="s">
        <v>12</v>
      </c>
    </row>
    <row r="514" spans="1:8" x14ac:dyDescent="0.25">
      <c r="A514" t="s">
        <v>1025</v>
      </c>
      <c r="B514" s="14" cm="1">
        <f t="array" ref="B514">_xll.GetLatestPrice(F514,,G514)</f>
        <v>265</v>
      </c>
      <c r="C514" s="1" cm="1">
        <f t="array" ref="C514">_xll.GetLatestPrice(F514,"Actual","AssessmentDate")</f>
        <v>45826.645833333336</v>
      </c>
      <c r="D514">
        <f t="shared" si="14"/>
        <v>2025</v>
      </c>
      <c r="E514">
        <f t="shared" si="15"/>
        <v>6</v>
      </c>
      <c r="F514" s="9" t="s">
        <v>1026</v>
      </c>
      <c r="G514" s="9" t="s">
        <v>11</v>
      </c>
      <c r="H514" s="9" t="s">
        <v>12</v>
      </c>
    </row>
    <row r="515" spans="1:8" x14ac:dyDescent="0.25">
      <c r="A515" t="s">
        <v>1027</v>
      </c>
      <c r="B515" s="14" cm="1">
        <f t="array" ref="B515">_xll.GetLatestPrice(F515,,G515)</f>
        <v>270</v>
      </c>
      <c r="C515" s="1" cm="1">
        <f t="array" ref="C515">_xll.GetLatestPrice(F515,"Actual","AssessmentDate")</f>
        <v>45826.645833333336</v>
      </c>
      <c r="D515">
        <f t="shared" ref="D515:D578" si="16">YEAR(C515)</f>
        <v>2025</v>
      </c>
      <c r="E515">
        <f t="shared" ref="E515:E578" si="17">MONTH(C515)</f>
        <v>6</v>
      </c>
      <c r="F515" s="9" t="s">
        <v>1028</v>
      </c>
      <c r="G515" s="9" t="s">
        <v>11</v>
      </c>
      <c r="H515" s="9" t="s">
        <v>12</v>
      </c>
    </row>
    <row r="516" spans="1:8" x14ac:dyDescent="0.25">
      <c r="A516" t="s">
        <v>1029</v>
      </c>
      <c r="B516" s="14" cm="1">
        <f t="array" ref="B516">_xll.GetLatestPrice(F516,,G516)</f>
        <v>270</v>
      </c>
      <c r="C516" s="1" cm="1">
        <f t="array" ref="C516">_xll.GetLatestPrice(F516,"Actual","AssessmentDate")</f>
        <v>45826.645833333336</v>
      </c>
      <c r="D516">
        <f t="shared" si="16"/>
        <v>2025</v>
      </c>
      <c r="E516">
        <f t="shared" si="17"/>
        <v>6</v>
      </c>
      <c r="F516" s="9" t="s">
        <v>1030</v>
      </c>
      <c r="G516" s="9" t="s">
        <v>11</v>
      </c>
      <c r="H516" s="9" t="s">
        <v>12</v>
      </c>
    </row>
    <row r="517" spans="1:8" x14ac:dyDescent="0.25">
      <c r="A517" t="s">
        <v>1031</v>
      </c>
      <c r="B517" s="14" cm="1">
        <f t="array" ref="B517">_xll.GetLatestPrice(F517,,G517)</f>
        <v>355</v>
      </c>
      <c r="C517" s="1" cm="1">
        <f t="array" ref="C517">_xll.GetLatestPrice(F517,"Actual","AssessmentDate")</f>
        <v>45826.645833333336</v>
      </c>
      <c r="D517">
        <f t="shared" si="16"/>
        <v>2025</v>
      </c>
      <c r="E517">
        <f t="shared" si="17"/>
        <v>6</v>
      </c>
      <c r="F517" s="9" t="s">
        <v>1032</v>
      </c>
      <c r="G517" s="9" t="s">
        <v>11</v>
      </c>
      <c r="H517" s="9" t="s">
        <v>12</v>
      </c>
    </row>
    <row r="518" spans="1:8" x14ac:dyDescent="0.25">
      <c r="A518" t="s">
        <v>1033</v>
      </c>
      <c r="B518" s="14" cm="1">
        <f t="array" ref="B518">_xll.GetLatestPrice(F518,,G518)</f>
        <v>480</v>
      </c>
      <c r="C518" s="1" cm="1">
        <f t="array" ref="C518">_xll.GetLatestPrice(F518,"Actual","AssessmentDate")</f>
        <v>45826.645833333336</v>
      </c>
      <c r="D518">
        <f t="shared" si="16"/>
        <v>2025</v>
      </c>
      <c r="E518">
        <f t="shared" si="17"/>
        <v>6</v>
      </c>
      <c r="F518" s="9" t="s">
        <v>1034</v>
      </c>
      <c r="G518" s="9" t="s">
        <v>11</v>
      </c>
      <c r="H518" s="9" t="s">
        <v>12</v>
      </c>
    </row>
    <row r="519" spans="1:8" x14ac:dyDescent="0.25">
      <c r="A519" t="s">
        <v>1035</v>
      </c>
      <c r="B519" s="14" cm="1">
        <f t="array" ref="B519">_xll.GetLatestPrice(F519,,G519)</f>
        <v>420</v>
      </c>
      <c r="C519" s="1" cm="1">
        <f t="array" ref="C519">_xll.GetLatestPrice(F519,"Actual","AssessmentDate")</f>
        <v>45826.645833333336</v>
      </c>
      <c r="D519">
        <f t="shared" si="16"/>
        <v>2025</v>
      </c>
      <c r="E519">
        <f t="shared" si="17"/>
        <v>6</v>
      </c>
      <c r="F519" s="9" t="s">
        <v>1036</v>
      </c>
      <c r="G519" s="9" t="s">
        <v>11</v>
      </c>
      <c r="H519" s="9" t="s">
        <v>12</v>
      </c>
    </row>
    <row r="520" spans="1:8" x14ac:dyDescent="0.25">
      <c r="A520" t="s">
        <v>1037</v>
      </c>
      <c r="B520" s="14" cm="1">
        <f t="array" ref="B520">_xll.GetLatestPrice(F520,,G520)</f>
        <v>430</v>
      </c>
      <c r="C520" s="1" cm="1">
        <f t="array" ref="C520">_xll.GetLatestPrice(F520,"Actual","AssessmentDate")</f>
        <v>45826.645833333336</v>
      </c>
      <c r="D520">
        <f t="shared" si="16"/>
        <v>2025</v>
      </c>
      <c r="E520">
        <f t="shared" si="17"/>
        <v>6</v>
      </c>
      <c r="F520" s="9" t="s">
        <v>1038</v>
      </c>
      <c r="G520" s="9" t="s">
        <v>11</v>
      </c>
      <c r="H520" s="9" t="s">
        <v>12</v>
      </c>
    </row>
    <row r="521" spans="1:8" x14ac:dyDescent="0.25">
      <c r="A521" t="s">
        <v>1039</v>
      </c>
      <c r="B521" s="14" cm="1">
        <f t="array" ref="B521">_xll.GetLatestPrice(F521,,G521)</f>
        <v>395</v>
      </c>
      <c r="C521" s="1" cm="1">
        <f t="array" ref="C521">_xll.GetLatestPrice(F521,"Actual","AssessmentDate")</f>
        <v>45826.645833333336</v>
      </c>
      <c r="D521">
        <f t="shared" si="16"/>
        <v>2025</v>
      </c>
      <c r="E521">
        <f t="shared" si="17"/>
        <v>6</v>
      </c>
      <c r="F521" s="9" t="s">
        <v>1040</v>
      </c>
      <c r="G521" s="9" t="s">
        <v>11</v>
      </c>
      <c r="H521" s="9" t="s">
        <v>12</v>
      </c>
    </row>
    <row r="522" spans="1:8" x14ac:dyDescent="0.25">
      <c r="A522" t="s">
        <v>1041</v>
      </c>
      <c r="B522" s="14" cm="1">
        <f t="array" ref="B522">_xll.GetLatestPrice(F522,,G522)</f>
        <v>395</v>
      </c>
      <c r="C522" s="1" cm="1">
        <f t="array" ref="C522">_xll.GetLatestPrice(F522,"Actual","AssessmentDate")</f>
        <v>45826.645833333336</v>
      </c>
      <c r="D522">
        <f t="shared" si="16"/>
        <v>2025</v>
      </c>
      <c r="E522">
        <f t="shared" si="17"/>
        <v>6</v>
      </c>
      <c r="F522" s="9" t="s">
        <v>1042</v>
      </c>
      <c r="G522" s="9" t="s">
        <v>11</v>
      </c>
      <c r="H522" s="9" t="s">
        <v>12</v>
      </c>
    </row>
    <row r="523" spans="1:8" x14ac:dyDescent="0.25">
      <c r="A523" t="s">
        <v>1043</v>
      </c>
      <c r="B523" s="14" cm="1">
        <f t="array" ref="B523">_xll.GetLatestPrice(F523,,G523)</f>
        <v>315</v>
      </c>
      <c r="C523" s="1" cm="1">
        <f t="array" ref="C523">_xll.GetLatestPrice(F523,"Actual","AssessmentDate")</f>
        <v>45826.645833333336</v>
      </c>
      <c r="D523">
        <f t="shared" si="16"/>
        <v>2025</v>
      </c>
      <c r="E523">
        <f t="shared" si="17"/>
        <v>6</v>
      </c>
      <c r="F523" s="9" t="s">
        <v>1044</v>
      </c>
      <c r="G523" s="9" t="s">
        <v>11</v>
      </c>
      <c r="H523" s="9" t="s">
        <v>12</v>
      </c>
    </row>
    <row r="524" spans="1:8" x14ac:dyDescent="0.25">
      <c r="A524" t="s">
        <v>1045</v>
      </c>
      <c r="B524" s="14" cm="1">
        <f t="array" ref="B524">_xll.GetLatestPrice(F524,,G524)</f>
        <v>300</v>
      </c>
      <c r="C524" s="1" cm="1">
        <f t="array" ref="C524">_xll.GetLatestPrice(F524,"Actual","AssessmentDate")</f>
        <v>45826.645833333336</v>
      </c>
      <c r="D524">
        <f t="shared" si="16"/>
        <v>2025</v>
      </c>
      <c r="E524">
        <f t="shared" si="17"/>
        <v>6</v>
      </c>
      <c r="F524" s="9" t="s">
        <v>1046</v>
      </c>
      <c r="G524" s="9" t="s">
        <v>11</v>
      </c>
      <c r="H524" s="9" t="s">
        <v>12</v>
      </c>
    </row>
    <row r="525" spans="1:8" x14ac:dyDescent="0.25">
      <c r="A525" t="s">
        <v>1047</v>
      </c>
      <c r="B525" s="14" cm="1">
        <f t="array" ref="B525">_xll.GetLatestPrice(F525,,G525)</f>
        <v>450</v>
      </c>
      <c r="C525" s="1" cm="1">
        <f t="array" ref="C525">_xll.GetLatestPrice(F525,"Actual","AssessmentDate")</f>
        <v>45826.645833333336</v>
      </c>
      <c r="D525">
        <f t="shared" si="16"/>
        <v>2025</v>
      </c>
      <c r="E525">
        <f t="shared" si="17"/>
        <v>6</v>
      </c>
      <c r="F525" s="9" t="s">
        <v>1048</v>
      </c>
      <c r="G525" s="9" t="s">
        <v>11</v>
      </c>
      <c r="H525" s="9" t="s">
        <v>12</v>
      </c>
    </row>
    <row r="526" spans="1:8" x14ac:dyDescent="0.25">
      <c r="A526" t="s">
        <v>1049</v>
      </c>
      <c r="B526" s="14" cm="1">
        <f t="array" ref="B526">_xll.GetLatestPrice(F526,,G526)</f>
        <v>750</v>
      </c>
      <c r="C526" s="1" cm="1">
        <f t="array" ref="C526">_xll.GetLatestPrice(F526,"Actual","AssessmentDate")</f>
        <v>45826.645833333336</v>
      </c>
      <c r="D526">
        <f t="shared" si="16"/>
        <v>2025</v>
      </c>
      <c r="E526">
        <f t="shared" si="17"/>
        <v>6</v>
      </c>
      <c r="F526" s="9" t="s">
        <v>1050</v>
      </c>
      <c r="G526" s="9" t="s">
        <v>11</v>
      </c>
      <c r="H526" s="9" t="s">
        <v>12</v>
      </c>
    </row>
    <row r="527" spans="1:8" x14ac:dyDescent="0.25">
      <c r="A527" t="s">
        <v>1051</v>
      </c>
      <c r="B527" s="14" cm="1">
        <f t="array" ref="B527">_xll.GetLatestPrice(F527,,G527)</f>
        <v>335</v>
      </c>
      <c r="C527" s="1" cm="1">
        <f t="array" ref="C527">_xll.GetLatestPrice(F527,"Actual","AssessmentDate")</f>
        <v>45826.645833333336</v>
      </c>
      <c r="D527">
        <f t="shared" si="16"/>
        <v>2025</v>
      </c>
      <c r="E527">
        <f t="shared" si="17"/>
        <v>6</v>
      </c>
      <c r="F527" s="9" t="s">
        <v>1052</v>
      </c>
      <c r="G527" s="9" t="s">
        <v>11</v>
      </c>
      <c r="H527" s="9" t="s">
        <v>12</v>
      </c>
    </row>
    <row r="528" spans="1:8" x14ac:dyDescent="0.25">
      <c r="A528" t="s">
        <v>1053</v>
      </c>
      <c r="B528" s="14" cm="1">
        <f t="array" ref="B528">_xll.GetLatestPrice(F528,,G528)</f>
        <v>265</v>
      </c>
      <c r="C528" s="1" cm="1">
        <f t="array" ref="C528">_xll.GetLatestPrice(F528,"Actual","AssessmentDate")</f>
        <v>45826.645833333336</v>
      </c>
      <c r="D528">
        <f t="shared" si="16"/>
        <v>2025</v>
      </c>
      <c r="E528">
        <f t="shared" si="17"/>
        <v>6</v>
      </c>
      <c r="F528" s="9" t="s">
        <v>1054</v>
      </c>
      <c r="G528" s="9" t="s">
        <v>11</v>
      </c>
      <c r="H528" s="9" t="s">
        <v>12</v>
      </c>
    </row>
    <row r="529" spans="1:8" x14ac:dyDescent="0.25">
      <c r="A529" t="s">
        <v>1055</v>
      </c>
      <c r="B529" s="14" cm="1">
        <f t="array" ref="B529">_xll.GetLatestPrice(F529,,G529)</f>
        <v>270</v>
      </c>
      <c r="C529" s="1" cm="1">
        <f t="array" ref="C529">_xll.GetLatestPrice(F529,"Actual","AssessmentDate")</f>
        <v>45826.645833333336</v>
      </c>
      <c r="D529">
        <f t="shared" si="16"/>
        <v>2025</v>
      </c>
      <c r="E529">
        <f t="shared" si="17"/>
        <v>6</v>
      </c>
      <c r="F529" s="9" t="s">
        <v>1056</v>
      </c>
      <c r="G529" s="9" t="s">
        <v>11</v>
      </c>
      <c r="H529" s="9" t="s">
        <v>12</v>
      </c>
    </row>
    <row r="530" spans="1:8" x14ac:dyDescent="0.25">
      <c r="A530" t="s">
        <v>1057</v>
      </c>
      <c r="B530" s="14" cm="1">
        <f t="array" ref="B530">_xll.GetLatestPrice(F530,,G530)</f>
        <v>285</v>
      </c>
      <c r="C530" s="1" cm="1">
        <f t="array" ref="C530">_xll.GetLatestPrice(F530,"Actual","AssessmentDate")</f>
        <v>45826.645833333336</v>
      </c>
      <c r="D530">
        <f t="shared" si="16"/>
        <v>2025</v>
      </c>
      <c r="E530">
        <f t="shared" si="17"/>
        <v>6</v>
      </c>
      <c r="F530" s="9" t="s">
        <v>1058</v>
      </c>
      <c r="G530" s="9" t="s">
        <v>11</v>
      </c>
      <c r="H530" s="9" t="s">
        <v>12</v>
      </c>
    </row>
    <row r="531" spans="1:8" x14ac:dyDescent="0.25">
      <c r="A531" t="s">
        <v>1059</v>
      </c>
      <c r="B531" s="14" cm="1">
        <f t="array" ref="B531">_xll.GetLatestPrice(F531,,G531)</f>
        <v>510</v>
      </c>
      <c r="C531" s="1" cm="1">
        <f t="array" ref="C531">_xll.GetLatestPrice(F531,"Actual","AssessmentDate")</f>
        <v>45826.645833333336</v>
      </c>
      <c r="D531">
        <f t="shared" si="16"/>
        <v>2025</v>
      </c>
      <c r="E531">
        <f t="shared" si="17"/>
        <v>6</v>
      </c>
      <c r="F531" s="9" t="s">
        <v>1060</v>
      </c>
      <c r="G531" s="9" t="s">
        <v>11</v>
      </c>
      <c r="H531" s="9" t="s">
        <v>12</v>
      </c>
    </row>
    <row r="532" spans="1:8" x14ac:dyDescent="0.25">
      <c r="A532" t="s">
        <v>1061</v>
      </c>
      <c r="B532" s="14" cm="1">
        <f t="array" ref="B532">_xll.GetLatestPrice(F532,,G532)</f>
        <v>485</v>
      </c>
      <c r="C532" s="1" cm="1">
        <f t="array" ref="C532">_xll.GetLatestPrice(F532,"Actual","AssessmentDate")</f>
        <v>45826.645833333336</v>
      </c>
      <c r="D532">
        <f t="shared" si="16"/>
        <v>2025</v>
      </c>
      <c r="E532">
        <f t="shared" si="17"/>
        <v>6</v>
      </c>
      <c r="F532" s="9" t="s">
        <v>1062</v>
      </c>
      <c r="G532" s="9" t="s">
        <v>11</v>
      </c>
      <c r="H532" s="9" t="s">
        <v>12</v>
      </c>
    </row>
    <row r="533" spans="1:8" x14ac:dyDescent="0.25">
      <c r="A533" t="s">
        <v>1063</v>
      </c>
      <c r="B533" s="14" cm="1">
        <f t="array" ref="B533">_xll.GetLatestPrice(F533,,G533)</f>
        <v>420</v>
      </c>
      <c r="C533" s="1" cm="1">
        <f t="array" ref="C533">_xll.GetLatestPrice(F533,"Actual","AssessmentDate")</f>
        <v>45826.645833333336</v>
      </c>
      <c r="D533">
        <f t="shared" si="16"/>
        <v>2025</v>
      </c>
      <c r="E533">
        <f t="shared" si="17"/>
        <v>6</v>
      </c>
      <c r="F533" s="9" t="s">
        <v>1064</v>
      </c>
      <c r="G533" s="9" t="s">
        <v>11</v>
      </c>
      <c r="H533" s="9" t="s">
        <v>12</v>
      </c>
    </row>
    <row r="534" spans="1:8" x14ac:dyDescent="0.25">
      <c r="A534" t="s">
        <v>1065</v>
      </c>
      <c r="B534" s="14" cm="1">
        <f t="array" ref="B534">_xll.GetLatestPrice(F534,,G534)</f>
        <v>430</v>
      </c>
      <c r="C534" s="1" cm="1">
        <f t="array" ref="C534">_xll.GetLatestPrice(F534,"Actual","AssessmentDate")</f>
        <v>45826.645833333336</v>
      </c>
      <c r="D534">
        <f t="shared" si="16"/>
        <v>2025</v>
      </c>
      <c r="E534">
        <f t="shared" si="17"/>
        <v>6</v>
      </c>
      <c r="F534" s="9" t="s">
        <v>1066</v>
      </c>
      <c r="G534" s="9" t="s">
        <v>11</v>
      </c>
      <c r="H534" s="9" t="s">
        <v>12</v>
      </c>
    </row>
    <row r="535" spans="1:8" x14ac:dyDescent="0.25">
      <c r="A535" t="s">
        <v>1067</v>
      </c>
      <c r="B535" s="14" cm="1">
        <f t="array" ref="B535">_xll.GetLatestPrice(F535,,G535)</f>
        <v>395</v>
      </c>
      <c r="C535" s="1" cm="1">
        <f t="array" ref="C535">_xll.GetLatestPrice(F535,"Actual","AssessmentDate")</f>
        <v>45826.645833333336</v>
      </c>
      <c r="D535">
        <f t="shared" si="16"/>
        <v>2025</v>
      </c>
      <c r="E535">
        <f t="shared" si="17"/>
        <v>6</v>
      </c>
      <c r="F535" s="9" t="s">
        <v>1068</v>
      </c>
      <c r="G535" s="9" t="s">
        <v>11</v>
      </c>
      <c r="H535" s="9" t="s">
        <v>12</v>
      </c>
    </row>
    <row r="536" spans="1:8" x14ac:dyDescent="0.25">
      <c r="A536" t="s">
        <v>1069</v>
      </c>
      <c r="B536" s="14" cm="1">
        <f t="array" ref="B536">_xll.GetLatestPrice(F536,,G536)</f>
        <v>539</v>
      </c>
      <c r="C536" s="1" cm="1">
        <f t="array" ref="C536">_xll.GetLatestPrice(F536,"Actual","AssessmentDate")</f>
        <v>45826.649791666663</v>
      </c>
      <c r="D536">
        <f t="shared" si="16"/>
        <v>2025</v>
      </c>
      <c r="E536">
        <f t="shared" si="17"/>
        <v>6</v>
      </c>
      <c r="F536" s="9" t="s">
        <v>1070</v>
      </c>
      <c r="G536" s="9" t="s">
        <v>11</v>
      </c>
      <c r="H536" s="9" t="s">
        <v>12</v>
      </c>
    </row>
    <row r="537" spans="1:8" x14ac:dyDescent="0.25">
      <c r="A537" t="s">
        <v>1071</v>
      </c>
      <c r="B537" s="14" cm="1">
        <f t="array" ref="B537">_xll.GetLatestPrice(F537,,G537)</f>
        <v>565</v>
      </c>
      <c r="C537" s="1" cm="1">
        <f t="array" ref="C537">_xll.GetLatestPrice(F537,"Actual","AssessmentDate")</f>
        <v>45826.649791666663</v>
      </c>
      <c r="D537">
        <f t="shared" si="16"/>
        <v>2025</v>
      </c>
      <c r="E537">
        <f t="shared" si="17"/>
        <v>6</v>
      </c>
      <c r="F537" s="9" t="s">
        <v>1072</v>
      </c>
      <c r="G537" s="9" t="s">
        <v>11</v>
      </c>
      <c r="H537" s="9" t="s">
        <v>12</v>
      </c>
    </row>
    <row r="538" spans="1:8" x14ac:dyDescent="0.25">
      <c r="A538" t="s">
        <v>1073</v>
      </c>
      <c r="B538" s="14" cm="1">
        <f t="array" ref="B538">_xll.GetLatestPrice(F538,,G538)</f>
        <v>604</v>
      </c>
      <c r="C538" s="1" cm="1">
        <f t="array" ref="C538">_xll.GetLatestPrice(F538,"Actual","AssessmentDate")</f>
        <v>45826.649791666663</v>
      </c>
      <c r="D538">
        <f t="shared" si="16"/>
        <v>2025</v>
      </c>
      <c r="E538">
        <f t="shared" si="17"/>
        <v>6</v>
      </c>
      <c r="F538" s="9" t="s">
        <v>1074</v>
      </c>
      <c r="G538" s="9" t="s">
        <v>11</v>
      </c>
      <c r="H538" s="9" t="s">
        <v>12</v>
      </c>
    </row>
    <row r="539" spans="1:8" x14ac:dyDescent="0.25">
      <c r="A539" t="s">
        <v>1075</v>
      </c>
      <c r="B539" s="14" cm="1">
        <f t="array" ref="B539">_xll.GetLatestPrice(F539,,G539)</f>
        <v>770</v>
      </c>
      <c r="C539" s="1" cm="1">
        <f t="array" ref="C539">_xll.GetLatestPrice(F539,"Actual","AssessmentDate")</f>
        <v>45826.645833333336</v>
      </c>
      <c r="D539">
        <f t="shared" si="16"/>
        <v>2025</v>
      </c>
      <c r="E539">
        <f t="shared" si="17"/>
        <v>6</v>
      </c>
      <c r="F539" s="9" t="s">
        <v>1076</v>
      </c>
      <c r="G539" s="9" t="s">
        <v>11</v>
      </c>
      <c r="H539" s="9" t="s">
        <v>12</v>
      </c>
    </row>
    <row r="540" spans="1:8" x14ac:dyDescent="0.25">
      <c r="A540" t="s">
        <v>1077</v>
      </c>
      <c r="B540" s="14" cm="1">
        <f t="array" ref="B540">_xll.GetLatestPrice(F540,,G540)</f>
        <v>545</v>
      </c>
      <c r="C540" s="1" cm="1">
        <f t="array" ref="C540">_xll.GetLatestPrice(F540,"Actual","AssessmentDate")</f>
        <v>45826.645833333336</v>
      </c>
      <c r="D540">
        <f t="shared" si="16"/>
        <v>2025</v>
      </c>
      <c r="E540">
        <f t="shared" si="17"/>
        <v>6</v>
      </c>
      <c r="F540" s="9" t="s">
        <v>1078</v>
      </c>
      <c r="G540" s="9" t="s">
        <v>11</v>
      </c>
      <c r="H540" s="9" t="s">
        <v>12</v>
      </c>
    </row>
    <row r="541" spans="1:8" x14ac:dyDescent="0.25">
      <c r="A541" t="s">
        <v>1079</v>
      </c>
      <c r="B541" s="14" cm="1">
        <f t="array" ref="B541">_xll.GetLatestPrice(F541,,G541)</f>
        <v>380</v>
      </c>
      <c r="C541" s="1" cm="1">
        <f t="array" ref="C541">_xll.GetLatestPrice(F541,"Actual","AssessmentDate")</f>
        <v>45826.645833333336</v>
      </c>
      <c r="D541">
        <f t="shared" si="16"/>
        <v>2025</v>
      </c>
      <c r="E541">
        <f t="shared" si="17"/>
        <v>6</v>
      </c>
      <c r="F541" s="9" t="s">
        <v>1080</v>
      </c>
      <c r="G541" s="9" t="s">
        <v>11</v>
      </c>
      <c r="H541" s="9" t="s">
        <v>12</v>
      </c>
    </row>
    <row r="542" spans="1:8" x14ac:dyDescent="0.25">
      <c r="A542" t="s">
        <v>1081</v>
      </c>
      <c r="B542" s="14" cm="1">
        <f t="array" ref="B542">_xll.GetLatestPrice(F542,,G542)</f>
        <v>965</v>
      </c>
      <c r="C542" s="1" cm="1">
        <f t="array" ref="C542">_xll.GetLatestPrice(F542,"Actual","AssessmentDate")</f>
        <v>45826.645833333336</v>
      </c>
      <c r="D542">
        <f t="shared" si="16"/>
        <v>2025</v>
      </c>
      <c r="E542">
        <f t="shared" si="17"/>
        <v>6</v>
      </c>
      <c r="F542" s="9" t="s">
        <v>1082</v>
      </c>
      <c r="G542" s="9" t="s">
        <v>11</v>
      </c>
      <c r="H542" s="9" t="s">
        <v>12</v>
      </c>
    </row>
    <row r="543" spans="1:8" x14ac:dyDescent="0.25">
      <c r="A543" t="s">
        <v>1083</v>
      </c>
      <c r="B543" s="14" cm="1">
        <f t="array" ref="B543">_xll.GetLatestPrice(F543,,G543)</f>
        <v>735</v>
      </c>
      <c r="C543" s="1" cm="1">
        <f t="array" ref="C543">_xll.GetLatestPrice(F543,"Actual","AssessmentDate")</f>
        <v>45826.645833333336</v>
      </c>
      <c r="D543">
        <f t="shared" si="16"/>
        <v>2025</v>
      </c>
      <c r="E543">
        <f t="shared" si="17"/>
        <v>6</v>
      </c>
      <c r="F543" s="9" t="s">
        <v>1084</v>
      </c>
      <c r="G543" s="9" t="s">
        <v>11</v>
      </c>
      <c r="H543" s="9" t="s">
        <v>12</v>
      </c>
    </row>
    <row r="544" spans="1:8" x14ac:dyDescent="0.25">
      <c r="A544" t="s">
        <v>1085</v>
      </c>
      <c r="B544" s="14" cm="1">
        <f t="array" ref="B544">_xll.GetLatestPrice(F544,,G544)</f>
        <v>720</v>
      </c>
      <c r="C544" s="1" cm="1">
        <f t="array" ref="C544">_xll.GetLatestPrice(F544,"Actual","AssessmentDate")</f>
        <v>45826.645833333336</v>
      </c>
      <c r="D544">
        <f t="shared" si="16"/>
        <v>2025</v>
      </c>
      <c r="E544">
        <f t="shared" si="17"/>
        <v>6</v>
      </c>
      <c r="F544" s="9" t="s">
        <v>1086</v>
      </c>
      <c r="G544" s="9" t="s">
        <v>11</v>
      </c>
      <c r="H544" s="9" t="s">
        <v>12</v>
      </c>
    </row>
    <row r="545" spans="1:8" x14ac:dyDescent="0.25">
      <c r="A545" t="s">
        <v>1087</v>
      </c>
      <c r="B545" s="14" cm="1">
        <f t="array" ref="B545">_xll.GetLatestPrice(F545,,G545)</f>
        <v>725</v>
      </c>
      <c r="C545" s="1" cm="1">
        <f t="array" ref="C545">_xll.GetLatestPrice(F545,"Actual","AssessmentDate")</f>
        <v>45826.645833333336</v>
      </c>
      <c r="D545">
        <f t="shared" si="16"/>
        <v>2025</v>
      </c>
      <c r="E545">
        <f t="shared" si="17"/>
        <v>6</v>
      </c>
      <c r="F545" s="9" t="s">
        <v>1088</v>
      </c>
      <c r="G545" s="9" t="s">
        <v>11</v>
      </c>
      <c r="H545" s="9" t="s">
        <v>12</v>
      </c>
    </row>
    <row r="546" spans="1:8" x14ac:dyDescent="0.25">
      <c r="A546" t="s">
        <v>1089</v>
      </c>
      <c r="B546" s="14" cm="1">
        <f t="array" ref="B546">_xll.GetLatestPrice(F546,,G546)</f>
        <v>900</v>
      </c>
      <c r="C546" s="1" cm="1">
        <f t="array" ref="C546">_xll.GetLatestPrice(F546,"Actual","AssessmentDate")</f>
        <v>45826.645833333336</v>
      </c>
      <c r="D546">
        <f t="shared" si="16"/>
        <v>2025</v>
      </c>
      <c r="E546">
        <f t="shared" si="17"/>
        <v>6</v>
      </c>
      <c r="F546" s="9" t="s">
        <v>1090</v>
      </c>
      <c r="G546" s="9" t="s">
        <v>11</v>
      </c>
      <c r="H546" s="9" t="s">
        <v>12</v>
      </c>
    </row>
    <row r="547" spans="1:8" x14ac:dyDescent="0.25">
      <c r="A547" t="s">
        <v>1091</v>
      </c>
      <c r="B547" s="14" cm="1">
        <f t="array" ref="B547">_xll.GetLatestPrice(F547,,G547)</f>
        <v>694</v>
      </c>
      <c r="C547" s="1" cm="1">
        <f t="array" ref="C547">_xll.GetLatestPrice(F547,"Actual","AssessmentDate")</f>
        <v>45826.649791666663</v>
      </c>
      <c r="D547">
        <f t="shared" si="16"/>
        <v>2025</v>
      </c>
      <c r="E547">
        <f t="shared" si="17"/>
        <v>6</v>
      </c>
      <c r="F547" s="9" t="s">
        <v>1092</v>
      </c>
      <c r="G547" s="9" t="s">
        <v>11</v>
      </c>
      <c r="H547" s="9" t="s">
        <v>12</v>
      </c>
    </row>
    <row r="548" spans="1:8" x14ac:dyDescent="0.25">
      <c r="A548" t="s">
        <v>1093</v>
      </c>
      <c r="B548" s="14" cm="1">
        <f t="array" ref="B548">_xll.GetLatestPrice(F548,,G548)</f>
        <v>720</v>
      </c>
      <c r="C548" s="1" cm="1">
        <f t="array" ref="C548">_xll.GetLatestPrice(F548,"Actual","AssessmentDate")</f>
        <v>45826.649791666663</v>
      </c>
      <c r="D548">
        <f t="shared" si="16"/>
        <v>2025</v>
      </c>
      <c r="E548">
        <f t="shared" si="17"/>
        <v>6</v>
      </c>
      <c r="F548" s="9" t="s">
        <v>1094</v>
      </c>
      <c r="G548" s="9" t="s">
        <v>11</v>
      </c>
      <c r="H548" s="9" t="s">
        <v>12</v>
      </c>
    </row>
    <row r="549" spans="1:8" x14ac:dyDescent="0.25">
      <c r="A549" t="s">
        <v>1095</v>
      </c>
      <c r="B549" s="14" cm="1">
        <f t="array" ref="B549">_xll.GetLatestPrice(F549,,G549)</f>
        <v>759</v>
      </c>
      <c r="C549" s="1" cm="1">
        <f t="array" ref="C549">_xll.GetLatestPrice(F549,"Actual","AssessmentDate")</f>
        <v>45826.649791666663</v>
      </c>
      <c r="D549">
        <f t="shared" si="16"/>
        <v>2025</v>
      </c>
      <c r="E549">
        <f t="shared" si="17"/>
        <v>6</v>
      </c>
      <c r="F549" s="9" t="s">
        <v>1096</v>
      </c>
      <c r="G549" s="9" t="s">
        <v>11</v>
      </c>
      <c r="H549" s="9" t="s">
        <v>12</v>
      </c>
    </row>
    <row r="550" spans="1:8" x14ac:dyDescent="0.25">
      <c r="A550" t="s">
        <v>1097</v>
      </c>
      <c r="B550" s="14" cm="1">
        <f t="array" ref="B550">_xll.GetLatestPrice(F550,,G550)</f>
        <v>770</v>
      </c>
      <c r="C550" s="1" cm="1">
        <f t="array" ref="C550">_xll.GetLatestPrice(F550,"Actual","AssessmentDate")</f>
        <v>45826.645833333336</v>
      </c>
      <c r="D550">
        <f t="shared" si="16"/>
        <v>2025</v>
      </c>
      <c r="E550">
        <f t="shared" si="17"/>
        <v>6</v>
      </c>
      <c r="F550" s="9" t="s">
        <v>1098</v>
      </c>
      <c r="G550" s="9" t="s">
        <v>11</v>
      </c>
      <c r="H550" s="9" t="s">
        <v>12</v>
      </c>
    </row>
    <row r="551" spans="1:8" x14ac:dyDescent="0.25">
      <c r="A551" t="s">
        <v>1099</v>
      </c>
      <c r="B551" s="14" cm="1">
        <f t="array" ref="B551">_xll.GetLatestPrice(F551,,G551)</f>
        <v>665</v>
      </c>
      <c r="C551" s="1" cm="1">
        <f t="array" ref="C551">_xll.GetLatestPrice(F551,"Actual","AssessmentDate")</f>
        <v>45826.645833333336</v>
      </c>
      <c r="D551">
        <f t="shared" si="16"/>
        <v>2025</v>
      </c>
      <c r="E551">
        <f t="shared" si="17"/>
        <v>6</v>
      </c>
      <c r="F551" s="9" t="s">
        <v>1100</v>
      </c>
      <c r="G551" s="9" t="s">
        <v>11</v>
      </c>
      <c r="H551" s="9" t="s">
        <v>12</v>
      </c>
    </row>
    <row r="552" spans="1:8" x14ac:dyDescent="0.25">
      <c r="A552" t="s">
        <v>1101</v>
      </c>
      <c r="B552" s="14" cm="1">
        <f t="array" ref="B552">_xll.GetLatestPrice(F552,,G552)</f>
        <v>630</v>
      </c>
      <c r="C552" s="1" cm="1">
        <f t="array" ref="C552">_xll.GetLatestPrice(F552,"Actual","AssessmentDate")</f>
        <v>45826.645833333336</v>
      </c>
      <c r="D552">
        <f t="shared" si="16"/>
        <v>2025</v>
      </c>
      <c r="E552">
        <f t="shared" si="17"/>
        <v>6</v>
      </c>
      <c r="F552" s="9" t="s">
        <v>1102</v>
      </c>
      <c r="G552" s="9" t="s">
        <v>11</v>
      </c>
      <c r="H552" s="9" t="s">
        <v>12</v>
      </c>
    </row>
    <row r="553" spans="1:8" x14ac:dyDescent="0.25">
      <c r="A553" t="s">
        <v>1103</v>
      </c>
      <c r="B553" s="14" cm="1">
        <f t="array" ref="B553">_xll.GetLatestPrice(F553,,G553)</f>
        <v>975</v>
      </c>
      <c r="C553" s="1" cm="1">
        <f t="array" ref="C553">_xll.GetLatestPrice(F553,"Actual","AssessmentDate")</f>
        <v>45826.645833333336</v>
      </c>
      <c r="D553">
        <f t="shared" si="16"/>
        <v>2025</v>
      </c>
      <c r="E553">
        <f t="shared" si="17"/>
        <v>6</v>
      </c>
      <c r="F553" s="9" t="s">
        <v>1104</v>
      </c>
      <c r="G553" s="9" t="s">
        <v>11</v>
      </c>
      <c r="H553" s="9" t="s">
        <v>12</v>
      </c>
    </row>
    <row r="554" spans="1:8" x14ac:dyDescent="0.25">
      <c r="A554" t="s">
        <v>1105</v>
      </c>
      <c r="B554" s="14" cm="1">
        <f t="array" ref="B554">_xll.GetLatestPrice(F554,,G554)</f>
        <v>735</v>
      </c>
      <c r="C554" s="1" cm="1">
        <f t="array" ref="C554">_xll.GetLatestPrice(F554,"Actual","AssessmentDate")</f>
        <v>45826.645833333336</v>
      </c>
      <c r="D554">
        <f t="shared" si="16"/>
        <v>2025</v>
      </c>
      <c r="E554">
        <f t="shared" si="17"/>
        <v>6</v>
      </c>
      <c r="F554" s="9" t="s">
        <v>1106</v>
      </c>
      <c r="G554" s="9" t="s">
        <v>11</v>
      </c>
      <c r="H554" s="9" t="s">
        <v>12</v>
      </c>
    </row>
    <row r="555" spans="1:8" x14ac:dyDescent="0.25">
      <c r="A555" t="s">
        <v>1107</v>
      </c>
      <c r="B555" s="14" cm="1">
        <f t="array" ref="B555">_xll.GetLatestPrice(F555,,G555)</f>
        <v>720</v>
      </c>
      <c r="C555" s="1" cm="1">
        <f t="array" ref="C555">_xll.GetLatestPrice(F555,"Actual","AssessmentDate")</f>
        <v>45826.645833333336</v>
      </c>
      <c r="D555">
        <f t="shared" si="16"/>
        <v>2025</v>
      </c>
      <c r="E555">
        <f t="shared" si="17"/>
        <v>6</v>
      </c>
      <c r="F555" s="9" t="s">
        <v>1108</v>
      </c>
      <c r="G555" s="9" t="s">
        <v>11</v>
      </c>
      <c r="H555" s="9" t="s">
        <v>12</v>
      </c>
    </row>
    <row r="556" spans="1:8" x14ac:dyDescent="0.25">
      <c r="A556" t="s">
        <v>1109</v>
      </c>
      <c r="B556" s="14" cm="1">
        <f t="array" ref="B556">_xll.GetLatestPrice(F556,,G556)</f>
        <v>725</v>
      </c>
      <c r="C556" s="1" cm="1">
        <f t="array" ref="C556">_xll.GetLatestPrice(F556,"Actual","AssessmentDate")</f>
        <v>45826.645833333336</v>
      </c>
      <c r="D556">
        <f t="shared" si="16"/>
        <v>2025</v>
      </c>
      <c r="E556">
        <f t="shared" si="17"/>
        <v>6</v>
      </c>
      <c r="F556" s="9" t="s">
        <v>1110</v>
      </c>
      <c r="G556" s="9" t="s">
        <v>11</v>
      </c>
      <c r="H556" s="9" t="s">
        <v>12</v>
      </c>
    </row>
    <row r="557" spans="1:8" x14ac:dyDescent="0.25">
      <c r="A557" t="s">
        <v>1111</v>
      </c>
      <c r="B557" s="14" cm="1">
        <f t="array" ref="B557">_xll.GetLatestPrice(F557,,G557)</f>
        <v>900</v>
      </c>
      <c r="C557" s="1" cm="1">
        <f t="array" ref="C557">_xll.GetLatestPrice(F557,"Actual","AssessmentDate")</f>
        <v>45826.645833333336</v>
      </c>
      <c r="D557">
        <f t="shared" si="16"/>
        <v>2025</v>
      </c>
      <c r="E557">
        <f t="shared" si="17"/>
        <v>6</v>
      </c>
      <c r="F557" s="9" t="s">
        <v>1112</v>
      </c>
      <c r="G557" s="9" t="s">
        <v>11</v>
      </c>
      <c r="H557" s="9" t="s">
        <v>12</v>
      </c>
    </row>
    <row r="558" spans="1:8" x14ac:dyDescent="0.25">
      <c r="A558" t="s">
        <v>1113</v>
      </c>
      <c r="B558" s="14" cm="1">
        <f t="array" ref="B558">_xll.GetLatestPrice(F558,,G558)</f>
        <v>424</v>
      </c>
      <c r="C558" s="1" cm="1">
        <f t="array" ref="C558">_xll.GetLatestPrice(F558,"Actual","AssessmentDate")</f>
        <v>45826.649791666663</v>
      </c>
      <c r="D558">
        <f t="shared" si="16"/>
        <v>2025</v>
      </c>
      <c r="E558">
        <f t="shared" si="17"/>
        <v>6</v>
      </c>
      <c r="F558" s="9" t="s">
        <v>1114</v>
      </c>
      <c r="G558" s="9" t="s">
        <v>11</v>
      </c>
      <c r="H558" s="9" t="s">
        <v>12</v>
      </c>
    </row>
    <row r="559" spans="1:8" x14ac:dyDescent="0.25">
      <c r="A559" t="s">
        <v>1115</v>
      </c>
      <c r="B559" s="14" cm="1">
        <f t="array" ref="B559">_xll.GetLatestPrice(F559,,G559)</f>
        <v>450</v>
      </c>
      <c r="C559" s="1" cm="1">
        <f t="array" ref="C559">_xll.GetLatestPrice(F559,"Actual","AssessmentDate")</f>
        <v>45826.649791666663</v>
      </c>
      <c r="D559">
        <f t="shared" si="16"/>
        <v>2025</v>
      </c>
      <c r="E559">
        <f t="shared" si="17"/>
        <v>6</v>
      </c>
      <c r="F559" s="9" t="s">
        <v>1116</v>
      </c>
      <c r="G559" s="9" t="s">
        <v>11</v>
      </c>
      <c r="H559" s="9" t="s">
        <v>12</v>
      </c>
    </row>
    <row r="560" spans="1:8" x14ac:dyDescent="0.25">
      <c r="A560" t="s">
        <v>1117</v>
      </c>
      <c r="B560" s="14" cm="1">
        <f t="array" ref="B560">_xll.GetLatestPrice(F560,,G560)</f>
        <v>2450</v>
      </c>
      <c r="C560" s="1" cm="1">
        <f t="array" ref="C560">_xll.GetLatestPrice(F560,"Actual","AssessmentDate")</f>
        <v>45826.645833333336</v>
      </c>
      <c r="D560">
        <f t="shared" si="16"/>
        <v>2025</v>
      </c>
      <c r="E560">
        <f t="shared" si="17"/>
        <v>6</v>
      </c>
      <c r="F560" s="9" t="s">
        <v>1118</v>
      </c>
      <c r="G560" s="9" t="s">
        <v>11</v>
      </c>
      <c r="H560" s="9" t="s">
        <v>12</v>
      </c>
    </row>
    <row r="561" spans="1:8" x14ac:dyDescent="0.25">
      <c r="A561" t="s">
        <v>1119</v>
      </c>
      <c r="B561" s="14" cm="1">
        <f t="array" ref="B561">_xll.GetLatestPrice(F561,,G561)</f>
        <v>3330</v>
      </c>
      <c r="C561" s="1" cm="1">
        <f t="array" ref="C561">_xll.GetLatestPrice(F561,"Actual","AssessmentDate")</f>
        <v>45826.645833333336</v>
      </c>
      <c r="D561">
        <f t="shared" si="16"/>
        <v>2025</v>
      </c>
      <c r="E561">
        <f t="shared" si="17"/>
        <v>6</v>
      </c>
      <c r="F561" s="9" t="s">
        <v>1120</v>
      </c>
      <c r="G561" s="9" t="s">
        <v>11</v>
      </c>
      <c r="H561" s="9" t="s">
        <v>12</v>
      </c>
    </row>
    <row r="562" spans="1:8" x14ac:dyDescent="0.25">
      <c r="A562" t="s">
        <v>1121</v>
      </c>
      <c r="B562" s="14" cm="1">
        <f t="array" ref="B562">_xll.GetLatestPrice(F562,,G562)</f>
        <v>2935</v>
      </c>
      <c r="C562" s="1" cm="1">
        <f t="array" ref="C562">_xll.GetLatestPrice(F562,"Actual","AssessmentDate")</f>
        <v>45826.645833333336</v>
      </c>
      <c r="D562">
        <f t="shared" si="16"/>
        <v>2025</v>
      </c>
      <c r="E562">
        <f t="shared" si="17"/>
        <v>6</v>
      </c>
      <c r="F562" s="9" t="s">
        <v>1122</v>
      </c>
      <c r="G562" s="9" t="s">
        <v>11</v>
      </c>
      <c r="H562" s="9" t="s">
        <v>12</v>
      </c>
    </row>
    <row r="563" spans="1:8" x14ac:dyDescent="0.25">
      <c r="A563" t="s">
        <v>1123</v>
      </c>
      <c r="B563" s="14" cm="1">
        <f t="array" ref="B563">_xll.GetLatestPrice(F563,,G563)</f>
        <v>3160</v>
      </c>
      <c r="C563" s="1" cm="1">
        <f t="array" ref="C563">_xll.GetLatestPrice(F563,"Actual","AssessmentDate")</f>
        <v>45826.645833333336</v>
      </c>
      <c r="D563">
        <f t="shared" si="16"/>
        <v>2025</v>
      </c>
      <c r="E563">
        <f t="shared" si="17"/>
        <v>6</v>
      </c>
      <c r="F563" s="9" t="s">
        <v>1124</v>
      </c>
      <c r="G563" s="9" t="s">
        <v>11</v>
      </c>
      <c r="H563" s="9" t="s">
        <v>12</v>
      </c>
    </row>
    <row r="564" spans="1:8" x14ac:dyDescent="0.25">
      <c r="A564" t="s">
        <v>1125</v>
      </c>
      <c r="B564" s="14" cm="1">
        <f t="array" ref="B564">_xll.GetLatestPrice(F564,,G564)</f>
        <v>3200</v>
      </c>
      <c r="C564" s="1" cm="1">
        <f t="array" ref="C564">_xll.GetLatestPrice(F564,"Actual","AssessmentDate")</f>
        <v>45826.645833333336</v>
      </c>
      <c r="D564">
        <f t="shared" si="16"/>
        <v>2025</v>
      </c>
      <c r="E564">
        <f t="shared" si="17"/>
        <v>6</v>
      </c>
      <c r="F564" s="9" t="s">
        <v>1126</v>
      </c>
      <c r="G564" s="9" t="s">
        <v>11</v>
      </c>
      <c r="H564" s="9" t="s">
        <v>12</v>
      </c>
    </row>
    <row r="565" spans="1:8" x14ac:dyDescent="0.25">
      <c r="A565" t="s">
        <v>1127</v>
      </c>
      <c r="B565" s="14" cm="1">
        <f t="array" ref="B565">_xll.GetLatestPrice(F565,,G565)</f>
        <v>2400</v>
      </c>
      <c r="C565" s="1" cm="1">
        <f t="array" ref="C565">_xll.GetLatestPrice(F565,"Actual","AssessmentDate")</f>
        <v>45826.645833333336</v>
      </c>
      <c r="D565">
        <f t="shared" si="16"/>
        <v>2025</v>
      </c>
      <c r="E565">
        <f t="shared" si="17"/>
        <v>6</v>
      </c>
      <c r="F565" s="9" t="s">
        <v>1128</v>
      </c>
      <c r="G565" s="9" t="s">
        <v>11</v>
      </c>
      <c r="H565" s="9" t="s">
        <v>12</v>
      </c>
    </row>
    <row r="566" spans="1:8" x14ac:dyDescent="0.25">
      <c r="A566" t="s">
        <v>1129</v>
      </c>
      <c r="B566" s="14" cm="1">
        <f t="array" ref="B566">_xll.GetLatestPrice(F566,,G566)</f>
        <v>2300</v>
      </c>
      <c r="C566" s="1" cm="1">
        <f t="array" ref="C566">_xll.GetLatestPrice(F566,"Actual","AssessmentDate")</f>
        <v>45826.645833333336</v>
      </c>
      <c r="D566">
        <f t="shared" si="16"/>
        <v>2025</v>
      </c>
      <c r="E566">
        <f t="shared" si="17"/>
        <v>6</v>
      </c>
      <c r="F566" s="9" t="s">
        <v>1130</v>
      </c>
      <c r="G566" s="9" t="s">
        <v>11</v>
      </c>
      <c r="H566" s="9" t="s">
        <v>12</v>
      </c>
    </row>
    <row r="567" spans="1:8" x14ac:dyDescent="0.25">
      <c r="A567" t="s">
        <v>1131</v>
      </c>
      <c r="B567" s="14" cm="1">
        <f t="array" ref="B567">_xll.GetLatestPrice(F567,,G567)</f>
        <v>2300</v>
      </c>
      <c r="C567" s="1" cm="1">
        <f t="array" ref="C567">_xll.GetLatestPrice(F567,"Actual","AssessmentDate")</f>
        <v>45826.645833333336</v>
      </c>
      <c r="D567">
        <f t="shared" si="16"/>
        <v>2025</v>
      </c>
      <c r="E567">
        <f t="shared" si="17"/>
        <v>6</v>
      </c>
      <c r="F567" s="9" t="s">
        <v>1132</v>
      </c>
      <c r="G567" s="9" t="s">
        <v>11</v>
      </c>
      <c r="H567" s="9" t="s">
        <v>12</v>
      </c>
    </row>
    <row r="568" spans="1:8" x14ac:dyDescent="0.25">
      <c r="A568" t="s">
        <v>1133</v>
      </c>
      <c r="B568" s="14" cm="1">
        <f t="array" ref="B568">_xll.GetLatestPrice(F568,,G568)</f>
        <v>2300</v>
      </c>
      <c r="C568" s="1" cm="1">
        <f t="array" ref="C568">_xll.GetLatestPrice(F568,"Actual","AssessmentDate")</f>
        <v>45826.645833333336</v>
      </c>
      <c r="D568">
        <f t="shared" si="16"/>
        <v>2025</v>
      </c>
      <c r="E568">
        <f t="shared" si="17"/>
        <v>6</v>
      </c>
      <c r="F568" s="9" t="s">
        <v>1134</v>
      </c>
      <c r="G568" s="9" t="s">
        <v>11</v>
      </c>
      <c r="H568" s="9" t="s">
        <v>12</v>
      </c>
    </row>
    <row r="569" spans="1:8" x14ac:dyDescent="0.25">
      <c r="A569" t="s">
        <v>1135</v>
      </c>
      <c r="B569" s="14" cm="1">
        <f t="array" ref="B569">_xll.GetLatestPrice(F569,,G569)</f>
        <v>2300</v>
      </c>
      <c r="C569" s="1" cm="1">
        <f t="array" ref="C569">_xll.GetLatestPrice(F569,"Actual","AssessmentDate")</f>
        <v>45826.645833333336</v>
      </c>
      <c r="D569">
        <f t="shared" si="16"/>
        <v>2025</v>
      </c>
      <c r="E569">
        <f t="shared" si="17"/>
        <v>6</v>
      </c>
      <c r="F569" s="9" t="s">
        <v>1136</v>
      </c>
      <c r="G569" s="9" t="s">
        <v>11</v>
      </c>
      <c r="H569" s="9" t="s">
        <v>12</v>
      </c>
    </row>
    <row r="570" spans="1:8" x14ac:dyDescent="0.25">
      <c r="A570" t="s">
        <v>1137</v>
      </c>
      <c r="B570" s="14" cm="1">
        <f t="array" ref="B570">_xll.GetLatestPrice(F570,,G570)</f>
        <v>1650</v>
      </c>
      <c r="C570" s="1" cm="1">
        <f t="array" ref="C570">_xll.GetLatestPrice(F570,"Actual","AssessmentDate")</f>
        <v>45826.645833333336</v>
      </c>
      <c r="D570">
        <f t="shared" si="16"/>
        <v>2025</v>
      </c>
      <c r="E570">
        <f t="shared" si="17"/>
        <v>6</v>
      </c>
      <c r="F570" s="9" t="s">
        <v>1138</v>
      </c>
      <c r="G570" s="9" t="s">
        <v>11</v>
      </c>
      <c r="H570" s="9" t="s">
        <v>12</v>
      </c>
    </row>
    <row r="571" spans="1:8" x14ac:dyDescent="0.25">
      <c r="A571" t="s">
        <v>1139</v>
      </c>
      <c r="B571" s="14" cm="1">
        <f t="array" ref="B571">_xll.GetLatestPrice(F571,,G571)</f>
        <v>1750</v>
      </c>
      <c r="C571" s="1" cm="1">
        <f t="array" ref="C571">_xll.GetLatestPrice(F571,"Actual","AssessmentDate")</f>
        <v>45826.645833333336</v>
      </c>
      <c r="D571">
        <f t="shared" si="16"/>
        <v>2025</v>
      </c>
      <c r="E571">
        <f t="shared" si="17"/>
        <v>6</v>
      </c>
      <c r="F571" s="9" t="s">
        <v>1140</v>
      </c>
      <c r="G571" s="9" t="s">
        <v>11</v>
      </c>
      <c r="H571" s="9" t="s">
        <v>12</v>
      </c>
    </row>
    <row r="572" spans="1:8" x14ac:dyDescent="0.25">
      <c r="A572" t="s">
        <v>1141</v>
      </c>
      <c r="B572" s="14" cm="1">
        <f t="array" ref="B572">_xll.GetLatestPrice(F572,,G572)</f>
        <v>1750</v>
      </c>
      <c r="C572" s="1" cm="1">
        <f t="array" ref="C572">_xll.GetLatestPrice(F572,"Actual","AssessmentDate")</f>
        <v>45826.645833333336</v>
      </c>
      <c r="D572">
        <f t="shared" si="16"/>
        <v>2025</v>
      </c>
      <c r="E572">
        <f t="shared" si="17"/>
        <v>6</v>
      </c>
      <c r="F572" s="9" t="s">
        <v>1142</v>
      </c>
      <c r="G572" s="9" t="s">
        <v>11</v>
      </c>
      <c r="H572" s="9" t="s">
        <v>12</v>
      </c>
    </row>
    <row r="573" spans="1:8" x14ac:dyDescent="0.25">
      <c r="A573" t="s">
        <v>1143</v>
      </c>
      <c r="B573" s="14" cm="1">
        <f t="array" ref="B573">_xll.GetLatestPrice(F573,,G573)</f>
        <v>1650</v>
      </c>
      <c r="C573" s="1" cm="1">
        <f t="array" ref="C573">_xll.GetLatestPrice(F573,"Actual","AssessmentDate")</f>
        <v>45826.645833333336</v>
      </c>
      <c r="D573">
        <f t="shared" si="16"/>
        <v>2025</v>
      </c>
      <c r="E573">
        <f t="shared" si="17"/>
        <v>6</v>
      </c>
      <c r="F573" s="9" t="s">
        <v>1144</v>
      </c>
      <c r="G573" s="9" t="s">
        <v>11</v>
      </c>
      <c r="H573" s="9" t="s">
        <v>12</v>
      </c>
    </row>
    <row r="574" spans="1:8" x14ac:dyDescent="0.25">
      <c r="A574" t="s">
        <v>1145</v>
      </c>
      <c r="B574" s="14" cm="1">
        <f t="array" ref="B574">_xll.GetLatestPrice(F574,,G574)</f>
        <v>1750</v>
      </c>
      <c r="C574" s="1" cm="1">
        <f t="array" ref="C574">_xll.GetLatestPrice(F574,"Actual","AssessmentDate")</f>
        <v>45826.645833333336</v>
      </c>
      <c r="D574">
        <f t="shared" si="16"/>
        <v>2025</v>
      </c>
      <c r="E574">
        <f t="shared" si="17"/>
        <v>6</v>
      </c>
      <c r="F574" s="9" t="s">
        <v>1146</v>
      </c>
      <c r="G574" s="9" t="s">
        <v>11</v>
      </c>
      <c r="H574" s="9" t="s">
        <v>12</v>
      </c>
    </row>
    <row r="575" spans="1:8" x14ac:dyDescent="0.25">
      <c r="A575" t="s">
        <v>1147</v>
      </c>
      <c r="B575" s="14" cm="1">
        <f t="array" ref="B575">_xll.GetLatestPrice(F575,,G575)</f>
        <v>830</v>
      </c>
      <c r="C575" s="1" cm="1">
        <f t="array" ref="C575">_xll.GetLatestPrice(F575,"Actual","AssessmentDate")</f>
        <v>45826.645833333336</v>
      </c>
      <c r="D575">
        <f t="shared" si="16"/>
        <v>2025</v>
      </c>
      <c r="E575">
        <f t="shared" si="17"/>
        <v>6</v>
      </c>
      <c r="F575" s="9" t="s">
        <v>1148</v>
      </c>
      <c r="G575" s="9" t="s">
        <v>11</v>
      </c>
      <c r="H575" s="9" t="s">
        <v>12</v>
      </c>
    </row>
    <row r="576" spans="1:8" x14ac:dyDescent="0.25">
      <c r="A576" t="s">
        <v>1149</v>
      </c>
      <c r="B576" s="14" cm="1">
        <f t="array" ref="B576">_xll.GetLatestPrice(F576,,G576)</f>
        <v>1460</v>
      </c>
      <c r="C576" s="1" cm="1">
        <f t="array" ref="C576">_xll.GetLatestPrice(F576,"Actual","AssessmentDate")</f>
        <v>45826.645833333336</v>
      </c>
      <c r="D576">
        <f t="shared" si="16"/>
        <v>2025</v>
      </c>
      <c r="E576">
        <f t="shared" si="17"/>
        <v>6</v>
      </c>
      <c r="F576" s="9" t="s">
        <v>1150</v>
      </c>
      <c r="G576" s="9" t="s">
        <v>11</v>
      </c>
      <c r="H576" s="9" t="s">
        <v>12</v>
      </c>
    </row>
    <row r="577" spans="1:8" x14ac:dyDescent="0.25">
      <c r="A577" t="s">
        <v>1151</v>
      </c>
      <c r="B577" s="14" cm="1">
        <f t="array" ref="B577">_xll.GetLatestPrice(F577,,G577)</f>
        <v>2470</v>
      </c>
      <c r="C577" s="1" cm="1">
        <f t="array" ref="C577">_xll.GetLatestPrice(F577,"Actual","AssessmentDate")</f>
        <v>45826.645833333336</v>
      </c>
      <c r="D577">
        <f t="shared" si="16"/>
        <v>2025</v>
      </c>
      <c r="E577">
        <f t="shared" si="17"/>
        <v>6</v>
      </c>
      <c r="F577" s="9" t="s">
        <v>1152</v>
      </c>
      <c r="G577" s="9" t="s">
        <v>11</v>
      </c>
      <c r="H577" s="9" t="s">
        <v>12</v>
      </c>
    </row>
    <row r="578" spans="1:8" x14ac:dyDescent="0.25">
      <c r="A578" t="s">
        <v>1153</v>
      </c>
      <c r="B578" s="14" cm="1">
        <f t="array" ref="B578">_xll.GetLatestPrice(F578,,G578)</f>
        <v>2530</v>
      </c>
      <c r="C578" s="1" cm="1">
        <f t="array" ref="C578">_xll.GetLatestPrice(F578,"Actual","AssessmentDate")</f>
        <v>45826.645833333336</v>
      </c>
      <c r="D578">
        <f t="shared" si="16"/>
        <v>2025</v>
      </c>
      <c r="E578">
        <f t="shared" si="17"/>
        <v>6</v>
      </c>
      <c r="F578" s="9" t="s">
        <v>1154</v>
      </c>
      <c r="G578" s="9" t="s">
        <v>11</v>
      </c>
      <c r="H578" s="9" t="s">
        <v>12</v>
      </c>
    </row>
    <row r="579" spans="1:8" x14ac:dyDescent="0.25">
      <c r="A579" t="s">
        <v>1155</v>
      </c>
      <c r="B579" s="14" cm="1">
        <f t="array" ref="B579">_xll.GetLatestPrice(F579,,G579)</f>
        <v>3080</v>
      </c>
      <c r="C579" s="1" cm="1">
        <f t="array" ref="C579">_xll.GetLatestPrice(F579,"Actual","AssessmentDate")</f>
        <v>45826.645833333336</v>
      </c>
      <c r="D579">
        <f t="shared" ref="D579:D642" si="18">YEAR(C579)</f>
        <v>2025</v>
      </c>
      <c r="E579">
        <f t="shared" ref="E579:E642" si="19">MONTH(C579)</f>
        <v>6</v>
      </c>
      <c r="F579" s="9" t="s">
        <v>1156</v>
      </c>
      <c r="G579" s="9" t="s">
        <v>11</v>
      </c>
      <c r="H579" s="9" t="s">
        <v>12</v>
      </c>
    </row>
    <row r="580" spans="1:8" x14ac:dyDescent="0.25">
      <c r="A580" t="s">
        <v>1157</v>
      </c>
      <c r="B580" s="14" cm="1">
        <f t="array" ref="B580">_xll.GetLatestPrice(F580,,G580)</f>
        <v>2035</v>
      </c>
      <c r="C580" s="1" cm="1">
        <f t="array" ref="C580">_xll.GetLatestPrice(F580,"Actual","AssessmentDate")</f>
        <v>45826.645833333336</v>
      </c>
      <c r="D580">
        <f t="shared" si="18"/>
        <v>2025</v>
      </c>
      <c r="E580">
        <f t="shared" si="19"/>
        <v>6</v>
      </c>
      <c r="F580" s="9" t="s">
        <v>1158</v>
      </c>
      <c r="G580" s="9" t="s">
        <v>11</v>
      </c>
      <c r="H580" s="9" t="s">
        <v>12</v>
      </c>
    </row>
    <row r="581" spans="1:8" x14ac:dyDescent="0.25">
      <c r="A581" t="s">
        <v>1159</v>
      </c>
      <c r="B581" s="14" cm="1">
        <f t="array" ref="B581">_xll.GetLatestPrice(F581,,G581)</f>
        <v>2715</v>
      </c>
      <c r="C581" s="1" cm="1">
        <f t="array" ref="C581">_xll.GetLatestPrice(F581,"Actual","AssessmentDate")</f>
        <v>45826.645833333336</v>
      </c>
      <c r="D581">
        <f t="shared" si="18"/>
        <v>2025</v>
      </c>
      <c r="E581">
        <f t="shared" si="19"/>
        <v>6</v>
      </c>
      <c r="F581" s="9" t="s">
        <v>1160</v>
      </c>
      <c r="G581" s="9" t="s">
        <v>11</v>
      </c>
      <c r="H581" s="9" t="s">
        <v>12</v>
      </c>
    </row>
    <row r="582" spans="1:8" x14ac:dyDescent="0.25">
      <c r="A582" t="s">
        <v>1161</v>
      </c>
      <c r="B582" s="14" cm="1">
        <f t="array" ref="B582">_xll.GetLatestPrice(F582,,G582)</f>
        <v>2450</v>
      </c>
      <c r="C582" s="1" cm="1">
        <f t="array" ref="C582">_xll.GetLatestPrice(F582,"Actual","AssessmentDate")</f>
        <v>45826.645833333336</v>
      </c>
      <c r="D582">
        <f t="shared" si="18"/>
        <v>2025</v>
      </c>
      <c r="E582">
        <f t="shared" si="19"/>
        <v>6</v>
      </c>
      <c r="F582" s="9" t="s">
        <v>1162</v>
      </c>
      <c r="G582" s="9" t="s">
        <v>11</v>
      </c>
      <c r="H582" s="9" t="s">
        <v>12</v>
      </c>
    </row>
    <row r="583" spans="1:8" x14ac:dyDescent="0.25">
      <c r="A583" t="s">
        <v>1163</v>
      </c>
      <c r="B583" s="14" cm="1">
        <f t="array" ref="B583">_xll.GetLatestPrice(F583,,G583)</f>
        <v>2570</v>
      </c>
      <c r="C583" s="1" cm="1">
        <f t="array" ref="C583">_xll.GetLatestPrice(F583,"Actual","AssessmentDate")</f>
        <v>45826.645833333336</v>
      </c>
      <c r="D583">
        <f t="shared" si="18"/>
        <v>2025</v>
      </c>
      <c r="E583">
        <f t="shared" si="19"/>
        <v>6</v>
      </c>
      <c r="F583" s="9" t="s">
        <v>1164</v>
      </c>
      <c r="G583" s="9" t="s">
        <v>11</v>
      </c>
      <c r="H583" s="9" t="s">
        <v>12</v>
      </c>
    </row>
    <row r="584" spans="1:8" x14ac:dyDescent="0.25">
      <c r="A584" t="s">
        <v>1165</v>
      </c>
      <c r="B584" s="14" cm="1">
        <f t="array" ref="B584">_xll.GetLatestPrice(F584,,G584)</f>
        <v>2700</v>
      </c>
      <c r="C584" s="1" cm="1">
        <f t="array" ref="C584">_xll.GetLatestPrice(F584,"Actual","AssessmentDate")</f>
        <v>45826.645833333336</v>
      </c>
      <c r="D584">
        <f t="shared" si="18"/>
        <v>2025</v>
      </c>
      <c r="E584">
        <f t="shared" si="19"/>
        <v>6</v>
      </c>
      <c r="F584" s="9" t="s">
        <v>1166</v>
      </c>
      <c r="G584" s="9" t="s">
        <v>11</v>
      </c>
      <c r="H584" s="9" t="s">
        <v>12</v>
      </c>
    </row>
    <row r="585" spans="1:8" x14ac:dyDescent="0.25">
      <c r="A585" t="s">
        <v>1167</v>
      </c>
      <c r="B585" s="14" cm="1">
        <f t="array" ref="B585">_xll.GetLatestPrice(F585,,G585)</f>
        <v>1900</v>
      </c>
      <c r="C585" s="1" cm="1">
        <f t="array" ref="C585">_xll.GetLatestPrice(F585,"Actual","AssessmentDate")</f>
        <v>45826.645833333336</v>
      </c>
      <c r="D585">
        <f t="shared" si="18"/>
        <v>2025</v>
      </c>
      <c r="E585">
        <f t="shared" si="19"/>
        <v>6</v>
      </c>
      <c r="F585" s="9" t="s">
        <v>1168</v>
      </c>
      <c r="G585" s="9" t="s">
        <v>11</v>
      </c>
      <c r="H585" s="9" t="s">
        <v>12</v>
      </c>
    </row>
    <row r="586" spans="1:8" x14ac:dyDescent="0.25">
      <c r="A586" t="s">
        <v>1169</v>
      </c>
      <c r="B586" s="14" cm="1">
        <f t="array" ref="B586">_xll.GetLatestPrice(F586,,G586)</f>
        <v>1700</v>
      </c>
      <c r="C586" s="1" cm="1">
        <f t="array" ref="C586">_xll.GetLatestPrice(F586,"Actual","AssessmentDate")</f>
        <v>45826.645833333336</v>
      </c>
      <c r="D586">
        <f t="shared" si="18"/>
        <v>2025</v>
      </c>
      <c r="E586">
        <f t="shared" si="19"/>
        <v>6</v>
      </c>
      <c r="F586" s="9" t="s">
        <v>1170</v>
      </c>
      <c r="G586" s="9" t="s">
        <v>11</v>
      </c>
      <c r="H586" s="9" t="s">
        <v>12</v>
      </c>
    </row>
    <row r="587" spans="1:8" x14ac:dyDescent="0.25">
      <c r="A587" t="s">
        <v>1171</v>
      </c>
      <c r="B587" s="14" cm="1">
        <f t="array" ref="B587">_xll.GetLatestPrice(F587,,G587)</f>
        <v>1700</v>
      </c>
      <c r="C587" s="1" cm="1">
        <f t="array" ref="C587">_xll.GetLatestPrice(F587,"Actual","AssessmentDate")</f>
        <v>45826.645833333336</v>
      </c>
      <c r="D587">
        <f t="shared" si="18"/>
        <v>2025</v>
      </c>
      <c r="E587">
        <f t="shared" si="19"/>
        <v>6</v>
      </c>
      <c r="F587" s="9" t="s">
        <v>1172</v>
      </c>
      <c r="G587" s="9" t="s">
        <v>11</v>
      </c>
      <c r="H587" s="9" t="s">
        <v>12</v>
      </c>
    </row>
    <row r="588" spans="1:8" x14ac:dyDescent="0.25">
      <c r="A588" t="s">
        <v>1173</v>
      </c>
      <c r="B588" s="14" cm="1">
        <f t="array" ref="B588">_xll.GetLatestPrice(F588,,G588)</f>
        <v>1700</v>
      </c>
      <c r="C588" s="1" cm="1">
        <f t="array" ref="C588">_xll.GetLatestPrice(F588,"Actual","AssessmentDate")</f>
        <v>45826.645833333336</v>
      </c>
      <c r="D588">
        <f t="shared" si="18"/>
        <v>2025</v>
      </c>
      <c r="E588">
        <f t="shared" si="19"/>
        <v>6</v>
      </c>
      <c r="F588" s="9" t="s">
        <v>1174</v>
      </c>
      <c r="G588" s="9" t="s">
        <v>11</v>
      </c>
      <c r="H588" s="9" t="s">
        <v>12</v>
      </c>
    </row>
    <row r="589" spans="1:8" x14ac:dyDescent="0.25">
      <c r="A589" t="s">
        <v>1175</v>
      </c>
      <c r="B589" s="14" cm="1">
        <f t="array" ref="B589">_xll.GetLatestPrice(F589,,G589)</f>
        <v>1700</v>
      </c>
      <c r="C589" s="1" cm="1">
        <f t="array" ref="C589">_xll.GetLatestPrice(F589,"Actual","AssessmentDate")</f>
        <v>45826.645833333336</v>
      </c>
      <c r="D589">
        <f t="shared" si="18"/>
        <v>2025</v>
      </c>
      <c r="E589">
        <f t="shared" si="19"/>
        <v>6</v>
      </c>
      <c r="F589" s="9" t="s">
        <v>1176</v>
      </c>
      <c r="G589" s="9" t="s">
        <v>11</v>
      </c>
      <c r="H589" s="9" t="s">
        <v>12</v>
      </c>
    </row>
    <row r="590" spans="1:8" x14ac:dyDescent="0.25">
      <c r="A590" t="s">
        <v>1177</v>
      </c>
      <c r="B590" s="14" cm="1">
        <f t="array" ref="B590">_xll.GetLatestPrice(F590,,G590)</f>
        <v>980</v>
      </c>
      <c r="C590" s="1" cm="1">
        <f t="array" ref="C590">_xll.GetLatestPrice(F590,"Actual","AssessmentDate")</f>
        <v>45826.645833333336</v>
      </c>
      <c r="D590">
        <f t="shared" si="18"/>
        <v>2025</v>
      </c>
      <c r="E590">
        <f t="shared" si="19"/>
        <v>6</v>
      </c>
      <c r="F590" s="9" t="s">
        <v>1178</v>
      </c>
      <c r="G590" s="9" t="s">
        <v>11</v>
      </c>
      <c r="H590" s="9" t="s">
        <v>12</v>
      </c>
    </row>
    <row r="591" spans="1:8" x14ac:dyDescent="0.25">
      <c r="A591" t="s">
        <v>1179</v>
      </c>
      <c r="B591" s="14" cm="1">
        <f t="array" ref="B591">_xll.GetLatestPrice(F591,,G591)</f>
        <v>1115</v>
      </c>
      <c r="C591" s="1" cm="1">
        <f t="array" ref="C591">_xll.GetLatestPrice(F591,"Actual","AssessmentDate")</f>
        <v>45826.645833333336</v>
      </c>
      <c r="D591">
        <f t="shared" si="18"/>
        <v>2025</v>
      </c>
      <c r="E591">
        <f t="shared" si="19"/>
        <v>6</v>
      </c>
      <c r="F591" s="9" t="s">
        <v>1180</v>
      </c>
      <c r="G591" s="9" t="s">
        <v>11</v>
      </c>
      <c r="H591" s="9" t="s">
        <v>12</v>
      </c>
    </row>
    <row r="592" spans="1:8" x14ac:dyDescent="0.25">
      <c r="A592" t="s">
        <v>1181</v>
      </c>
      <c r="B592" s="14" cm="1">
        <f t="array" ref="B592">_xll.GetLatestPrice(F592,,G592)</f>
        <v>1010</v>
      </c>
      <c r="C592" s="1" cm="1">
        <f t="array" ref="C592">_xll.GetLatestPrice(F592,"Actual","AssessmentDate")</f>
        <v>45826.645833333336</v>
      </c>
      <c r="D592">
        <f t="shared" si="18"/>
        <v>2025</v>
      </c>
      <c r="E592">
        <f t="shared" si="19"/>
        <v>6</v>
      </c>
      <c r="F592" s="9" t="s">
        <v>1182</v>
      </c>
      <c r="G592" s="9" t="s">
        <v>11</v>
      </c>
      <c r="H592" s="9" t="s">
        <v>12</v>
      </c>
    </row>
    <row r="593" spans="1:8" x14ac:dyDescent="0.25">
      <c r="A593" t="s">
        <v>1183</v>
      </c>
      <c r="B593" s="14" cm="1">
        <f t="array" ref="B593">_xll.GetLatestPrice(F593,,G593)</f>
        <v>975</v>
      </c>
      <c r="C593" s="1" cm="1">
        <f t="array" ref="C593">_xll.GetLatestPrice(F593,"Actual","AssessmentDate")</f>
        <v>45826.645833333336</v>
      </c>
      <c r="D593">
        <f t="shared" si="18"/>
        <v>2025</v>
      </c>
      <c r="E593">
        <f t="shared" si="19"/>
        <v>6</v>
      </c>
      <c r="F593" s="9" t="s">
        <v>1184</v>
      </c>
      <c r="G593" s="9" t="s">
        <v>11</v>
      </c>
      <c r="H593" s="9" t="s">
        <v>12</v>
      </c>
    </row>
    <row r="594" spans="1:8" x14ac:dyDescent="0.25">
      <c r="A594" t="s">
        <v>1185</v>
      </c>
      <c r="B594" s="14" cm="1">
        <f t="array" ref="B594">_xll.GetLatestPrice(F594,,G594)</f>
        <v>1190</v>
      </c>
      <c r="C594" s="1" cm="1">
        <f t="array" ref="C594">_xll.GetLatestPrice(F594,"Actual","AssessmentDate")</f>
        <v>45826.645833333336</v>
      </c>
      <c r="D594">
        <f t="shared" si="18"/>
        <v>2025</v>
      </c>
      <c r="E594">
        <f t="shared" si="19"/>
        <v>6</v>
      </c>
      <c r="F594" s="9" t="s">
        <v>1186</v>
      </c>
      <c r="G594" s="9" t="s">
        <v>11</v>
      </c>
      <c r="H594" s="9" t="s">
        <v>12</v>
      </c>
    </row>
    <row r="595" spans="1:8" x14ac:dyDescent="0.25">
      <c r="A595" t="s">
        <v>1187</v>
      </c>
      <c r="B595" s="14" cm="1">
        <f t="array" ref="B595">_xll.GetLatestPrice(F595,,G595)</f>
        <v>2450</v>
      </c>
      <c r="C595" s="1" cm="1">
        <f t="array" ref="C595">_xll.GetLatestPrice(F595,"Actual","AssessmentDate")</f>
        <v>45826.645833333336</v>
      </c>
      <c r="D595">
        <f t="shared" si="18"/>
        <v>2025</v>
      </c>
      <c r="E595">
        <f t="shared" si="19"/>
        <v>6</v>
      </c>
      <c r="F595" s="9" t="s">
        <v>1188</v>
      </c>
      <c r="G595" s="9" t="s">
        <v>11</v>
      </c>
      <c r="H595" s="9" t="s">
        <v>12</v>
      </c>
    </row>
    <row r="596" spans="1:8" x14ac:dyDescent="0.25">
      <c r="A596" t="s">
        <v>1189</v>
      </c>
      <c r="B596" s="14" cm="1">
        <f t="array" ref="B596">_xll.GetLatestPrice(F596,,G596)</f>
        <v>2330</v>
      </c>
      <c r="C596" s="1" cm="1">
        <f t="array" ref="C596">_xll.GetLatestPrice(F596,"Actual","AssessmentDate")</f>
        <v>45826.645833333336</v>
      </c>
      <c r="D596">
        <f t="shared" si="18"/>
        <v>2025</v>
      </c>
      <c r="E596">
        <f t="shared" si="19"/>
        <v>6</v>
      </c>
      <c r="F596" s="9" t="s">
        <v>1190</v>
      </c>
      <c r="G596" s="9" t="s">
        <v>11</v>
      </c>
      <c r="H596" s="9" t="s">
        <v>12</v>
      </c>
    </row>
    <row r="597" spans="1:8" x14ac:dyDescent="0.25">
      <c r="A597" t="s">
        <v>1191</v>
      </c>
      <c r="B597" s="14" cm="1">
        <f t="array" ref="B597">_xll.GetLatestPrice(F597,,G597)</f>
        <v>500</v>
      </c>
      <c r="C597" s="1" cm="1">
        <f t="array" ref="C597">_xll.GetLatestPrice(F597,"Actual","AssessmentDate")</f>
        <v>45826.645833333336</v>
      </c>
      <c r="D597">
        <f t="shared" si="18"/>
        <v>2025</v>
      </c>
      <c r="E597">
        <f t="shared" si="19"/>
        <v>6</v>
      </c>
      <c r="F597" s="9" t="s">
        <v>1192</v>
      </c>
      <c r="G597" s="9" t="s">
        <v>11</v>
      </c>
      <c r="H597" s="9" t="s">
        <v>12</v>
      </c>
    </row>
    <row r="598" spans="1:8" x14ac:dyDescent="0.25">
      <c r="A598" t="s">
        <v>1193</v>
      </c>
      <c r="B598" s="14" cm="1">
        <f t="array" ref="B598">_xll.GetLatestPrice(F598,,G598)</f>
        <v>505</v>
      </c>
      <c r="C598" s="1" cm="1">
        <f t="array" ref="C598">_xll.GetLatestPrice(F598,"Actual","AssessmentDate")</f>
        <v>45826.645833333336</v>
      </c>
      <c r="D598">
        <f t="shared" si="18"/>
        <v>2025</v>
      </c>
      <c r="E598">
        <f t="shared" si="19"/>
        <v>6</v>
      </c>
      <c r="F598" s="9" t="s">
        <v>1194</v>
      </c>
      <c r="G598" s="9" t="s">
        <v>11</v>
      </c>
      <c r="H598" s="9" t="s">
        <v>12</v>
      </c>
    </row>
    <row r="599" spans="1:8" x14ac:dyDescent="0.25">
      <c r="A599" t="s">
        <v>1195</v>
      </c>
      <c r="B599" s="14" cm="1">
        <f t="array" ref="B599">_xll.GetLatestPrice(F599,,G599)</f>
        <v>730</v>
      </c>
      <c r="C599" s="1" cm="1">
        <f t="array" ref="C599">_xll.GetLatestPrice(F599,"Actual","AssessmentDate")</f>
        <v>45826.645833333336</v>
      </c>
      <c r="D599">
        <f t="shared" si="18"/>
        <v>2025</v>
      </c>
      <c r="E599">
        <f t="shared" si="19"/>
        <v>6</v>
      </c>
      <c r="F599" s="9" t="s">
        <v>1196</v>
      </c>
      <c r="G599" s="9" t="s">
        <v>11</v>
      </c>
      <c r="H599" s="9" t="s">
        <v>12</v>
      </c>
    </row>
    <row r="600" spans="1:8" x14ac:dyDescent="0.25">
      <c r="A600" t="s">
        <v>1197</v>
      </c>
      <c r="B600" s="14" cm="1">
        <f t="array" ref="B600">_xll.GetLatestPrice(F600,,G600)</f>
        <v>990</v>
      </c>
      <c r="C600" s="1" cm="1">
        <f t="array" ref="C600">_xll.GetLatestPrice(F600,"Actual","AssessmentDate")</f>
        <v>45826.645833333336</v>
      </c>
      <c r="D600">
        <f t="shared" si="18"/>
        <v>2025</v>
      </c>
      <c r="E600">
        <f t="shared" si="19"/>
        <v>6</v>
      </c>
      <c r="F600" s="9" t="s">
        <v>1198</v>
      </c>
      <c r="G600" s="9" t="s">
        <v>11</v>
      </c>
      <c r="H600" s="9" t="s">
        <v>12</v>
      </c>
    </row>
    <row r="601" spans="1:8" x14ac:dyDescent="0.25">
      <c r="A601" t="s">
        <v>1199</v>
      </c>
      <c r="B601" s="14" cm="1">
        <f t="array" ref="B601">_xll.GetLatestPrice(F601,,G601)</f>
        <v>685</v>
      </c>
      <c r="C601" s="1" cm="1">
        <f t="array" ref="C601">_xll.GetLatestPrice(F601,"Actual","AssessmentDate")</f>
        <v>45826.645833333336</v>
      </c>
      <c r="D601">
        <f t="shared" si="18"/>
        <v>2025</v>
      </c>
      <c r="E601">
        <f t="shared" si="19"/>
        <v>6</v>
      </c>
      <c r="F601" s="9" t="s">
        <v>1200</v>
      </c>
      <c r="G601" s="9" t="s">
        <v>11</v>
      </c>
      <c r="H601" s="9" t="s">
        <v>12</v>
      </c>
    </row>
    <row r="602" spans="1:8" x14ac:dyDescent="0.25">
      <c r="A602" t="s">
        <v>1201</v>
      </c>
      <c r="B602" s="14" cm="1">
        <f t="array" ref="B602">_xll.GetLatestPrice(F602,,G602)</f>
        <v>515</v>
      </c>
      <c r="C602" s="1" cm="1">
        <f t="array" ref="C602">_xll.GetLatestPrice(F602,"Actual","AssessmentDate")</f>
        <v>45826.645833333336</v>
      </c>
      <c r="D602">
        <f t="shared" si="18"/>
        <v>2025</v>
      </c>
      <c r="E602">
        <f t="shared" si="19"/>
        <v>6</v>
      </c>
      <c r="F602" s="9" t="s">
        <v>1202</v>
      </c>
      <c r="G602" s="9" t="s">
        <v>11</v>
      </c>
      <c r="H602" s="9" t="s">
        <v>12</v>
      </c>
    </row>
    <row r="603" spans="1:8" x14ac:dyDescent="0.25">
      <c r="A603" t="s">
        <v>1203</v>
      </c>
      <c r="B603" s="14" cm="1">
        <f t="array" ref="B603">_xll.GetLatestPrice(F603,,G603)</f>
        <v>920</v>
      </c>
      <c r="C603" s="1" cm="1">
        <f t="array" ref="C603">_xll.GetLatestPrice(F603,"Actual","AssessmentDate")</f>
        <v>45826.645833333336</v>
      </c>
      <c r="D603">
        <f t="shared" si="18"/>
        <v>2025</v>
      </c>
      <c r="E603">
        <f t="shared" si="19"/>
        <v>6</v>
      </c>
      <c r="F603" s="9" t="s">
        <v>1204</v>
      </c>
      <c r="G603" s="9" t="s">
        <v>11</v>
      </c>
      <c r="H603" s="9" t="s">
        <v>12</v>
      </c>
    </row>
    <row r="604" spans="1:8" x14ac:dyDescent="0.25">
      <c r="A604" t="s">
        <v>1205</v>
      </c>
      <c r="B604" s="14" cm="1">
        <f t="array" ref="B604">_xll.GetLatestPrice(F604,,G604)</f>
        <v>775</v>
      </c>
      <c r="C604" s="1" cm="1">
        <f t="array" ref="C604">_xll.GetLatestPrice(F604,"Actual","AssessmentDate")</f>
        <v>45826.645833333336</v>
      </c>
      <c r="D604">
        <f t="shared" si="18"/>
        <v>2025</v>
      </c>
      <c r="E604">
        <f t="shared" si="19"/>
        <v>6</v>
      </c>
      <c r="F604" s="9" t="s">
        <v>1206</v>
      </c>
      <c r="G604" s="9" t="s">
        <v>11</v>
      </c>
      <c r="H604" s="9" t="s">
        <v>12</v>
      </c>
    </row>
    <row r="605" spans="1:8" x14ac:dyDescent="0.25">
      <c r="A605" t="s">
        <v>1207</v>
      </c>
      <c r="B605" s="14" cm="1">
        <f t="array" ref="B605">_xll.GetLatestPrice(F605,,G605)</f>
        <v>1050</v>
      </c>
      <c r="C605" s="1" cm="1">
        <f t="array" ref="C605">_xll.GetLatestPrice(F605,"Actual","AssessmentDate")</f>
        <v>45826.645833333336</v>
      </c>
      <c r="D605">
        <f t="shared" si="18"/>
        <v>2025</v>
      </c>
      <c r="E605">
        <f t="shared" si="19"/>
        <v>6</v>
      </c>
      <c r="F605" s="9" t="s">
        <v>1208</v>
      </c>
      <c r="G605" s="9" t="s">
        <v>11</v>
      </c>
      <c r="H605" s="9" t="s">
        <v>12</v>
      </c>
    </row>
    <row r="606" spans="1:8" x14ac:dyDescent="0.25">
      <c r="A606" t="s">
        <v>1209</v>
      </c>
      <c r="B606" s="14" cm="1">
        <f t="array" ref="B606">_xll.GetLatestPrice(F606,,G606)</f>
        <v>745</v>
      </c>
      <c r="C606" s="1" cm="1">
        <f t="array" ref="C606">_xll.GetLatestPrice(F606,"Actual","AssessmentDate")</f>
        <v>45826.645833333336</v>
      </c>
      <c r="D606">
        <f t="shared" si="18"/>
        <v>2025</v>
      </c>
      <c r="E606">
        <f t="shared" si="19"/>
        <v>6</v>
      </c>
      <c r="F606" s="9" t="s">
        <v>1210</v>
      </c>
      <c r="G606" s="9" t="s">
        <v>11</v>
      </c>
      <c r="H606" s="9" t="s">
        <v>12</v>
      </c>
    </row>
    <row r="607" spans="1:8" x14ac:dyDescent="0.25">
      <c r="A607" t="s">
        <v>1211</v>
      </c>
      <c r="B607" s="14" cm="1">
        <f t="array" ref="B607">_xll.GetLatestPrice(F607,,G607)</f>
        <v>450</v>
      </c>
      <c r="C607" s="1" cm="1">
        <f t="array" ref="C607">_xll.GetLatestPrice(F607,"Actual","AssessmentDate")</f>
        <v>45826.645833333336</v>
      </c>
      <c r="D607">
        <f t="shared" si="18"/>
        <v>2025</v>
      </c>
      <c r="E607">
        <f t="shared" si="19"/>
        <v>6</v>
      </c>
      <c r="F607" s="9" t="s">
        <v>1212</v>
      </c>
      <c r="G607" s="9" t="s">
        <v>11</v>
      </c>
      <c r="H607" s="9" t="s">
        <v>12</v>
      </c>
    </row>
    <row r="608" spans="1:8" x14ac:dyDescent="0.25">
      <c r="A608" t="s">
        <v>1213</v>
      </c>
      <c r="B608" s="14" cm="1">
        <f t="array" ref="B608">_xll.GetLatestPrice(F608,,G608)</f>
        <v>850</v>
      </c>
      <c r="C608" s="1" cm="1">
        <f t="array" ref="C608">_xll.GetLatestPrice(F608,"Actual","AssessmentDate")</f>
        <v>45826.645833333336</v>
      </c>
      <c r="D608">
        <f t="shared" si="18"/>
        <v>2025</v>
      </c>
      <c r="E608">
        <f t="shared" si="19"/>
        <v>6</v>
      </c>
      <c r="F608" s="9" t="s">
        <v>1214</v>
      </c>
      <c r="G608" s="9" t="s">
        <v>11</v>
      </c>
      <c r="H608" s="9" t="s">
        <v>12</v>
      </c>
    </row>
    <row r="609" spans="1:8" x14ac:dyDescent="0.25">
      <c r="A609" t="s">
        <v>1215</v>
      </c>
      <c r="B609" s="14" cm="1">
        <f t="array" ref="B609">_xll.GetLatestPrice(F609,,G609)</f>
        <v>680</v>
      </c>
      <c r="C609" s="1" cm="1">
        <f t="array" ref="C609">_xll.GetLatestPrice(F609,"Actual","AssessmentDate")</f>
        <v>45826.645833333336</v>
      </c>
      <c r="D609">
        <f t="shared" si="18"/>
        <v>2025</v>
      </c>
      <c r="E609">
        <f t="shared" si="19"/>
        <v>6</v>
      </c>
      <c r="F609" s="9" t="s">
        <v>1216</v>
      </c>
      <c r="G609" s="9" t="s">
        <v>11</v>
      </c>
      <c r="H609" s="9" t="s">
        <v>12</v>
      </c>
    </row>
    <row r="610" spans="1:8" x14ac:dyDescent="0.25">
      <c r="A610" t="s">
        <v>1217</v>
      </c>
      <c r="B610" s="14" cm="1">
        <f t="array" ref="B610">_xll.GetLatestPrice(F610,,G610)</f>
        <v>960</v>
      </c>
      <c r="C610" s="1" cm="1">
        <f t="array" ref="C610">_xll.GetLatestPrice(F610,"Actual","AssessmentDate")</f>
        <v>45826.645833333336</v>
      </c>
      <c r="D610">
        <f t="shared" si="18"/>
        <v>2025</v>
      </c>
      <c r="E610">
        <f t="shared" si="19"/>
        <v>6</v>
      </c>
      <c r="F610" s="9" t="s">
        <v>1218</v>
      </c>
      <c r="G610" s="9" t="s">
        <v>11</v>
      </c>
      <c r="H610" s="9" t="s">
        <v>12</v>
      </c>
    </row>
    <row r="611" spans="1:8" x14ac:dyDescent="0.25">
      <c r="A611" t="s">
        <v>1219</v>
      </c>
      <c r="B611" s="14" cm="1">
        <f t="array" ref="B611">_xll.GetLatestPrice(F611,,G611)</f>
        <v>940</v>
      </c>
      <c r="C611" s="1" cm="1">
        <f t="array" ref="C611">_xll.GetLatestPrice(F611,"Actual","AssessmentDate")</f>
        <v>45826.645833333336</v>
      </c>
      <c r="D611">
        <f t="shared" si="18"/>
        <v>2025</v>
      </c>
      <c r="E611">
        <f t="shared" si="19"/>
        <v>6</v>
      </c>
      <c r="F611" s="9" t="s">
        <v>1220</v>
      </c>
      <c r="G611" s="9" t="s">
        <v>11</v>
      </c>
      <c r="H611" s="9" t="s">
        <v>12</v>
      </c>
    </row>
    <row r="612" spans="1:8" x14ac:dyDescent="0.25">
      <c r="A612" t="s">
        <v>1221</v>
      </c>
      <c r="B612" s="14" cm="1">
        <f t="array" ref="B612">_xll.GetLatestPrice(F612,,G612)</f>
        <v>760</v>
      </c>
      <c r="C612" s="1" cm="1">
        <f t="array" ref="C612">_xll.GetLatestPrice(F612,"Actual","AssessmentDate")</f>
        <v>45826.645833333336</v>
      </c>
      <c r="D612">
        <f t="shared" si="18"/>
        <v>2025</v>
      </c>
      <c r="E612">
        <f t="shared" si="19"/>
        <v>6</v>
      </c>
      <c r="F612" s="9" t="s">
        <v>1222</v>
      </c>
      <c r="G612" s="9" t="s">
        <v>11</v>
      </c>
      <c r="H612" s="9" t="s">
        <v>12</v>
      </c>
    </row>
    <row r="613" spans="1:8" x14ac:dyDescent="0.25">
      <c r="A613" t="s">
        <v>1223</v>
      </c>
      <c r="B613" s="14" cm="1">
        <f t="array" ref="B613">_xll.GetLatestPrice(F613,,G613)</f>
        <v>1165</v>
      </c>
      <c r="C613" s="1" cm="1">
        <f t="array" ref="C613">_xll.GetLatestPrice(F613,"Actual","AssessmentDate")</f>
        <v>45826.645833333336</v>
      </c>
      <c r="D613">
        <f t="shared" si="18"/>
        <v>2025</v>
      </c>
      <c r="E613">
        <f t="shared" si="19"/>
        <v>6</v>
      </c>
      <c r="F613" s="9" t="s">
        <v>1224</v>
      </c>
      <c r="G613" s="9" t="s">
        <v>11</v>
      </c>
      <c r="H613" s="9" t="s">
        <v>12</v>
      </c>
    </row>
    <row r="614" spans="1:8" x14ac:dyDescent="0.25">
      <c r="A614" t="s">
        <v>1225</v>
      </c>
      <c r="B614" s="14" cm="1">
        <f t="array" ref="B614">_xll.GetLatestPrice(F614,,G614)</f>
        <v>805</v>
      </c>
      <c r="C614" s="1" cm="1">
        <f t="array" ref="C614">_xll.GetLatestPrice(F614,"Actual","AssessmentDate")</f>
        <v>45826.645833333336</v>
      </c>
      <c r="D614">
        <f t="shared" si="18"/>
        <v>2025</v>
      </c>
      <c r="E614">
        <f t="shared" si="19"/>
        <v>6</v>
      </c>
      <c r="F614" s="9" t="s">
        <v>1226</v>
      </c>
      <c r="G614" s="9" t="s">
        <v>11</v>
      </c>
      <c r="H614" s="9" t="s">
        <v>12</v>
      </c>
    </row>
    <row r="615" spans="1:8" x14ac:dyDescent="0.25">
      <c r="A615" t="s">
        <v>1227</v>
      </c>
      <c r="B615" s="14" cm="1">
        <f t="array" ref="B615">_xll.GetLatestPrice(F615,,G615)</f>
        <v>710</v>
      </c>
      <c r="C615" s="1" cm="1">
        <f t="array" ref="C615">_xll.GetLatestPrice(F615,"Actual","AssessmentDate")</f>
        <v>45826.645833333336</v>
      </c>
      <c r="D615">
        <f t="shared" si="18"/>
        <v>2025</v>
      </c>
      <c r="E615">
        <f t="shared" si="19"/>
        <v>6</v>
      </c>
      <c r="F615" s="9" t="s">
        <v>1228</v>
      </c>
      <c r="G615" s="9" t="s">
        <v>11</v>
      </c>
      <c r="H615" s="9" t="s">
        <v>12</v>
      </c>
    </row>
    <row r="616" spans="1:8" x14ac:dyDescent="0.25">
      <c r="A616" t="s">
        <v>1229</v>
      </c>
      <c r="B616" s="14" cm="1">
        <f t="array" ref="B616">_xll.GetLatestPrice(F616,,G616)</f>
        <v>635</v>
      </c>
      <c r="C616" s="1" cm="1">
        <f t="array" ref="C616">_xll.GetLatestPrice(F616,"Actual","AssessmentDate")</f>
        <v>45826.645833333336</v>
      </c>
      <c r="D616">
        <f t="shared" si="18"/>
        <v>2025</v>
      </c>
      <c r="E616">
        <f t="shared" si="19"/>
        <v>6</v>
      </c>
      <c r="F616" s="9" t="s">
        <v>1230</v>
      </c>
      <c r="G616" s="9" t="s">
        <v>11</v>
      </c>
      <c r="H616" s="9" t="s">
        <v>12</v>
      </c>
    </row>
    <row r="617" spans="1:8" x14ac:dyDescent="0.25">
      <c r="A617" t="s">
        <v>1231</v>
      </c>
      <c r="B617" s="14" cm="1">
        <f t="array" ref="B617">_xll.GetLatestPrice(F617,,G617)</f>
        <v>645</v>
      </c>
      <c r="C617" s="1" cm="1">
        <f t="array" ref="C617">_xll.GetLatestPrice(F617,"Actual","AssessmentDate")</f>
        <v>45826.645833333336</v>
      </c>
      <c r="D617">
        <f t="shared" si="18"/>
        <v>2025</v>
      </c>
      <c r="E617">
        <f t="shared" si="19"/>
        <v>6</v>
      </c>
      <c r="F617" s="9" t="s">
        <v>1232</v>
      </c>
      <c r="G617" s="9" t="s">
        <v>11</v>
      </c>
      <c r="H617" s="9" t="s">
        <v>12</v>
      </c>
    </row>
    <row r="618" spans="1:8" x14ac:dyDescent="0.25">
      <c r="A618" t="s">
        <v>1233</v>
      </c>
      <c r="B618" s="14" cm="1">
        <f t="array" ref="B618">_xll.GetLatestPrice(F618,,G618)</f>
        <v>745</v>
      </c>
      <c r="C618" s="1" cm="1">
        <f t="array" ref="C618">_xll.GetLatestPrice(F618,"Actual","AssessmentDate")</f>
        <v>45826.645833333336</v>
      </c>
      <c r="D618">
        <f t="shared" si="18"/>
        <v>2025</v>
      </c>
      <c r="E618">
        <f t="shared" si="19"/>
        <v>6</v>
      </c>
      <c r="F618" s="9" t="s">
        <v>1234</v>
      </c>
      <c r="G618" s="9" t="s">
        <v>11</v>
      </c>
      <c r="H618" s="9" t="s">
        <v>12</v>
      </c>
    </row>
    <row r="619" spans="1:8" x14ac:dyDescent="0.25">
      <c r="A619" t="s">
        <v>1235</v>
      </c>
      <c r="B619" s="14" cm="1">
        <f t="array" ref="B619">_xll.GetLatestPrice(F619,,G619)</f>
        <v>2695</v>
      </c>
      <c r="C619" s="1" cm="1">
        <f t="array" ref="C619">_xll.GetLatestPrice(F619,"Actual","AssessmentDate")</f>
        <v>45826.645833333336</v>
      </c>
      <c r="D619">
        <f t="shared" si="18"/>
        <v>2025</v>
      </c>
      <c r="E619">
        <f t="shared" si="19"/>
        <v>6</v>
      </c>
      <c r="F619" s="9" t="s">
        <v>1236</v>
      </c>
      <c r="G619" s="9" t="s">
        <v>11</v>
      </c>
      <c r="H619" s="9" t="s">
        <v>12</v>
      </c>
    </row>
    <row r="620" spans="1:8" x14ac:dyDescent="0.25">
      <c r="A620" t="s">
        <v>1237</v>
      </c>
      <c r="B620" s="14" cm="1">
        <f t="array" ref="B620">_xll.GetLatestPrice(F620,,G620)</f>
        <v>435</v>
      </c>
      <c r="C620" s="1" cm="1">
        <f t="array" ref="C620">_xll.GetLatestPrice(F620,"Actual","AssessmentDate")</f>
        <v>45826.645833333336</v>
      </c>
      <c r="D620">
        <f t="shared" si="18"/>
        <v>2025</v>
      </c>
      <c r="E620">
        <f t="shared" si="19"/>
        <v>6</v>
      </c>
      <c r="F620" s="9" t="s">
        <v>1238</v>
      </c>
      <c r="G620" s="9" t="s">
        <v>11</v>
      </c>
      <c r="H620" s="9" t="s">
        <v>12</v>
      </c>
    </row>
    <row r="621" spans="1:8" x14ac:dyDescent="0.25">
      <c r="A621" t="s">
        <v>1239</v>
      </c>
      <c r="B621" s="14" cm="1">
        <f t="array" ref="B621">_xll.GetLatestPrice(F621,,G621)</f>
        <v>435</v>
      </c>
      <c r="C621" s="1" cm="1">
        <f t="array" ref="C621">_xll.GetLatestPrice(F621,"Actual","AssessmentDate")</f>
        <v>45826.645833333336</v>
      </c>
      <c r="D621">
        <f t="shared" si="18"/>
        <v>2025</v>
      </c>
      <c r="E621">
        <f t="shared" si="19"/>
        <v>6</v>
      </c>
      <c r="F621" s="9" t="s">
        <v>1240</v>
      </c>
      <c r="G621" s="9" t="s">
        <v>11</v>
      </c>
      <c r="H621" s="9" t="s">
        <v>12</v>
      </c>
    </row>
    <row r="622" spans="1:8" x14ac:dyDescent="0.25">
      <c r="A622" t="s">
        <v>1241</v>
      </c>
      <c r="B622" s="14" cm="1">
        <f t="array" ref="B622">_xll.GetLatestPrice(F622,,G622)</f>
        <v>550</v>
      </c>
      <c r="C622" s="1" cm="1">
        <f t="array" ref="C622">_xll.GetLatestPrice(F622,"Actual","AssessmentDate")</f>
        <v>45826.645833333336</v>
      </c>
      <c r="D622">
        <f t="shared" si="18"/>
        <v>2025</v>
      </c>
      <c r="E622">
        <f t="shared" si="19"/>
        <v>6</v>
      </c>
      <c r="F622" s="9" t="s">
        <v>1242</v>
      </c>
      <c r="G622" s="9" t="s">
        <v>11</v>
      </c>
      <c r="H622" s="9" t="s">
        <v>12</v>
      </c>
    </row>
    <row r="623" spans="1:8" x14ac:dyDescent="0.25">
      <c r="A623" t="s">
        <v>1243</v>
      </c>
      <c r="B623" s="14" cm="1">
        <f t="array" ref="B623">_xll.GetLatestPrice(F623,,G623)</f>
        <v>520</v>
      </c>
      <c r="C623" s="1" cm="1">
        <f t="array" ref="C623">_xll.GetLatestPrice(F623,"Actual","AssessmentDate")</f>
        <v>45826.645833333336</v>
      </c>
      <c r="D623">
        <f t="shared" si="18"/>
        <v>2025</v>
      </c>
      <c r="E623">
        <f t="shared" si="19"/>
        <v>6</v>
      </c>
      <c r="F623" s="9" t="s">
        <v>1244</v>
      </c>
      <c r="G623" s="9" t="s">
        <v>11</v>
      </c>
      <c r="H623" s="9" t="s">
        <v>12</v>
      </c>
    </row>
    <row r="624" spans="1:8" x14ac:dyDescent="0.25">
      <c r="A624" t="s">
        <v>1245</v>
      </c>
      <c r="B624" s="14" cm="1">
        <f t="array" ref="B624">_xll.GetLatestPrice(F624,,G624)</f>
        <v>450</v>
      </c>
      <c r="C624" s="1" cm="1">
        <f t="array" ref="C624">_xll.GetLatestPrice(F624,"Actual","AssessmentDate")</f>
        <v>45826.645833333336</v>
      </c>
      <c r="D624">
        <f t="shared" si="18"/>
        <v>2025</v>
      </c>
      <c r="E624">
        <f t="shared" si="19"/>
        <v>6</v>
      </c>
      <c r="F624" s="9" t="s">
        <v>1246</v>
      </c>
      <c r="G624" s="9" t="s">
        <v>11</v>
      </c>
      <c r="H624" s="9" t="s">
        <v>12</v>
      </c>
    </row>
    <row r="625" spans="1:8" x14ac:dyDescent="0.25">
      <c r="A625" t="s">
        <v>1247</v>
      </c>
      <c r="B625" s="14" cm="1">
        <f t="array" ref="B625">_xll.GetLatestPrice(F625,,G625)</f>
        <v>410</v>
      </c>
      <c r="C625" s="1" cm="1">
        <f t="array" ref="C625">_xll.GetLatestPrice(F625,"Actual","AssessmentDate")</f>
        <v>45826.645833333336</v>
      </c>
      <c r="D625">
        <f t="shared" si="18"/>
        <v>2025</v>
      </c>
      <c r="E625">
        <f t="shared" si="19"/>
        <v>6</v>
      </c>
      <c r="F625" s="9" t="s">
        <v>1248</v>
      </c>
      <c r="G625" s="9" t="s">
        <v>11</v>
      </c>
      <c r="H625" s="9" t="s">
        <v>12</v>
      </c>
    </row>
    <row r="626" spans="1:8" x14ac:dyDescent="0.25">
      <c r="A626" t="s">
        <v>1249</v>
      </c>
      <c r="B626" s="14" cm="1">
        <f t="array" ref="B626">_xll.GetLatestPrice(F626,,G626)</f>
        <v>650</v>
      </c>
      <c r="C626" s="1" cm="1">
        <f t="array" ref="C626">_xll.GetLatestPrice(F626,"Actual","AssessmentDate")</f>
        <v>45826.645833333336</v>
      </c>
      <c r="D626">
        <f t="shared" si="18"/>
        <v>2025</v>
      </c>
      <c r="E626">
        <f t="shared" si="19"/>
        <v>6</v>
      </c>
      <c r="F626" s="9" t="s">
        <v>1250</v>
      </c>
      <c r="G626" s="9" t="s">
        <v>11</v>
      </c>
      <c r="H626" s="9" t="s">
        <v>12</v>
      </c>
    </row>
    <row r="627" spans="1:8" x14ac:dyDescent="0.25">
      <c r="A627" t="s">
        <v>1251</v>
      </c>
      <c r="B627" s="14" cm="1">
        <f t="array" ref="B627">_xll.GetLatestPrice(F627,,G627)</f>
        <v>535</v>
      </c>
      <c r="C627" s="1" cm="1">
        <f t="array" ref="C627">_xll.GetLatestPrice(F627,"Actual","AssessmentDate")</f>
        <v>45826.645833333336</v>
      </c>
      <c r="D627">
        <f t="shared" si="18"/>
        <v>2025</v>
      </c>
      <c r="E627">
        <f t="shared" si="19"/>
        <v>6</v>
      </c>
      <c r="F627" s="9" t="s">
        <v>1252</v>
      </c>
      <c r="G627" s="9" t="s">
        <v>11</v>
      </c>
      <c r="H627" s="9" t="s">
        <v>12</v>
      </c>
    </row>
    <row r="628" spans="1:8" x14ac:dyDescent="0.25">
      <c r="A628" t="s">
        <v>1253</v>
      </c>
      <c r="B628" s="14" cm="1">
        <f t="array" ref="B628">_xll.GetLatestPrice(F628,,G628)</f>
        <v>400</v>
      </c>
      <c r="C628" s="1" cm="1">
        <f t="array" ref="C628">_xll.GetLatestPrice(F628,"Actual","AssessmentDate")</f>
        <v>45826.645833333336</v>
      </c>
      <c r="D628">
        <f t="shared" si="18"/>
        <v>2025</v>
      </c>
      <c r="E628">
        <f t="shared" si="19"/>
        <v>6</v>
      </c>
      <c r="F628" s="9" t="s">
        <v>1254</v>
      </c>
      <c r="G628" s="9" t="s">
        <v>11</v>
      </c>
      <c r="H628" s="9" t="s">
        <v>12</v>
      </c>
    </row>
    <row r="629" spans="1:8" x14ac:dyDescent="0.25">
      <c r="A629" t="s">
        <v>1255</v>
      </c>
      <c r="B629" s="14" cm="1">
        <f t="array" ref="B629">_xll.GetLatestPrice(F629,,G629)</f>
        <v>320</v>
      </c>
      <c r="C629" s="1" cm="1">
        <f t="array" ref="C629">_xll.GetLatestPrice(F629,"Actual","AssessmentDate")</f>
        <v>45826.645833333336</v>
      </c>
      <c r="D629">
        <f t="shared" si="18"/>
        <v>2025</v>
      </c>
      <c r="E629">
        <f t="shared" si="19"/>
        <v>6</v>
      </c>
      <c r="F629" s="9" t="s">
        <v>1256</v>
      </c>
      <c r="G629" s="9" t="s">
        <v>11</v>
      </c>
      <c r="H629" s="9" t="s">
        <v>12</v>
      </c>
    </row>
    <row r="630" spans="1:8" x14ac:dyDescent="0.25">
      <c r="A630" t="s">
        <v>1257</v>
      </c>
      <c r="B630" s="14" cm="1">
        <f t="array" ref="B630">_xll.GetLatestPrice(F630,,G630)</f>
        <v>320</v>
      </c>
      <c r="C630" s="1" cm="1">
        <f t="array" ref="C630">_xll.GetLatestPrice(F630,"Actual","AssessmentDate")</f>
        <v>45826.645833333336</v>
      </c>
      <c r="D630">
        <f t="shared" si="18"/>
        <v>2025</v>
      </c>
      <c r="E630">
        <f t="shared" si="19"/>
        <v>6</v>
      </c>
      <c r="F630" s="9" t="s">
        <v>1258</v>
      </c>
      <c r="G630" s="9" t="s">
        <v>11</v>
      </c>
      <c r="H630" s="9" t="s">
        <v>12</v>
      </c>
    </row>
    <row r="631" spans="1:8" x14ac:dyDescent="0.25">
      <c r="A631" t="s">
        <v>1259</v>
      </c>
      <c r="B631" s="14" cm="1">
        <f t="array" ref="B631">_xll.GetLatestPrice(F631,,G631)</f>
        <v>475</v>
      </c>
      <c r="C631" s="1" cm="1">
        <f t="array" ref="C631">_xll.GetLatestPrice(F631,"Actual","AssessmentDate")</f>
        <v>45826.645833333336</v>
      </c>
      <c r="D631">
        <f t="shared" si="18"/>
        <v>2025</v>
      </c>
      <c r="E631">
        <f t="shared" si="19"/>
        <v>6</v>
      </c>
      <c r="F631" s="9" t="s">
        <v>1260</v>
      </c>
      <c r="G631" s="9" t="s">
        <v>11</v>
      </c>
      <c r="H631" s="9" t="s">
        <v>12</v>
      </c>
    </row>
    <row r="632" spans="1:8" x14ac:dyDescent="0.25">
      <c r="A632" t="s">
        <v>1261</v>
      </c>
      <c r="B632" s="14" cm="1">
        <f t="array" ref="B632">_xll.GetLatestPrice(F632,,G632)</f>
        <v>530</v>
      </c>
      <c r="C632" s="1" cm="1">
        <f t="array" ref="C632">_xll.GetLatestPrice(F632,"Actual","AssessmentDate")</f>
        <v>45826.645833333336</v>
      </c>
      <c r="D632">
        <f t="shared" si="18"/>
        <v>2025</v>
      </c>
      <c r="E632">
        <f t="shared" si="19"/>
        <v>6</v>
      </c>
      <c r="F632" s="9" t="s">
        <v>1262</v>
      </c>
      <c r="G632" s="9" t="s">
        <v>11</v>
      </c>
      <c r="H632" s="9" t="s">
        <v>12</v>
      </c>
    </row>
    <row r="633" spans="1:8" x14ac:dyDescent="0.25">
      <c r="A633" t="s">
        <v>1263</v>
      </c>
      <c r="B633" s="14" cm="1">
        <f t="array" ref="B633">_xll.GetLatestPrice(F633,,G633)</f>
        <v>615</v>
      </c>
      <c r="C633" s="1" cm="1">
        <f t="array" ref="C633">_xll.GetLatestPrice(F633,"Actual","AssessmentDate")</f>
        <v>45826.645833333336</v>
      </c>
      <c r="D633">
        <f t="shared" si="18"/>
        <v>2025</v>
      </c>
      <c r="E633">
        <f t="shared" si="19"/>
        <v>6</v>
      </c>
      <c r="F633" s="9" t="s">
        <v>1264</v>
      </c>
      <c r="G633" s="9" t="s">
        <v>11</v>
      </c>
      <c r="H633" s="9" t="s">
        <v>12</v>
      </c>
    </row>
    <row r="634" spans="1:8" x14ac:dyDescent="0.25">
      <c r="A634" t="s">
        <v>1265</v>
      </c>
      <c r="B634" s="14" cm="1">
        <f t="array" ref="B634">_xll.GetLatestPrice(F634,,G634)</f>
        <v>580</v>
      </c>
      <c r="C634" s="1" cm="1">
        <f t="array" ref="C634">_xll.GetLatestPrice(F634,"Actual","AssessmentDate")</f>
        <v>45826.645833333336</v>
      </c>
      <c r="D634">
        <f t="shared" si="18"/>
        <v>2025</v>
      </c>
      <c r="E634">
        <f t="shared" si="19"/>
        <v>6</v>
      </c>
      <c r="F634" s="9" t="s">
        <v>1266</v>
      </c>
      <c r="G634" s="9" t="s">
        <v>11</v>
      </c>
      <c r="H634" s="9" t="s">
        <v>12</v>
      </c>
    </row>
    <row r="635" spans="1:8" x14ac:dyDescent="0.25">
      <c r="A635" t="s">
        <v>1267</v>
      </c>
      <c r="B635" s="14" cm="1">
        <f t="array" ref="B635">_xll.GetLatestPrice(F635,,G635)</f>
        <v>550</v>
      </c>
      <c r="C635" s="1" cm="1">
        <f t="array" ref="C635">_xll.GetLatestPrice(F635,"Actual","AssessmentDate")</f>
        <v>45826.645833333336</v>
      </c>
      <c r="D635">
        <f t="shared" si="18"/>
        <v>2025</v>
      </c>
      <c r="E635">
        <f t="shared" si="19"/>
        <v>6</v>
      </c>
      <c r="F635" s="9" t="s">
        <v>1268</v>
      </c>
      <c r="G635" s="9" t="s">
        <v>11</v>
      </c>
      <c r="H635" s="9" t="s">
        <v>12</v>
      </c>
    </row>
    <row r="636" spans="1:8" x14ac:dyDescent="0.25">
      <c r="A636" t="s">
        <v>1269</v>
      </c>
      <c r="B636" s="14" cm="1">
        <f t="array" ref="B636">_xll.GetLatestPrice(F636,,G636)</f>
        <v>775</v>
      </c>
      <c r="C636" s="1" cm="1">
        <f t="array" ref="C636">_xll.GetLatestPrice(F636,"Actual","AssessmentDate")</f>
        <v>45826.645833333336</v>
      </c>
      <c r="D636">
        <f t="shared" si="18"/>
        <v>2025</v>
      </c>
      <c r="E636">
        <f t="shared" si="19"/>
        <v>6</v>
      </c>
      <c r="F636" s="9" t="s">
        <v>1270</v>
      </c>
      <c r="G636" s="9" t="s">
        <v>11</v>
      </c>
      <c r="H636" s="9" t="s">
        <v>12</v>
      </c>
    </row>
    <row r="637" spans="1:8" x14ac:dyDescent="0.25">
      <c r="A637" t="s">
        <v>1271</v>
      </c>
      <c r="B637" s="14" cm="1">
        <f t="array" ref="B637">_xll.GetLatestPrice(F637,,G637)</f>
        <v>405</v>
      </c>
      <c r="C637" s="1" cm="1">
        <f t="array" ref="C637">_xll.GetLatestPrice(F637,"Actual","AssessmentDate")</f>
        <v>45826.645833333336</v>
      </c>
      <c r="D637">
        <f t="shared" si="18"/>
        <v>2025</v>
      </c>
      <c r="E637">
        <f t="shared" si="19"/>
        <v>6</v>
      </c>
      <c r="F637" s="9" t="s">
        <v>1272</v>
      </c>
      <c r="G637" s="9" t="s">
        <v>11</v>
      </c>
      <c r="H637" s="9" t="s">
        <v>12</v>
      </c>
    </row>
    <row r="638" spans="1:8" x14ac:dyDescent="0.25">
      <c r="A638" t="s">
        <v>1273</v>
      </c>
      <c r="B638" s="14" cm="1">
        <f t="array" ref="B638">_xll.GetLatestPrice(F638,,G638)</f>
        <v>345</v>
      </c>
      <c r="C638" s="1" cm="1">
        <f t="array" ref="C638">_xll.GetLatestPrice(F638,"Actual","AssessmentDate")</f>
        <v>45826.645833333336</v>
      </c>
      <c r="D638">
        <f t="shared" si="18"/>
        <v>2025</v>
      </c>
      <c r="E638">
        <f t="shared" si="19"/>
        <v>6</v>
      </c>
      <c r="F638" s="9" t="s">
        <v>1274</v>
      </c>
      <c r="G638" s="9" t="s">
        <v>11</v>
      </c>
      <c r="H638" s="9" t="s">
        <v>12</v>
      </c>
    </row>
    <row r="639" spans="1:8" x14ac:dyDescent="0.25">
      <c r="A639" t="s">
        <v>1275</v>
      </c>
      <c r="B639" s="14" cm="1">
        <f t="array" ref="B639">_xll.GetLatestPrice(F639,,G639)</f>
        <v>295</v>
      </c>
      <c r="C639" s="1" cm="1">
        <f t="array" ref="C639">_xll.GetLatestPrice(F639,"Actual","AssessmentDate")</f>
        <v>45826.645833333336</v>
      </c>
      <c r="D639">
        <f t="shared" si="18"/>
        <v>2025</v>
      </c>
      <c r="E639">
        <f t="shared" si="19"/>
        <v>6</v>
      </c>
      <c r="F639" s="9" t="s">
        <v>1276</v>
      </c>
      <c r="G639" s="9" t="s">
        <v>11</v>
      </c>
      <c r="H639" s="9" t="s">
        <v>12</v>
      </c>
    </row>
    <row r="640" spans="1:8" x14ac:dyDescent="0.25">
      <c r="A640" t="s">
        <v>1277</v>
      </c>
      <c r="B640" s="14" cm="1">
        <f t="array" ref="B640">_xll.GetLatestPrice(F640,,G640)</f>
        <v>405</v>
      </c>
      <c r="C640" s="1" cm="1">
        <f t="array" ref="C640">_xll.GetLatestPrice(F640,"Actual","AssessmentDate")</f>
        <v>45826.645833333336</v>
      </c>
      <c r="D640">
        <f t="shared" si="18"/>
        <v>2025</v>
      </c>
      <c r="E640">
        <f t="shared" si="19"/>
        <v>6</v>
      </c>
      <c r="F640" s="9" t="s">
        <v>1278</v>
      </c>
      <c r="G640" s="9" t="s">
        <v>11</v>
      </c>
      <c r="H640" s="9" t="s">
        <v>12</v>
      </c>
    </row>
    <row r="641" spans="1:8" x14ac:dyDescent="0.25">
      <c r="A641" t="s">
        <v>1279</v>
      </c>
      <c r="B641" s="14" cm="1">
        <f t="array" ref="B641">_xll.GetLatestPrice(F641,,G641)</f>
        <v>335</v>
      </c>
      <c r="C641" s="1" cm="1">
        <f t="array" ref="C641">_xll.GetLatestPrice(F641,"Actual","AssessmentDate")</f>
        <v>45826.645833333336</v>
      </c>
      <c r="D641">
        <f t="shared" si="18"/>
        <v>2025</v>
      </c>
      <c r="E641">
        <f t="shared" si="19"/>
        <v>6</v>
      </c>
      <c r="F641" s="9" t="s">
        <v>1280</v>
      </c>
      <c r="G641" s="9" t="s">
        <v>11</v>
      </c>
      <c r="H641" s="9" t="s">
        <v>12</v>
      </c>
    </row>
    <row r="642" spans="1:8" x14ac:dyDescent="0.25">
      <c r="A642" t="s">
        <v>1281</v>
      </c>
      <c r="B642" s="14" cm="1">
        <f t="array" ref="B642">_xll.GetLatestPrice(F642,,G642)</f>
        <v>2195</v>
      </c>
      <c r="C642" s="1" cm="1">
        <f t="array" ref="C642">_xll.GetLatestPrice(F642,"Actual","AssessmentDate")</f>
        <v>45826.645833333336</v>
      </c>
      <c r="D642">
        <f t="shared" si="18"/>
        <v>2025</v>
      </c>
      <c r="E642">
        <f t="shared" si="19"/>
        <v>6</v>
      </c>
      <c r="F642" s="9" t="s">
        <v>1282</v>
      </c>
      <c r="G642" s="9" t="s">
        <v>11</v>
      </c>
      <c r="H642" s="9" t="s">
        <v>12</v>
      </c>
    </row>
    <row r="643" spans="1:8" x14ac:dyDescent="0.25">
      <c r="A643" t="s">
        <v>1283</v>
      </c>
      <c r="B643" s="14" cm="1">
        <f t="array" ref="B643">_xll.GetLatestPrice(F643,,G643)</f>
        <v>2300</v>
      </c>
      <c r="C643" s="1" cm="1">
        <f t="array" ref="C643">_xll.GetLatestPrice(F643,"Actual","AssessmentDate")</f>
        <v>45826.645833333336</v>
      </c>
      <c r="D643">
        <f t="shared" ref="D643:D706" si="20">YEAR(C643)</f>
        <v>2025</v>
      </c>
      <c r="E643">
        <f t="shared" ref="E643:E706" si="21">MONTH(C643)</f>
        <v>6</v>
      </c>
      <c r="F643" s="9" t="s">
        <v>1284</v>
      </c>
      <c r="G643" s="9" t="s">
        <v>11</v>
      </c>
      <c r="H643" s="9" t="s">
        <v>12</v>
      </c>
    </row>
    <row r="644" spans="1:8" x14ac:dyDescent="0.25">
      <c r="A644" t="s">
        <v>1285</v>
      </c>
      <c r="B644" s="14" cm="1">
        <f t="array" ref="B644">_xll.GetLatestPrice(F644,,G644)</f>
        <v>355</v>
      </c>
      <c r="C644" s="1" cm="1">
        <f t="array" ref="C644">_xll.GetLatestPrice(F644,"Actual","AssessmentDate")</f>
        <v>45826.645833333336</v>
      </c>
      <c r="D644">
        <f t="shared" si="20"/>
        <v>2025</v>
      </c>
      <c r="E644">
        <f t="shared" si="21"/>
        <v>6</v>
      </c>
      <c r="F644" s="9" t="s">
        <v>1286</v>
      </c>
      <c r="G644" s="9" t="s">
        <v>11</v>
      </c>
      <c r="H644" s="9" t="s">
        <v>12</v>
      </c>
    </row>
    <row r="645" spans="1:8" x14ac:dyDescent="0.25">
      <c r="A645" t="s">
        <v>1287</v>
      </c>
      <c r="B645" s="14" cm="1">
        <f t="array" ref="B645">_xll.GetLatestPrice(F645,,G645)</f>
        <v>335</v>
      </c>
      <c r="C645" s="1" cm="1">
        <f t="array" ref="C645">_xll.GetLatestPrice(F645,"Actual","AssessmentDate")</f>
        <v>45826.645833333336</v>
      </c>
      <c r="D645">
        <f t="shared" si="20"/>
        <v>2025</v>
      </c>
      <c r="E645">
        <f t="shared" si="21"/>
        <v>6</v>
      </c>
      <c r="F645" s="9" t="s">
        <v>1288</v>
      </c>
      <c r="G645" s="9" t="s">
        <v>11</v>
      </c>
      <c r="H645" s="9" t="s">
        <v>12</v>
      </c>
    </row>
    <row r="646" spans="1:8" x14ac:dyDescent="0.25">
      <c r="A646" t="s">
        <v>1289</v>
      </c>
      <c r="B646" s="14" cm="1">
        <f t="array" ref="B646">_xll.GetLatestPrice(F646,,G646)</f>
        <v>275</v>
      </c>
      <c r="C646" s="1" cm="1">
        <f t="array" ref="C646">_xll.GetLatestPrice(F646,"Actual","AssessmentDate")</f>
        <v>45826.645833333336</v>
      </c>
      <c r="D646">
        <f t="shared" si="20"/>
        <v>2025</v>
      </c>
      <c r="E646">
        <f t="shared" si="21"/>
        <v>6</v>
      </c>
      <c r="F646" s="9" t="s">
        <v>1290</v>
      </c>
      <c r="G646" s="9" t="s">
        <v>11</v>
      </c>
      <c r="H646" s="9" t="s">
        <v>12</v>
      </c>
    </row>
    <row r="647" spans="1:8" x14ac:dyDescent="0.25">
      <c r="A647" t="s">
        <v>1291</v>
      </c>
      <c r="B647" s="14" cm="1">
        <f t="array" ref="B647">_xll.GetLatestPrice(F647,,G647)</f>
        <v>260</v>
      </c>
      <c r="C647" s="1" cm="1">
        <f t="array" ref="C647">_xll.GetLatestPrice(F647,"Actual","AssessmentDate")</f>
        <v>45826.645833333336</v>
      </c>
      <c r="D647">
        <f t="shared" si="20"/>
        <v>2025</v>
      </c>
      <c r="E647">
        <f t="shared" si="21"/>
        <v>6</v>
      </c>
      <c r="F647" s="9" t="s">
        <v>1292</v>
      </c>
      <c r="G647" s="9" t="s">
        <v>11</v>
      </c>
      <c r="H647" s="9" t="s">
        <v>12</v>
      </c>
    </row>
    <row r="648" spans="1:8" x14ac:dyDescent="0.25">
      <c r="A648" t="s">
        <v>1293</v>
      </c>
      <c r="B648" s="14" cm="1">
        <f t="array" ref="B648">_xll.GetLatestPrice(F648,,G648)</f>
        <v>335</v>
      </c>
      <c r="C648" s="1" cm="1">
        <f t="array" ref="C648">_xll.GetLatestPrice(F648,"Actual","AssessmentDate")</f>
        <v>45826.645833333336</v>
      </c>
      <c r="D648">
        <f t="shared" si="20"/>
        <v>2025</v>
      </c>
      <c r="E648">
        <f t="shared" si="21"/>
        <v>6</v>
      </c>
      <c r="F648" s="9" t="s">
        <v>1294</v>
      </c>
      <c r="G648" s="9" t="s">
        <v>11</v>
      </c>
      <c r="H648" s="9" t="s">
        <v>12</v>
      </c>
    </row>
    <row r="649" spans="1:8" x14ac:dyDescent="0.25">
      <c r="A649" t="s">
        <v>1295</v>
      </c>
      <c r="B649" s="14" cm="1">
        <f t="array" ref="B649">_xll.GetLatestPrice(F649,,G649)</f>
        <v>330</v>
      </c>
      <c r="C649" s="1" cm="1">
        <f t="array" ref="C649">_xll.GetLatestPrice(F649,"Actual","AssessmentDate")</f>
        <v>45826.645833333336</v>
      </c>
      <c r="D649">
        <f t="shared" si="20"/>
        <v>2025</v>
      </c>
      <c r="E649">
        <f t="shared" si="21"/>
        <v>6</v>
      </c>
      <c r="F649" s="9" t="s">
        <v>1296</v>
      </c>
      <c r="G649" s="9" t="s">
        <v>11</v>
      </c>
      <c r="H649" s="9" t="s">
        <v>12</v>
      </c>
    </row>
    <row r="650" spans="1:8" x14ac:dyDescent="0.25">
      <c r="A650" t="s">
        <v>1297</v>
      </c>
      <c r="B650" s="14" cm="1">
        <f t="array" ref="B650">_xll.GetLatestPrice(F650,,G650)</f>
        <v>225</v>
      </c>
      <c r="C650" s="1" cm="1">
        <f t="array" ref="C650">_xll.GetLatestPrice(F650,"Actual","AssessmentDate")</f>
        <v>45826.645833333336</v>
      </c>
      <c r="D650">
        <f t="shared" si="20"/>
        <v>2025</v>
      </c>
      <c r="E650">
        <f t="shared" si="21"/>
        <v>6</v>
      </c>
      <c r="F650" s="9" t="s">
        <v>1298</v>
      </c>
      <c r="G650" s="9" t="s">
        <v>11</v>
      </c>
      <c r="H650" s="9" t="s">
        <v>12</v>
      </c>
    </row>
    <row r="651" spans="1:8" x14ac:dyDescent="0.25">
      <c r="A651" t="s">
        <v>1299</v>
      </c>
      <c r="B651" s="14" cm="1">
        <f t="array" ref="B651">_xll.GetLatestPrice(F651,,G651)</f>
        <v>225</v>
      </c>
      <c r="C651" s="1" cm="1">
        <f t="array" ref="C651">_xll.GetLatestPrice(F651,"Actual","AssessmentDate")</f>
        <v>45826.645833333336</v>
      </c>
      <c r="D651">
        <f t="shared" si="20"/>
        <v>2025</v>
      </c>
      <c r="E651">
        <f t="shared" si="21"/>
        <v>6</v>
      </c>
      <c r="F651" s="9" t="s">
        <v>1300</v>
      </c>
      <c r="G651" s="9" t="s">
        <v>11</v>
      </c>
      <c r="H651" s="9" t="s">
        <v>12</v>
      </c>
    </row>
    <row r="652" spans="1:8" x14ac:dyDescent="0.25">
      <c r="A652" t="s">
        <v>1301</v>
      </c>
      <c r="B652" s="14" cm="1">
        <f t="array" ref="B652">_xll.GetLatestPrice(F652,,G652)</f>
        <v>225</v>
      </c>
      <c r="C652" s="1" cm="1">
        <f t="array" ref="C652">_xll.GetLatestPrice(F652,"Actual","AssessmentDate")</f>
        <v>45826.645833333336</v>
      </c>
      <c r="D652">
        <f t="shared" si="20"/>
        <v>2025</v>
      </c>
      <c r="E652">
        <f t="shared" si="21"/>
        <v>6</v>
      </c>
      <c r="F652" s="9" t="s">
        <v>1302</v>
      </c>
      <c r="G652" s="9" t="s">
        <v>11</v>
      </c>
      <c r="H652" s="9" t="s">
        <v>12</v>
      </c>
    </row>
    <row r="653" spans="1:8" x14ac:dyDescent="0.25">
      <c r="A653" t="s">
        <v>1303</v>
      </c>
      <c r="B653" s="14" cm="1">
        <f t="array" ref="B653">_xll.GetLatestPrice(F653,,G653)</f>
        <v>250</v>
      </c>
      <c r="C653" s="1" cm="1">
        <f t="array" ref="C653">_xll.GetLatestPrice(F653,"Actual","AssessmentDate")</f>
        <v>45826.645833333336</v>
      </c>
      <c r="D653">
        <f t="shared" si="20"/>
        <v>2025</v>
      </c>
      <c r="E653">
        <f t="shared" si="21"/>
        <v>6</v>
      </c>
      <c r="F653" s="9" t="s">
        <v>1304</v>
      </c>
      <c r="G653" s="9" t="s">
        <v>11</v>
      </c>
      <c r="H653" s="9" t="s">
        <v>12</v>
      </c>
    </row>
    <row r="654" spans="1:8" x14ac:dyDescent="0.25">
      <c r="A654" t="s">
        <v>1305</v>
      </c>
      <c r="B654" s="14" cm="1">
        <f t="array" ref="B654">_xll.GetLatestPrice(F654,,G654)</f>
        <v>345</v>
      </c>
      <c r="C654" s="1" cm="1">
        <f t="array" ref="C654">_xll.GetLatestPrice(F654,"Actual","AssessmentDate")</f>
        <v>45826.645833333336</v>
      </c>
      <c r="D654">
        <f t="shared" si="20"/>
        <v>2025</v>
      </c>
      <c r="E654">
        <f t="shared" si="21"/>
        <v>6</v>
      </c>
      <c r="F654" s="9" t="s">
        <v>1306</v>
      </c>
      <c r="G654" s="9" t="s">
        <v>11</v>
      </c>
      <c r="H654" s="9" t="s">
        <v>12</v>
      </c>
    </row>
    <row r="655" spans="1:8" x14ac:dyDescent="0.25">
      <c r="A655" t="s">
        <v>1307</v>
      </c>
      <c r="B655" s="14" cm="1">
        <f t="array" ref="B655">_xll.GetLatestPrice(F655,,G655)</f>
        <v>340</v>
      </c>
      <c r="C655" s="1" cm="1">
        <f t="array" ref="C655">_xll.GetLatestPrice(F655,"Actual","AssessmentDate")</f>
        <v>45826.645833333336</v>
      </c>
      <c r="D655">
        <f t="shared" si="20"/>
        <v>2025</v>
      </c>
      <c r="E655">
        <f t="shared" si="21"/>
        <v>6</v>
      </c>
      <c r="F655" s="9" t="s">
        <v>1308</v>
      </c>
      <c r="G655" s="9" t="s">
        <v>11</v>
      </c>
      <c r="H655" s="9" t="s">
        <v>12</v>
      </c>
    </row>
    <row r="656" spans="1:8" x14ac:dyDescent="0.25">
      <c r="A656" t="s">
        <v>1309</v>
      </c>
      <c r="B656" s="14" cm="1">
        <f t="array" ref="B656">_xll.GetLatestPrice(F656,,G656)</f>
        <v>275</v>
      </c>
      <c r="C656" s="1" cm="1">
        <f t="array" ref="C656">_xll.GetLatestPrice(F656,"Actual","AssessmentDate")</f>
        <v>45826.645833333336</v>
      </c>
      <c r="D656">
        <f t="shared" si="20"/>
        <v>2025</v>
      </c>
      <c r="E656">
        <f t="shared" si="21"/>
        <v>6</v>
      </c>
      <c r="F656" s="9" t="s">
        <v>1310</v>
      </c>
      <c r="G656" s="9" t="s">
        <v>11</v>
      </c>
      <c r="H656" s="9" t="s">
        <v>12</v>
      </c>
    </row>
    <row r="657" spans="1:8" x14ac:dyDescent="0.25">
      <c r="A657" t="s">
        <v>1311</v>
      </c>
      <c r="B657" s="14" cm="1">
        <f t="array" ref="B657">_xll.GetLatestPrice(F657,,G657)</f>
        <v>260</v>
      </c>
      <c r="C657" s="1" cm="1">
        <f t="array" ref="C657">_xll.GetLatestPrice(F657,"Actual","AssessmentDate")</f>
        <v>45826.645833333336</v>
      </c>
      <c r="D657">
        <f t="shared" si="20"/>
        <v>2025</v>
      </c>
      <c r="E657">
        <f t="shared" si="21"/>
        <v>6</v>
      </c>
      <c r="F657" s="9" t="s">
        <v>1312</v>
      </c>
      <c r="G657" s="9" t="s">
        <v>11</v>
      </c>
      <c r="H657" s="9" t="s">
        <v>12</v>
      </c>
    </row>
    <row r="658" spans="1:8" x14ac:dyDescent="0.25">
      <c r="A658" t="s">
        <v>1313</v>
      </c>
      <c r="B658" s="14" cm="1">
        <f t="array" ref="B658">_xll.GetLatestPrice(F658,,G658)</f>
        <v>330</v>
      </c>
      <c r="C658" s="1" cm="1">
        <f t="array" ref="C658">_xll.GetLatestPrice(F658,"Actual","AssessmentDate")</f>
        <v>45826.645833333336</v>
      </c>
      <c r="D658">
        <f t="shared" si="20"/>
        <v>2025</v>
      </c>
      <c r="E658">
        <f t="shared" si="21"/>
        <v>6</v>
      </c>
      <c r="F658" s="9" t="s">
        <v>1314</v>
      </c>
      <c r="G658" s="9" t="s">
        <v>11</v>
      </c>
      <c r="H658" s="9" t="s">
        <v>12</v>
      </c>
    </row>
    <row r="659" spans="1:8" x14ac:dyDescent="0.25">
      <c r="A659" t="s">
        <v>1315</v>
      </c>
      <c r="B659" s="14" cm="1">
        <f t="array" ref="B659">_xll.GetLatestPrice(F659,,G659)</f>
        <v>2565</v>
      </c>
      <c r="C659" s="1" cm="1">
        <f t="array" ref="C659">_xll.GetLatestPrice(F659,"Actual","AssessmentDate")</f>
        <v>45826.645833333336</v>
      </c>
      <c r="D659">
        <f t="shared" si="20"/>
        <v>2025</v>
      </c>
      <c r="E659">
        <f t="shared" si="21"/>
        <v>6</v>
      </c>
      <c r="F659" s="9" t="s">
        <v>1316</v>
      </c>
      <c r="G659" s="9" t="s">
        <v>11</v>
      </c>
      <c r="H659" s="9" t="s">
        <v>12</v>
      </c>
    </row>
    <row r="660" spans="1:8" x14ac:dyDescent="0.25">
      <c r="A660" t="s">
        <v>1317</v>
      </c>
      <c r="B660" s="14" cm="1">
        <f t="array" ref="B660">_xll.GetLatestPrice(F660,,G660)</f>
        <v>3090</v>
      </c>
      <c r="C660" s="1" cm="1">
        <f t="array" ref="C660">_xll.GetLatestPrice(F660,"Actual","AssessmentDate")</f>
        <v>45826.645833333336</v>
      </c>
      <c r="D660">
        <f t="shared" si="20"/>
        <v>2025</v>
      </c>
      <c r="E660">
        <f t="shared" si="21"/>
        <v>6</v>
      </c>
      <c r="F660" s="9" t="s">
        <v>1318</v>
      </c>
      <c r="G660" s="9" t="s">
        <v>11</v>
      </c>
      <c r="H660" s="9" t="s">
        <v>12</v>
      </c>
    </row>
    <row r="661" spans="1:8" x14ac:dyDescent="0.25">
      <c r="A661" t="s">
        <v>1319</v>
      </c>
      <c r="B661" s="14" cm="1">
        <f t="array" ref="B661">_xll.GetLatestPrice(F661,,G661)</f>
        <v>4210</v>
      </c>
      <c r="C661" s="1" cm="1">
        <f t="array" ref="C661">_xll.GetLatestPrice(F661,"Actual","AssessmentDate")</f>
        <v>45826.645833333336</v>
      </c>
      <c r="D661">
        <f t="shared" si="20"/>
        <v>2025</v>
      </c>
      <c r="E661">
        <f t="shared" si="21"/>
        <v>6</v>
      </c>
      <c r="F661" s="9" t="s">
        <v>1320</v>
      </c>
      <c r="G661" s="9" t="s">
        <v>11</v>
      </c>
      <c r="H661" s="9" t="s">
        <v>12</v>
      </c>
    </row>
    <row r="662" spans="1:8" x14ac:dyDescent="0.25">
      <c r="A662" t="s">
        <v>1321</v>
      </c>
      <c r="B662" s="14" cm="1">
        <f t="array" ref="B662">_xll.GetLatestPrice(F662,,G662)</f>
        <v>4160</v>
      </c>
      <c r="C662" s="1" cm="1">
        <f t="array" ref="C662">_xll.GetLatestPrice(F662,"Actual","AssessmentDate")</f>
        <v>45826.645833333336</v>
      </c>
      <c r="D662">
        <f t="shared" si="20"/>
        <v>2025</v>
      </c>
      <c r="E662">
        <f t="shared" si="21"/>
        <v>6</v>
      </c>
      <c r="F662" s="9" t="s">
        <v>1322</v>
      </c>
      <c r="G662" s="9" t="s">
        <v>11</v>
      </c>
      <c r="H662" s="9" t="s">
        <v>12</v>
      </c>
    </row>
    <row r="663" spans="1:8" x14ac:dyDescent="0.25">
      <c r="A663" t="s">
        <v>1323</v>
      </c>
      <c r="B663" s="14" cm="1">
        <f t="array" ref="B663">_xll.GetLatestPrice(F663,,G663)</f>
        <v>4385</v>
      </c>
      <c r="C663" s="1" cm="1">
        <f t="array" ref="C663">_xll.GetLatestPrice(F663,"Actual","AssessmentDate")</f>
        <v>45826.645833333336</v>
      </c>
      <c r="D663">
        <f t="shared" si="20"/>
        <v>2025</v>
      </c>
      <c r="E663">
        <f t="shared" si="21"/>
        <v>6</v>
      </c>
      <c r="F663" s="9" t="s">
        <v>1324</v>
      </c>
      <c r="G663" s="9" t="s">
        <v>11</v>
      </c>
      <c r="H663" s="9" t="s">
        <v>12</v>
      </c>
    </row>
    <row r="664" spans="1:8" x14ac:dyDescent="0.25">
      <c r="A664" t="s">
        <v>1325</v>
      </c>
      <c r="B664" s="14" cm="1">
        <f t="array" ref="B664">_xll.GetLatestPrice(F664,,G664)</f>
        <v>4885</v>
      </c>
      <c r="C664" s="1" cm="1">
        <f t="array" ref="C664">_xll.GetLatestPrice(F664,"Actual","AssessmentDate")</f>
        <v>45826.645833333336</v>
      </c>
      <c r="D664">
        <f t="shared" si="20"/>
        <v>2025</v>
      </c>
      <c r="E664">
        <f t="shared" si="21"/>
        <v>6</v>
      </c>
      <c r="F664" s="9" t="s">
        <v>1326</v>
      </c>
      <c r="G664" s="9" t="s">
        <v>11</v>
      </c>
      <c r="H664" s="9" t="s">
        <v>12</v>
      </c>
    </row>
    <row r="665" spans="1:8" x14ac:dyDescent="0.25">
      <c r="A665" t="s">
        <v>1327</v>
      </c>
      <c r="B665" s="14" cm="1">
        <f t="array" ref="B665">_xll.GetLatestPrice(F665,,G665)</f>
        <v>580</v>
      </c>
      <c r="C665" s="1" cm="1">
        <f t="array" ref="C665">_xll.GetLatestPrice(F665,"Actual","AssessmentDate")</f>
        <v>45826.645833333336</v>
      </c>
      <c r="D665">
        <f t="shared" si="20"/>
        <v>2025</v>
      </c>
      <c r="E665">
        <f t="shared" si="21"/>
        <v>6</v>
      </c>
      <c r="F665" s="9" t="s">
        <v>1328</v>
      </c>
      <c r="G665" s="9" t="s">
        <v>11</v>
      </c>
      <c r="H665" s="9" t="s">
        <v>12</v>
      </c>
    </row>
    <row r="666" spans="1:8" x14ac:dyDescent="0.25">
      <c r="A666" t="s">
        <v>1329</v>
      </c>
      <c r="B666" s="14" cm="1">
        <f t="array" ref="B666">_xll.GetLatestPrice(F666,,G666)</f>
        <v>1655</v>
      </c>
      <c r="C666" s="1" cm="1">
        <f t="array" ref="C666">_xll.GetLatestPrice(F666,"Actual","AssessmentDate")</f>
        <v>45826.645833333336</v>
      </c>
      <c r="D666">
        <f t="shared" si="20"/>
        <v>2025</v>
      </c>
      <c r="E666">
        <f t="shared" si="21"/>
        <v>6</v>
      </c>
      <c r="F666" s="9" t="s">
        <v>1330</v>
      </c>
      <c r="G666" s="9" t="s">
        <v>11</v>
      </c>
      <c r="H666" s="9" t="s">
        <v>12</v>
      </c>
    </row>
    <row r="667" spans="1:8" x14ac:dyDescent="0.25">
      <c r="A667" t="s">
        <v>1331</v>
      </c>
      <c r="B667" s="14" cm="1">
        <f t="array" ref="B667">_xll.GetLatestPrice(F667,,G667)</f>
        <v>1950</v>
      </c>
      <c r="C667" s="1" cm="1">
        <f t="array" ref="C667">_xll.GetLatestPrice(F667,"Actual","AssessmentDate")</f>
        <v>45826.645833333336</v>
      </c>
      <c r="D667">
        <f t="shared" si="20"/>
        <v>2025</v>
      </c>
      <c r="E667">
        <f t="shared" si="21"/>
        <v>6</v>
      </c>
      <c r="F667" s="9" t="s">
        <v>1332</v>
      </c>
      <c r="G667" s="9" t="s">
        <v>11</v>
      </c>
      <c r="H667" s="9" t="s">
        <v>12</v>
      </c>
    </row>
    <row r="668" spans="1:8" x14ac:dyDescent="0.25">
      <c r="A668" t="s">
        <v>1333</v>
      </c>
      <c r="B668" s="14" cm="1">
        <f t="array" ref="B668">_xll.GetLatestPrice(F668,,G668)</f>
        <v>2285</v>
      </c>
      <c r="C668" s="1" cm="1">
        <f t="array" ref="C668">_xll.GetLatestPrice(F668,"Actual","AssessmentDate")</f>
        <v>45826.645833333336</v>
      </c>
      <c r="D668">
        <f t="shared" si="20"/>
        <v>2025</v>
      </c>
      <c r="E668">
        <f t="shared" si="21"/>
        <v>6</v>
      </c>
      <c r="F668" s="9" t="s">
        <v>1334</v>
      </c>
      <c r="G668" s="9" t="s">
        <v>11</v>
      </c>
      <c r="H668" s="9" t="s">
        <v>12</v>
      </c>
    </row>
    <row r="669" spans="1:8" x14ac:dyDescent="0.25">
      <c r="A669" t="s">
        <v>1335</v>
      </c>
      <c r="B669" s="14" cm="1">
        <f t="array" ref="B669">_xll.GetLatestPrice(F669,,G669)</f>
        <v>2720</v>
      </c>
      <c r="C669" s="1" cm="1">
        <f t="array" ref="C669">_xll.GetLatestPrice(F669,"Actual","AssessmentDate")</f>
        <v>45826.645833333336</v>
      </c>
      <c r="D669">
        <f t="shared" si="20"/>
        <v>2025</v>
      </c>
      <c r="E669">
        <f t="shared" si="21"/>
        <v>6</v>
      </c>
      <c r="F669" s="9" t="s">
        <v>1336</v>
      </c>
      <c r="G669" s="9" t="s">
        <v>11</v>
      </c>
      <c r="H669" s="9" t="s">
        <v>12</v>
      </c>
    </row>
    <row r="670" spans="1:8" x14ac:dyDescent="0.25">
      <c r="A670" t="s">
        <v>1337</v>
      </c>
      <c r="B670" s="14" cm="1">
        <f t="array" ref="B670">_xll.GetLatestPrice(F670,,G670)</f>
        <v>155</v>
      </c>
      <c r="C670" s="1" cm="1">
        <f t="array" ref="C670">_xll.GetLatestPrice(F670,"Actual","AssessmentDate")</f>
        <v>45826.645833333336</v>
      </c>
      <c r="D670">
        <f t="shared" si="20"/>
        <v>2025</v>
      </c>
      <c r="E670">
        <f t="shared" si="21"/>
        <v>6</v>
      </c>
      <c r="F670" s="9" t="s">
        <v>1338</v>
      </c>
      <c r="G670" s="9" t="s">
        <v>11</v>
      </c>
      <c r="H670" s="9" t="s">
        <v>12</v>
      </c>
    </row>
    <row r="671" spans="1:8" x14ac:dyDescent="0.25">
      <c r="A671" t="s">
        <v>1339</v>
      </c>
      <c r="B671" s="14" cm="1">
        <f t="array" ref="B671">_xll.GetLatestPrice(F671,,G671)</f>
        <v>350</v>
      </c>
      <c r="C671" s="1" cm="1">
        <f t="array" ref="C671">_xll.GetLatestPrice(F671,"Actual","AssessmentDate")</f>
        <v>45826.645833333336</v>
      </c>
      <c r="D671">
        <f t="shared" si="20"/>
        <v>2025</v>
      </c>
      <c r="E671">
        <f t="shared" si="21"/>
        <v>6</v>
      </c>
      <c r="F671" s="9" t="s">
        <v>1340</v>
      </c>
      <c r="G671" s="9" t="s">
        <v>11</v>
      </c>
      <c r="H671" s="9" t="s">
        <v>12</v>
      </c>
    </row>
    <row r="672" spans="1:8" x14ac:dyDescent="0.25">
      <c r="A672" t="s">
        <v>1341</v>
      </c>
      <c r="B672" s="14" cm="1">
        <f t="array" ref="B672">_xll.GetLatestPrice(F672,,G672)</f>
        <v>320</v>
      </c>
      <c r="C672" s="1" cm="1">
        <f t="array" ref="C672">_xll.GetLatestPrice(F672,"Actual","AssessmentDate")</f>
        <v>45826.645833333336</v>
      </c>
      <c r="D672">
        <f t="shared" si="20"/>
        <v>2025</v>
      </c>
      <c r="E672">
        <f t="shared" si="21"/>
        <v>6</v>
      </c>
      <c r="F672" s="9" t="s">
        <v>1342</v>
      </c>
      <c r="G672" s="9" t="s">
        <v>11</v>
      </c>
      <c r="H672" s="9" t="s">
        <v>12</v>
      </c>
    </row>
    <row r="673" spans="1:8" x14ac:dyDescent="0.25">
      <c r="A673" t="s">
        <v>1343</v>
      </c>
      <c r="B673" s="14" cm="1">
        <f t="array" ref="B673">_xll.GetLatestPrice(F673,,G673)</f>
        <v>340</v>
      </c>
      <c r="C673" s="1" cm="1">
        <f t="array" ref="C673">_xll.GetLatestPrice(F673,"Actual","AssessmentDate")</f>
        <v>45826.645833333336</v>
      </c>
      <c r="D673">
        <f t="shared" si="20"/>
        <v>2025</v>
      </c>
      <c r="E673">
        <f t="shared" si="21"/>
        <v>6</v>
      </c>
      <c r="F673" s="9" t="s">
        <v>1344</v>
      </c>
      <c r="G673" s="9" t="s">
        <v>11</v>
      </c>
      <c r="H673" s="9" t="s">
        <v>12</v>
      </c>
    </row>
    <row r="674" spans="1:8" x14ac:dyDescent="0.25">
      <c r="A674" t="s">
        <v>1345</v>
      </c>
      <c r="B674" s="14" cm="1">
        <f t="array" ref="B674">_xll.GetLatestPrice(F674,,G674)</f>
        <v>435</v>
      </c>
      <c r="C674" s="1" cm="1">
        <f t="array" ref="C674">_xll.GetLatestPrice(F674,"Actual","AssessmentDate")</f>
        <v>45826.645833333336</v>
      </c>
      <c r="D674">
        <f t="shared" si="20"/>
        <v>2025</v>
      </c>
      <c r="E674">
        <f t="shared" si="21"/>
        <v>6</v>
      </c>
      <c r="F674" s="9" t="s">
        <v>1346</v>
      </c>
      <c r="G674" s="9" t="s">
        <v>11</v>
      </c>
      <c r="H674" s="9" t="s">
        <v>12</v>
      </c>
    </row>
    <row r="675" spans="1:8" x14ac:dyDescent="0.25">
      <c r="A675" t="s">
        <v>1347</v>
      </c>
      <c r="B675" s="14" cm="1">
        <f t="array" ref="B675">_xll.GetLatestPrice(F675,,G675)</f>
        <v>700</v>
      </c>
      <c r="C675" s="1" cm="1">
        <f t="array" ref="C675">_xll.GetLatestPrice(F675,"Actual","AssessmentDate")</f>
        <v>45826.645833333336</v>
      </c>
      <c r="D675">
        <f t="shared" si="20"/>
        <v>2025</v>
      </c>
      <c r="E675">
        <f t="shared" si="21"/>
        <v>6</v>
      </c>
      <c r="F675" s="9" t="s">
        <v>1348</v>
      </c>
      <c r="G675" s="9" t="s">
        <v>11</v>
      </c>
      <c r="H675" s="9" t="s">
        <v>12</v>
      </c>
    </row>
    <row r="676" spans="1:8" x14ac:dyDescent="0.25">
      <c r="A676" t="s">
        <v>1349</v>
      </c>
      <c r="B676" s="14" cm="1">
        <f t="array" ref="B676">_xll.GetLatestPrice(F676,,G676)</f>
        <v>970</v>
      </c>
      <c r="C676" s="1" cm="1">
        <f t="array" ref="C676">_xll.GetLatestPrice(F676,"Actual","AssessmentDate")</f>
        <v>45826.645833333336</v>
      </c>
      <c r="D676">
        <f t="shared" si="20"/>
        <v>2025</v>
      </c>
      <c r="E676">
        <f t="shared" si="21"/>
        <v>6</v>
      </c>
      <c r="F676" s="9" t="s">
        <v>1350</v>
      </c>
      <c r="G676" s="9" t="s">
        <v>11</v>
      </c>
      <c r="H676" s="9" t="s">
        <v>12</v>
      </c>
    </row>
    <row r="677" spans="1:8" x14ac:dyDescent="0.25">
      <c r="A677" t="s">
        <v>1351</v>
      </c>
      <c r="B677" s="14" cm="1">
        <f t="array" ref="B677">_xll.GetLatestPrice(F677,,G677)</f>
        <v>665</v>
      </c>
      <c r="C677" s="1" cm="1">
        <f t="array" ref="C677">_xll.GetLatestPrice(F677,"Actual","AssessmentDate")</f>
        <v>45826.645833333336</v>
      </c>
      <c r="D677">
        <f t="shared" si="20"/>
        <v>2025</v>
      </c>
      <c r="E677">
        <f t="shared" si="21"/>
        <v>6</v>
      </c>
      <c r="F677" s="9" t="s">
        <v>1352</v>
      </c>
      <c r="G677" s="9" t="s">
        <v>11</v>
      </c>
      <c r="H677" s="9" t="s">
        <v>12</v>
      </c>
    </row>
    <row r="678" spans="1:8" x14ac:dyDescent="0.25">
      <c r="A678" t="s">
        <v>1353</v>
      </c>
      <c r="B678" s="14" cm="1">
        <f t="array" ref="B678">_xll.GetLatestPrice(F678,,G678)</f>
        <v>375</v>
      </c>
      <c r="C678" s="1" cm="1">
        <f t="array" ref="C678">_xll.GetLatestPrice(F678,"Actual","AssessmentDate")</f>
        <v>45826.645833333336</v>
      </c>
      <c r="D678">
        <f t="shared" si="20"/>
        <v>2025</v>
      </c>
      <c r="E678">
        <f t="shared" si="21"/>
        <v>6</v>
      </c>
      <c r="F678" s="9" t="s">
        <v>1354</v>
      </c>
      <c r="G678" s="9" t="s">
        <v>11</v>
      </c>
      <c r="H678" s="9" t="s">
        <v>12</v>
      </c>
    </row>
    <row r="679" spans="1:8" x14ac:dyDescent="0.25">
      <c r="A679" t="s">
        <v>1355</v>
      </c>
      <c r="B679" s="14" cm="1">
        <f t="array" ref="B679">_xll.GetLatestPrice(F679,,G679)</f>
        <v>750</v>
      </c>
      <c r="C679" s="1" cm="1">
        <f t="array" ref="C679">_xll.GetLatestPrice(F679,"Actual","AssessmentDate")</f>
        <v>45826.645833333336</v>
      </c>
      <c r="D679">
        <f t="shared" si="20"/>
        <v>2025</v>
      </c>
      <c r="E679">
        <f t="shared" si="21"/>
        <v>6</v>
      </c>
      <c r="F679" s="9" t="s">
        <v>1356</v>
      </c>
      <c r="G679" s="9" t="s">
        <v>11</v>
      </c>
      <c r="H679" s="9" t="s">
        <v>12</v>
      </c>
    </row>
    <row r="680" spans="1:8" x14ac:dyDescent="0.25">
      <c r="A680" t="s">
        <v>1357</v>
      </c>
      <c r="B680" s="14" cm="1">
        <f t="array" ref="B680">_xll.GetLatestPrice(F680,,G680)</f>
        <v>1790</v>
      </c>
      <c r="C680" s="1" cm="1">
        <f t="array" ref="C680">_xll.GetLatestPrice(F680,"Actual","AssessmentDate")</f>
        <v>45826.645833333336</v>
      </c>
      <c r="D680">
        <f t="shared" si="20"/>
        <v>2025</v>
      </c>
      <c r="E680">
        <f t="shared" si="21"/>
        <v>6</v>
      </c>
      <c r="F680" s="9" t="s">
        <v>1358</v>
      </c>
      <c r="G680" s="9" t="s">
        <v>11</v>
      </c>
      <c r="H680" s="9" t="s">
        <v>12</v>
      </c>
    </row>
    <row r="681" spans="1:8" x14ac:dyDescent="0.25">
      <c r="A681" t="s">
        <v>1359</v>
      </c>
      <c r="B681" s="14" cm="1">
        <f t="array" ref="B681">_xll.GetLatestPrice(F681,,G681)</f>
        <v>2000</v>
      </c>
      <c r="C681" s="1" cm="1">
        <f t="array" ref="C681">_xll.GetLatestPrice(F681,"Actual","AssessmentDate")</f>
        <v>45826.645833333336</v>
      </c>
      <c r="D681">
        <f t="shared" si="20"/>
        <v>2025</v>
      </c>
      <c r="E681">
        <f t="shared" si="21"/>
        <v>6</v>
      </c>
      <c r="F681" s="9" t="s">
        <v>1360</v>
      </c>
      <c r="G681" s="9" t="s">
        <v>11</v>
      </c>
      <c r="H681" s="9" t="s">
        <v>12</v>
      </c>
    </row>
    <row r="682" spans="1:8" x14ac:dyDescent="0.25">
      <c r="A682" t="s">
        <v>1361</v>
      </c>
      <c r="B682" s="14" cm="1">
        <f t="array" ref="B682">_xll.GetLatestPrice(F682,,G682)</f>
        <v>1935</v>
      </c>
      <c r="C682" s="1" cm="1">
        <f t="array" ref="C682">_xll.GetLatestPrice(F682,"Actual","AssessmentDate")</f>
        <v>45826.645833333336</v>
      </c>
      <c r="D682">
        <f t="shared" si="20"/>
        <v>2025</v>
      </c>
      <c r="E682">
        <f t="shared" si="21"/>
        <v>6</v>
      </c>
      <c r="F682" s="9" t="s">
        <v>1362</v>
      </c>
      <c r="G682" s="9" t="s">
        <v>11</v>
      </c>
      <c r="H682" s="9" t="s">
        <v>12</v>
      </c>
    </row>
    <row r="683" spans="1:8" x14ac:dyDescent="0.25">
      <c r="A683" t="s">
        <v>1363</v>
      </c>
      <c r="B683" s="14" cm="1">
        <f t="array" ref="B683">_xll.GetLatestPrice(F683,,G683)</f>
        <v>2000</v>
      </c>
      <c r="C683" s="1" cm="1">
        <f t="array" ref="C683">_xll.GetLatestPrice(F683,"Actual","AssessmentDate")</f>
        <v>45826.645833333336</v>
      </c>
      <c r="D683">
        <f t="shared" si="20"/>
        <v>2025</v>
      </c>
      <c r="E683">
        <f t="shared" si="21"/>
        <v>6</v>
      </c>
      <c r="F683" s="9" t="s">
        <v>1364</v>
      </c>
      <c r="G683" s="9" t="s">
        <v>11</v>
      </c>
      <c r="H683" s="9" t="s">
        <v>12</v>
      </c>
    </row>
    <row r="684" spans="1:8" x14ac:dyDescent="0.25">
      <c r="A684" t="s">
        <v>1365</v>
      </c>
      <c r="B684" s="14" cm="1">
        <f t="array" ref="B684">_xll.GetLatestPrice(F684,,G684)</f>
        <v>2225</v>
      </c>
      <c r="C684" s="1" cm="1">
        <f t="array" ref="C684">_xll.GetLatestPrice(F684,"Actual","AssessmentDate")</f>
        <v>45826.645833333336</v>
      </c>
      <c r="D684">
        <f t="shared" si="20"/>
        <v>2025</v>
      </c>
      <c r="E684">
        <f t="shared" si="21"/>
        <v>6</v>
      </c>
      <c r="F684" s="9" t="s">
        <v>1366</v>
      </c>
      <c r="G684" s="9" t="s">
        <v>11</v>
      </c>
      <c r="H684" s="9" t="s">
        <v>12</v>
      </c>
    </row>
    <row r="685" spans="1:8" x14ac:dyDescent="0.25">
      <c r="A685" t="s">
        <v>1367</v>
      </c>
      <c r="B685" s="14" cm="1">
        <f t="array" ref="B685">_xll.GetLatestPrice(F685,,G685)</f>
        <v>1070</v>
      </c>
      <c r="C685" s="1" cm="1">
        <f t="array" ref="C685">_xll.GetLatestPrice(F685,"Actual","AssessmentDate")</f>
        <v>45826.645833333336</v>
      </c>
      <c r="D685">
        <f t="shared" si="20"/>
        <v>2025</v>
      </c>
      <c r="E685">
        <f t="shared" si="21"/>
        <v>6</v>
      </c>
      <c r="F685" s="9" t="s">
        <v>1368</v>
      </c>
      <c r="G685" s="9" t="s">
        <v>11</v>
      </c>
      <c r="H685" s="9" t="s">
        <v>12</v>
      </c>
    </row>
    <row r="686" spans="1:8" x14ac:dyDescent="0.25">
      <c r="A686" t="s">
        <v>1369</v>
      </c>
      <c r="B686" s="14" cm="1">
        <f t="array" ref="B686">_xll.GetLatestPrice(F686,,G686)</f>
        <v>1725</v>
      </c>
      <c r="C686" s="1" cm="1">
        <f t="array" ref="C686">_xll.GetLatestPrice(F686,"Actual","AssessmentDate")</f>
        <v>45826.645833333336</v>
      </c>
      <c r="D686">
        <f t="shared" si="20"/>
        <v>2025</v>
      </c>
      <c r="E686">
        <f t="shared" si="21"/>
        <v>6</v>
      </c>
      <c r="F686" s="9" t="s">
        <v>1370</v>
      </c>
      <c r="G686" s="9" t="s">
        <v>11</v>
      </c>
      <c r="H686" s="9" t="s">
        <v>12</v>
      </c>
    </row>
    <row r="687" spans="1:8" x14ac:dyDescent="0.25">
      <c r="A687" t="s">
        <v>1371</v>
      </c>
      <c r="B687" s="14" cm="1">
        <f t="array" ref="B687">_xll.GetLatestPrice(F687,,G687)</f>
        <v>1505</v>
      </c>
      <c r="C687" s="1" cm="1">
        <f t="array" ref="C687">_xll.GetLatestPrice(F687,"Actual","AssessmentDate")</f>
        <v>45826.645833333336</v>
      </c>
      <c r="D687">
        <f t="shared" si="20"/>
        <v>2025</v>
      </c>
      <c r="E687">
        <f t="shared" si="21"/>
        <v>6</v>
      </c>
      <c r="F687" s="9" t="s">
        <v>1372</v>
      </c>
      <c r="G687" s="9" t="s">
        <v>11</v>
      </c>
      <c r="H687" s="9" t="s">
        <v>12</v>
      </c>
    </row>
    <row r="688" spans="1:8" x14ac:dyDescent="0.25">
      <c r="A688" t="s">
        <v>1373</v>
      </c>
      <c r="B688" s="14" cm="1">
        <f t="array" ref="B688">_xll.GetLatestPrice(F688,,G688)</f>
        <v>1540</v>
      </c>
      <c r="C688" s="1" cm="1">
        <f t="array" ref="C688">_xll.GetLatestPrice(F688,"Actual","AssessmentDate")</f>
        <v>45826.645833333336</v>
      </c>
      <c r="D688">
        <f t="shared" si="20"/>
        <v>2025</v>
      </c>
      <c r="E688">
        <f t="shared" si="21"/>
        <v>6</v>
      </c>
      <c r="F688" s="9" t="s">
        <v>1374</v>
      </c>
      <c r="G688" s="9" t="s">
        <v>11</v>
      </c>
      <c r="H688" s="9" t="s">
        <v>12</v>
      </c>
    </row>
    <row r="689" spans="1:8" x14ac:dyDescent="0.25">
      <c r="A689" t="s">
        <v>1375</v>
      </c>
      <c r="B689" s="14" cm="1">
        <f t="array" ref="B689">_xll.GetLatestPrice(F689,,G689)</f>
        <v>1930</v>
      </c>
      <c r="C689" s="1" cm="1">
        <f t="array" ref="C689">_xll.GetLatestPrice(F689,"Actual","AssessmentDate")</f>
        <v>45826.645833333336</v>
      </c>
      <c r="D689">
        <f t="shared" si="20"/>
        <v>2025</v>
      </c>
      <c r="E689">
        <f t="shared" si="21"/>
        <v>6</v>
      </c>
      <c r="F689" s="9" t="s">
        <v>1376</v>
      </c>
      <c r="G689" s="9" t="s">
        <v>11</v>
      </c>
      <c r="H689" s="9" t="s">
        <v>12</v>
      </c>
    </row>
    <row r="690" spans="1:8" x14ac:dyDescent="0.25">
      <c r="A690" t="s">
        <v>1377</v>
      </c>
      <c r="B690" s="14" cm="1">
        <f t="array" ref="B690">_xll.GetLatestPrice(F690,,G690)</f>
        <v>525</v>
      </c>
      <c r="C690" s="1" cm="1">
        <f t="array" ref="C690">_xll.GetLatestPrice(F690,"Actual","AssessmentDate")</f>
        <v>45826.645833333336</v>
      </c>
      <c r="D690">
        <f t="shared" si="20"/>
        <v>2025</v>
      </c>
      <c r="E690">
        <f t="shared" si="21"/>
        <v>6</v>
      </c>
      <c r="F690" s="9" t="s">
        <v>1378</v>
      </c>
      <c r="G690" s="9" t="s">
        <v>11</v>
      </c>
      <c r="H690" s="9" t="s">
        <v>12</v>
      </c>
    </row>
    <row r="691" spans="1:8" x14ac:dyDescent="0.25">
      <c r="A691" t="s">
        <v>1379</v>
      </c>
      <c r="B691" s="14" cm="1">
        <f t="array" ref="B691">_xll.GetLatestPrice(F691,,G691)</f>
        <v>335</v>
      </c>
      <c r="C691" s="1" cm="1">
        <f t="array" ref="C691">_xll.GetLatestPrice(F691,"Actual","AssessmentDate")</f>
        <v>45826.645833333336</v>
      </c>
      <c r="D691">
        <f t="shared" si="20"/>
        <v>2025</v>
      </c>
      <c r="E691">
        <f t="shared" si="21"/>
        <v>6</v>
      </c>
      <c r="F691" s="9" t="s">
        <v>1380</v>
      </c>
      <c r="G691" s="9" t="s">
        <v>11</v>
      </c>
      <c r="H691" s="9" t="s">
        <v>12</v>
      </c>
    </row>
    <row r="692" spans="1:8" x14ac:dyDescent="0.25">
      <c r="A692" t="s">
        <v>1381</v>
      </c>
      <c r="B692" s="14" cm="1">
        <f t="array" ref="B692">_xll.GetLatestPrice(F692,,G692)</f>
        <v>310</v>
      </c>
      <c r="C692" s="1" cm="1">
        <f t="array" ref="C692">_xll.GetLatestPrice(F692,"Actual","AssessmentDate")</f>
        <v>45826.645833333336</v>
      </c>
      <c r="D692">
        <f t="shared" si="20"/>
        <v>2025</v>
      </c>
      <c r="E692">
        <f t="shared" si="21"/>
        <v>6</v>
      </c>
      <c r="F692" s="9" t="s">
        <v>1382</v>
      </c>
      <c r="G692" s="9" t="s">
        <v>11</v>
      </c>
      <c r="H692" s="9" t="s">
        <v>12</v>
      </c>
    </row>
    <row r="693" spans="1:8" x14ac:dyDescent="0.25">
      <c r="A693" t="s">
        <v>1383</v>
      </c>
      <c r="B693" s="14" cm="1">
        <f t="array" ref="B693">_xll.GetLatestPrice(F693,,G693)</f>
        <v>310</v>
      </c>
      <c r="C693" s="1" cm="1">
        <f t="array" ref="C693">_xll.GetLatestPrice(F693,"Actual","AssessmentDate")</f>
        <v>45826.645833333336</v>
      </c>
      <c r="D693">
        <f t="shared" si="20"/>
        <v>2025</v>
      </c>
      <c r="E693">
        <f t="shared" si="21"/>
        <v>6</v>
      </c>
      <c r="F693" s="9" t="s">
        <v>1384</v>
      </c>
      <c r="G693" s="9" t="s">
        <v>11</v>
      </c>
      <c r="H693" s="9" t="s">
        <v>12</v>
      </c>
    </row>
    <row r="694" spans="1:8" x14ac:dyDescent="0.25">
      <c r="A694" t="s">
        <v>1385</v>
      </c>
      <c r="B694" s="14" cm="1">
        <f t="array" ref="B694">_xll.GetLatestPrice(F694,,G694)</f>
        <v>400</v>
      </c>
      <c r="C694" s="1" cm="1">
        <f t="array" ref="C694">_xll.GetLatestPrice(F694,"Actual","AssessmentDate")</f>
        <v>45826.645833333336</v>
      </c>
      <c r="D694">
        <f t="shared" si="20"/>
        <v>2025</v>
      </c>
      <c r="E694">
        <f t="shared" si="21"/>
        <v>6</v>
      </c>
      <c r="F694" s="9" t="s">
        <v>1386</v>
      </c>
      <c r="G694" s="9" t="s">
        <v>11</v>
      </c>
      <c r="H694" s="9" t="s">
        <v>12</v>
      </c>
    </row>
    <row r="695" spans="1:8" x14ac:dyDescent="0.25">
      <c r="A695" t="s">
        <v>1387</v>
      </c>
      <c r="B695" s="14" cm="1">
        <f t="array" ref="B695">_xll.GetLatestPrice(F695,,G695)</f>
        <v>1500</v>
      </c>
      <c r="C695" s="1" cm="1">
        <f t="array" ref="C695">_xll.GetLatestPrice(F695,"Actual","AssessmentDate")</f>
        <v>45826.645833333336</v>
      </c>
      <c r="D695">
        <f t="shared" si="20"/>
        <v>2025</v>
      </c>
      <c r="E695">
        <f t="shared" si="21"/>
        <v>6</v>
      </c>
      <c r="F695" s="9" t="s">
        <v>1388</v>
      </c>
      <c r="G695" s="9" t="s">
        <v>11</v>
      </c>
      <c r="H695" s="9" t="s">
        <v>12</v>
      </c>
    </row>
    <row r="696" spans="1:8" x14ac:dyDescent="0.25">
      <c r="A696" t="s">
        <v>1389</v>
      </c>
      <c r="B696" s="14" cm="1">
        <f t="array" ref="B696">_xll.GetLatestPrice(F696,,G696)</f>
        <v>1600</v>
      </c>
      <c r="C696" s="1" cm="1">
        <f t="array" ref="C696">_xll.GetLatestPrice(F696,"Actual","AssessmentDate")</f>
        <v>45826.645833333336</v>
      </c>
      <c r="D696">
        <f t="shared" si="20"/>
        <v>2025</v>
      </c>
      <c r="E696">
        <f t="shared" si="21"/>
        <v>6</v>
      </c>
      <c r="F696" s="9" t="s">
        <v>1390</v>
      </c>
      <c r="G696" s="9" t="s">
        <v>11</v>
      </c>
      <c r="H696" s="9" t="s">
        <v>12</v>
      </c>
    </row>
    <row r="697" spans="1:8" x14ac:dyDescent="0.25">
      <c r="A697" t="s">
        <v>1391</v>
      </c>
      <c r="B697" s="14" cm="1">
        <f t="array" ref="B697">_xll.GetLatestPrice(F697,,G697)</f>
        <v>1585</v>
      </c>
      <c r="C697" s="1" cm="1">
        <f t="array" ref="C697">_xll.GetLatestPrice(F697,"Actual","AssessmentDate")</f>
        <v>45826.645833333336</v>
      </c>
      <c r="D697">
        <f t="shared" si="20"/>
        <v>2025</v>
      </c>
      <c r="E697">
        <f t="shared" si="21"/>
        <v>6</v>
      </c>
      <c r="F697" s="9" t="s">
        <v>1392</v>
      </c>
      <c r="G697" s="9" t="s">
        <v>11</v>
      </c>
      <c r="H697" s="9" t="s">
        <v>12</v>
      </c>
    </row>
    <row r="698" spans="1:8" x14ac:dyDescent="0.25">
      <c r="A698" t="s">
        <v>1393</v>
      </c>
      <c r="B698" s="14" cm="1">
        <f t="array" ref="B698">_xll.GetLatestPrice(F698,,G698)</f>
        <v>1400</v>
      </c>
      <c r="C698" s="1" cm="1">
        <f t="array" ref="C698">_xll.GetLatestPrice(F698,"Actual","AssessmentDate")</f>
        <v>45826.645833333336</v>
      </c>
      <c r="D698">
        <f t="shared" si="20"/>
        <v>2025</v>
      </c>
      <c r="E698">
        <f t="shared" si="21"/>
        <v>6</v>
      </c>
      <c r="F698" s="9" t="s">
        <v>1394</v>
      </c>
      <c r="G698" s="9" t="s">
        <v>11</v>
      </c>
      <c r="H698" s="9" t="s">
        <v>12</v>
      </c>
    </row>
    <row r="699" spans="1:8" x14ac:dyDescent="0.25">
      <c r="A699" t="s">
        <v>1395</v>
      </c>
      <c r="B699" s="14" cm="1">
        <f t="array" ref="B699">_xll.GetLatestPrice(F699,,G699)</f>
        <v>1465</v>
      </c>
      <c r="C699" s="1" cm="1">
        <f t="array" ref="C699">_xll.GetLatestPrice(F699,"Actual","AssessmentDate")</f>
        <v>45826.645833333336</v>
      </c>
      <c r="D699">
        <f t="shared" si="20"/>
        <v>2025</v>
      </c>
      <c r="E699">
        <f t="shared" si="21"/>
        <v>6</v>
      </c>
      <c r="F699" s="9" t="s">
        <v>1396</v>
      </c>
      <c r="G699" s="9" t="s">
        <v>11</v>
      </c>
      <c r="H699" s="9" t="s">
        <v>12</v>
      </c>
    </row>
    <row r="700" spans="1:8" x14ac:dyDescent="0.25">
      <c r="A700" t="s">
        <v>1397</v>
      </c>
      <c r="B700" s="14" cm="1">
        <f t="array" ref="B700">_xll.GetLatestPrice(F700,,G700)</f>
        <v>855</v>
      </c>
      <c r="C700" s="1" cm="1">
        <f t="array" ref="C700">_xll.GetLatestPrice(F700,"Actual","AssessmentDate")</f>
        <v>45826.645833333336</v>
      </c>
      <c r="D700">
        <f t="shared" si="20"/>
        <v>2025</v>
      </c>
      <c r="E700">
        <f t="shared" si="21"/>
        <v>6</v>
      </c>
      <c r="F700" s="9" t="s">
        <v>1398</v>
      </c>
      <c r="G700" s="9" t="s">
        <v>11</v>
      </c>
      <c r="H700" s="9" t="s">
        <v>12</v>
      </c>
    </row>
    <row r="701" spans="1:8" x14ac:dyDescent="0.25">
      <c r="A701" t="s">
        <v>1399</v>
      </c>
      <c r="B701" s="14" cm="1">
        <f t="array" ref="B701">_xll.GetLatestPrice(F701,,G701)</f>
        <v>1170</v>
      </c>
      <c r="C701" s="1" cm="1">
        <f t="array" ref="C701">_xll.GetLatestPrice(F701,"Actual","AssessmentDate")</f>
        <v>45826.645833333336</v>
      </c>
      <c r="D701">
        <f t="shared" si="20"/>
        <v>2025</v>
      </c>
      <c r="E701">
        <f t="shared" si="21"/>
        <v>6</v>
      </c>
      <c r="F701" s="9" t="s">
        <v>1400</v>
      </c>
      <c r="G701" s="9" t="s">
        <v>11</v>
      </c>
      <c r="H701" s="9" t="s">
        <v>12</v>
      </c>
    </row>
    <row r="702" spans="1:8" x14ac:dyDescent="0.25">
      <c r="A702" t="s">
        <v>1401</v>
      </c>
      <c r="B702" s="14" cm="1">
        <f t="array" ref="B702">_xll.GetLatestPrice(F702,,G702)</f>
        <v>1100</v>
      </c>
      <c r="C702" s="1" cm="1">
        <f t="array" ref="C702">_xll.GetLatestPrice(F702,"Actual","AssessmentDate")</f>
        <v>45826.645833333336</v>
      </c>
      <c r="D702">
        <f t="shared" si="20"/>
        <v>2025</v>
      </c>
      <c r="E702">
        <f t="shared" si="21"/>
        <v>6</v>
      </c>
      <c r="F702" s="9" t="s">
        <v>1402</v>
      </c>
      <c r="G702" s="9" t="s">
        <v>11</v>
      </c>
      <c r="H702" s="9" t="s">
        <v>12</v>
      </c>
    </row>
    <row r="703" spans="1:8" x14ac:dyDescent="0.25">
      <c r="A703" t="s">
        <v>1403</v>
      </c>
      <c r="B703" s="14" cm="1">
        <f t="array" ref="B703">_xll.GetLatestPrice(F703,,G703)</f>
        <v>1350</v>
      </c>
      <c r="C703" s="1" cm="1">
        <f t="array" ref="C703">_xll.GetLatestPrice(F703,"Actual","AssessmentDate")</f>
        <v>45826.645833333336</v>
      </c>
      <c r="D703">
        <f t="shared" si="20"/>
        <v>2025</v>
      </c>
      <c r="E703">
        <f t="shared" si="21"/>
        <v>6</v>
      </c>
      <c r="F703" s="9" t="s">
        <v>1404</v>
      </c>
      <c r="G703" s="9" t="s">
        <v>11</v>
      </c>
      <c r="H703" s="9" t="s">
        <v>12</v>
      </c>
    </row>
    <row r="704" spans="1:8" x14ac:dyDescent="0.25">
      <c r="A704" t="s">
        <v>1405</v>
      </c>
      <c r="B704" s="14" cm="1">
        <f t="array" ref="B704">_xll.GetLatestPrice(F704,,G704)</f>
        <v>1425</v>
      </c>
      <c r="C704" s="1" cm="1">
        <f t="array" ref="C704">_xll.GetLatestPrice(F704,"Actual","AssessmentDate")</f>
        <v>45826.645833333336</v>
      </c>
      <c r="D704">
        <f t="shared" si="20"/>
        <v>2025</v>
      </c>
      <c r="E704">
        <f t="shared" si="21"/>
        <v>6</v>
      </c>
      <c r="F704" s="9" t="s">
        <v>1406</v>
      </c>
      <c r="G704" s="9" t="s">
        <v>11</v>
      </c>
      <c r="H704" s="9" t="s">
        <v>12</v>
      </c>
    </row>
    <row r="705" spans="1:8" x14ac:dyDescent="0.25">
      <c r="A705" t="s">
        <v>1407</v>
      </c>
      <c r="B705" s="14" cm="1">
        <f t="array" ref="B705">_xll.GetLatestPrice(F705,,G705)</f>
        <v>850</v>
      </c>
      <c r="C705" s="1" cm="1">
        <f t="array" ref="C705">_xll.GetLatestPrice(F705,"Actual","AssessmentDate")</f>
        <v>45826.645833333336</v>
      </c>
      <c r="D705">
        <f t="shared" si="20"/>
        <v>2025</v>
      </c>
      <c r="E705">
        <f t="shared" si="21"/>
        <v>6</v>
      </c>
      <c r="F705" s="9" t="s">
        <v>1408</v>
      </c>
      <c r="G705" s="9" t="s">
        <v>11</v>
      </c>
      <c r="H705" s="9" t="s">
        <v>12</v>
      </c>
    </row>
    <row r="706" spans="1:8" x14ac:dyDescent="0.25">
      <c r="A706" t="s">
        <v>1409</v>
      </c>
      <c r="B706" s="14" cm="1">
        <f t="array" ref="B706">_xll.GetLatestPrice(F706,,G706)</f>
        <v>1060</v>
      </c>
      <c r="C706" s="1" cm="1">
        <f t="array" ref="C706">_xll.GetLatestPrice(F706,"Actual","AssessmentDate")</f>
        <v>45826.645833333336</v>
      </c>
      <c r="D706">
        <f t="shared" si="20"/>
        <v>2025</v>
      </c>
      <c r="E706">
        <f t="shared" si="21"/>
        <v>6</v>
      </c>
      <c r="F706" s="9" t="s">
        <v>1410</v>
      </c>
      <c r="G706" s="9" t="s">
        <v>11</v>
      </c>
      <c r="H706" s="9" t="s">
        <v>12</v>
      </c>
    </row>
    <row r="707" spans="1:8" x14ac:dyDescent="0.25">
      <c r="A707" t="s">
        <v>1411</v>
      </c>
      <c r="B707" s="14" cm="1">
        <f t="array" ref="B707">_xll.GetLatestPrice(F707,,G707)</f>
        <v>1210</v>
      </c>
      <c r="C707" s="1" cm="1">
        <f t="array" ref="C707">_xll.GetLatestPrice(F707,"Actual","AssessmentDate")</f>
        <v>45826.645833333336</v>
      </c>
      <c r="D707">
        <f t="shared" ref="D707:D770" si="22">YEAR(C707)</f>
        <v>2025</v>
      </c>
      <c r="E707">
        <f t="shared" ref="E707:E770" si="23">MONTH(C707)</f>
        <v>6</v>
      </c>
      <c r="F707" s="9" t="s">
        <v>1412</v>
      </c>
      <c r="G707" s="9" t="s">
        <v>11</v>
      </c>
      <c r="H707" s="9" t="s">
        <v>12</v>
      </c>
    </row>
    <row r="708" spans="1:8" x14ac:dyDescent="0.25">
      <c r="A708" t="s">
        <v>1413</v>
      </c>
      <c r="B708" s="14" cm="1">
        <f t="array" ref="B708">_xll.GetLatestPrice(F708,,G708)</f>
        <v>1060</v>
      </c>
      <c r="C708" s="1" cm="1">
        <f t="array" ref="C708">_xll.GetLatestPrice(F708,"Actual","AssessmentDate")</f>
        <v>45826.645833333336</v>
      </c>
      <c r="D708">
        <f t="shared" si="22"/>
        <v>2025</v>
      </c>
      <c r="E708">
        <f t="shared" si="23"/>
        <v>6</v>
      </c>
      <c r="F708" s="9" t="s">
        <v>1414</v>
      </c>
      <c r="G708" s="9" t="s">
        <v>11</v>
      </c>
      <c r="H708" s="9" t="s">
        <v>12</v>
      </c>
    </row>
    <row r="709" spans="1:8" x14ac:dyDescent="0.25">
      <c r="A709" t="s">
        <v>1415</v>
      </c>
      <c r="B709" s="14" cm="1">
        <f t="array" ref="B709">_xll.GetLatestPrice(F709,,G709)</f>
        <v>1180</v>
      </c>
      <c r="C709" s="1" cm="1">
        <f t="array" ref="C709">_xll.GetLatestPrice(F709,"Actual","AssessmentDate")</f>
        <v>45826.645833333336</v>
      </c>
      <c r="D709">
        <f t="shared" si="22"/>
        <v>2025</v>
      </c>
      <c r="E709">
        <f t="shared" si="23"/>
        <v>6</v>
      </c>
      <c r="F709" s="9" t="s">
        <v>1416</v>
      </c>
      <c r="G709" s="9" t="s">
        <v>11</v>
      </c>
      <c r="H709" s="9" t="s">
        <v>12</v>
      </c>
    </row>
    <row r="710" spans="1:8" x14ac:dyDescent="0.25">
      <c r="A710" t="s">
        <v>1417</v>
      </c>
      <c r="B710" s="14" cm="1">
        <f t="array" ref="B710">_xll.GetLatestPrice(F710,,G710)</f>
        <v>715</v>
      </c>
      <c r="C710" s="1" cm="1">
        <f t="array" ref="C710">_xll.GetLatestPrice(F710,"Actual","AssessmentDate")</f>
        <v>45826.645833333336</v>
      </c>
      <c r="D710">
        <f t="shared" si="22"/>
        <v>2025</v>
      </c>
      <c r="E710">
        <f t="shared" si="23"/>
        <v>6</v>
      </c>
      <c r="F710" s="9" t="s">
        <v>1418</v>
      </c>
      <c r="G710" s="9" t="s">
        <v>11</v>
      </c>
      <c r="H710" s="9" t="s">
        <v>12</v>
      </c>
    </row>
    <row r="711" spans="1:8" x14ac:dyDescent="0.25">
      <c r="A711" t="s">
        <v>1419</v>
      </c>
      <c r="B711" s="14" cm="1">
        <f t="array" ref="B711">_xll.GetLatestPrice(F711,,G711)</f>
        <v>765</v>
      </c>
      <c r="C711" s="1" cm="1">
        <f t="array" ref="C711">_xll.GetLatestPrice(F711,"Actual","AssessmentDate")</f>
        <v>45826.645833333336</v>
      </c>
      <c r="D711">
        <f t="shared" si="22"/>
        <v>2025</v>
      </c>
      <c r="E711">
        <f t="shared" si="23"/>
        <v>6</v>
      </c>
      <c r="F711" s="9" t="s">
        <v>1420</v>
      </c>
      <c r="G711" s="9" t="s">
        <v>11</v>
      </c>
      <c r="H711" s="9" t="s">
        <v>12</v>
      </c>
    </row>
    <row r="712" spans="1:8" x14ac:dyDescent="0.25">
      <c r="A712" t="s">
        <v>1421</v>
      </c>
      <c r="B712" s="14" cm="1">
        <f t="array" ref="B712">_xll.GetLatestPrice(F712,,G712)</f>
        <v>635</v>
      </c>
      <c r="C712" s="1" cm="1">
        <f t="array" ref="C712">_xll.GetLatestPrice(F712,"Actual","AssessmentDate")</f>
        <v>45826.645833333336</v>
      </c>
      <c r="D712">
        <f t="shared" si="22"/>
        <v>2025</v>
      </c>
      <c r="E712">
        <f t="shared" si="23"/>
        <v>6</v>
      </c>
      <c r="F712" s="9" t="s">
        <v>1422</v>
      </c>
      <c r="G712" s="9" t="s">
        <v>11</v>
      </c>
      <c r="H712" s="9" t="s">
        <v>12</v>
      </c>
    </row>
    <row r="713" spans="1:8" x14ac:dyDescent="0.25">
      <c r="A713" t="s">
        <v>1423</v>
      </c>
      <c r="B713" s="14" cm="1">
        <f t="array" ref="B713">_xll.GetLatestPrice(F713,,G713)</f>
        <v>540</v>
      </c>
      <c r="C713" s="1" cm="1">
        <f t="array" ref="C713">_xll.GetLatestPrice(F713,"Actual","AssessmentDate")</f>
        <v>45826.645833333336</v>
      </c>
      <c r="D713">
        <f t="shared" si="22"/>
        <v>2025</v>
      </c>
      <c r="E713">
        <f t="shared" si="23"/>
        <v>6</v>
      </c>
      <c r="F713" s="9" t="s">
        <v>1424</v>
      </c>
      <c r="G713" s="9" t="s">
        <v>11</v>
      </c>
      <c r="H713" s="9" t="s">
        <v>12</v>
      </c>
    </row>
    <row r="714" spans="1:8" x14ac:dyDescent="0.25">
      <c r="A714" t="s">
        <v>1425</v>
      </c>
      <c r="B714" s="14" cm="1">
        <f t="array" ref="B714">_xll.GetLatestPrice(F714,,G714)</f>
        <v>605</v>
      </c>
      <c r="C714" s="1" cm="1">
        <f t="array" ref="C714">_xll.GetLatestPrice(F714,"Actual","AssessmentDate")</f>
        <v>45826.645833333336</v>
      </c>
      <c r="D714">
        <f t="shared" si="22"/>
        <v>2025</v>
      </c>
      <c r="E714">
        <f t="shared" si="23"/>
        <v>6</v>
      </c>
      <c r="F714" s="9" t="s">
        <v>1426</v>
      </c>
      <c r="G714" s="9" t="s">
        <v>11</v>
      </c>
      <c r="H714" s="9" t="s">
        <v>12</v>
      </c>
    </row>
    <row r="715" spans="1:8" x14ac:dyDescent="0.25">
      <c r="A715" t="s">
        <v>1427</v>
      </c>
      <c r="B715" s="14" cm="1">
        <f t="array" ref="B715">_xll.GetLatestPrice(F715,,G715)</f>
        <v>530</v>
      </c>
      <c r="C715" s="1" cm="1">
        <f t="array" ref="C715">_xll.GetLatestPrice(F715,"Actual","AssessmentDate")</f>
        <v>45826.645833333336</v>
      </c>
      <c r="D715">
        <f t="shared" si="22"/>
        <v>2025</v>
      </c>
      <c r="E715">
        <f t="shared" si="23"/>
        <v>6</v>
      </c>
      <c r="F715" s="9" t="s">
        <v>1428</v>
      </c>
      <c r="G715" s="9" t="s">
        <v>11</v>
      </c>
      <c r="H715" s="9" t="s">
        <v>12</v>
      </c>
    </row>
    <row r="716" spans="1:8" x14ac:dyDescent="0.25">
      <c r="A716" t="s">
        <v>1429</v>
      </c>
      <c r="B716" s="14" cm="1">
        <f t="array" ref="B716">_xll.GetLatestPrice(F716,,G716)</f>
        <v>540</v>
      </c>
      <c r="C716" s="1" cm="1">
        <f t="array" ref="C716">_xll.GetLatestPrice(F716,"Actual","AssessmentDate")</f>
        <v>45826.645833333336</v>
      </c>
      <c r="D716">
        <f t="shared" si="22"/>
        <v>2025</v>
      </c>
      <c r="E716">
        <f t="shared" si="23"/>
        <v>6</v>
      </c>
      <c r="F716" s="9" t="s">
        <v>1430</v>
      </c>
      <c r="G716" s="9" t="s">
        <v>11</v>
      </c>
      <c r="H716" s="9" t="s">
        <v>12</v>
      </c>
    </row>
    <row r="717" spans="1:8" x14ac:dyDescent="0.25">
      <c r="A717" t="s">
        <v>1431</v>
      </c>
      <c r="B717" s="14" cm="1">
        <f t="array" ref="B717">_xll.GetLatestPrice(F717,,G717)</f>
        <v>500</v>
      </c>
      <c r="C717" s="1" cm="1">
        <f t="array" ref="C717">_xll.GetLatestPrice(F717,"Actual","AssessmentDate")</f>
        <v>45826.645833333336</v>
      </c>
      <c r="D717">
        <f t="shared" si="22"/>
        <v>2025</v>
      </c>
      <c r="E717">
        <f t="shared" si="23"/>
        <v>6</v>
      </c>
      <c r="F717" s="9" t="s">
        <v>1432</v>
      </c>
      <c r="G717" s="9" t="s">
        <v>11</v>
      </c>
      <c r="H717" s="9" t="s">
        <v>12</v>
      </c>
    </row>
    <row r="718" spans="1:8" x14ac:dyDescent="0.25">
      <c r="A718" t="s">
        <v>1433</v>
      </c>
      <c r="B718" s="14" cm="1">
        <f t="array" ref="B718">_xll.GetLatestPrice(F718,,G718)</f>
        <v>500</v>
      </c>
      <c r="C718" s="1" cm="1">
        <f t="array" ref="C718">_xll.GetLatestPrice(F718,"Actual","AssessmentDate")</f>
        <v>45826.645833333336</v>
      </c>
      <c r="D718">
        <f t="shared" si="22"/>
        <v>2025</v>
      </c>
      <c r="E718">
        <f t="shared" si="23"/>
        <v>6</v>
      </c>
      <c r="F718" s="9" t="s">
        <v>1434</v>
      </c>
      <c r="G718" s="9" t="s">
        <v>11</v>
      </c>
      <c r="H718" s="9" t="s">
        <v>12</v>
      </c>
    </row>
    <row r="719" spans="1:8" x14ac:dyDescent="0.25">
      <c r="A719" t="s">
        <v>1435</v>
      </c>
      <c r="B719" s="14" cm="1">
        <f t="array" ref="B719">_xll.GetLatestPrice(F719,,G719)</f>
        <v>530</v>
      </c>
      <c r="C719" s="1" cm="1">
        <f t="array" ref="C719">_xll.GetLatestPrice(F719,"Actual","AssessmentDate")</f>
        <v>45826.645833333336</v>
      </c>
      <c r="D719">
        <f t="shared" si="22"/>
        <v>2025</v>
      </c>
      <c r="E719">
        <f t="shared" si="23"/>
        <v>6</v>
      </c>
      <c r="F719" s="9" t="s">
        <v>1436</v>
      </c>
      <c r="G719" s="9" t="s">
        <v>11</v>
      </c>
      <c r="H719" s="9" t="s">
        <v>12</v>
      </c>
    </row>
    <row r="720" spans="1:8" x14ac:dyDescent="0.25">
      <c r="A720" t="s">
        <v>1437</v>
      </c>
      <c r="B720" s="14" cm="1">
        <f t="array" ref="B720">_xll.GetLatestPrice(F720,,G720)</f>
        <v>625</v>
      </c>
      <c r="C720" s="1" cm="1">
        <f t="array" ref="C720">_xll.GetLatestPrice(F720,"Actual","AssessmentDate")</f>
        <v>45826.645833333336</v>
      </c>
      <c r="D720">
        <f t="shared" si="22"/>
        <v>2025</v>
      </c>
      <c r="E720">
        <f t="shared" si="23"/>
        <v>6</v>
      </c>
      <c r="F720" s="9" t="s">
        <v>1438</v>
      </c>
      <c r="G720" s="9" t="s">
        <v>11</v>
      </c>
      <c r="H720" s="9" t="s">
        <v>12</v>
      </c>
    </row>
    <row r="721" spans="1:8" x14ac:dyDescent="0.25">
      <c r="A721" t="s">
        <v>1439</v>
      </c>
      <c r="B721" s="14" cm="1">
        <f t="array" ref="B721">_xll.GetLatestPrice(F721,,G721)</f>
        <v>530</v>
      </c>
      <c r="C721" s="1" cm="1">
        <f t="array" ref="C721">_xll.GetLatestPrice(F721,"Actual","AssessmentDate")</f>
        <v>45826.645833333336</v>
      </c>
      <c r="D721">
        <f t="shared" si="22"/>
        <v>2025</v>
      </c>
      <c r="E721">
        <f t="shared" si="23"/>
        <v>6</v>
      </c>
      <c r="F721" s="9" t="s">
        <v>1440</v>
      </c>
      <c r="G721" s="9" t="s">
        <v>11</v>
      </c>
      <c r="H721" s="9" t="s">
        <v>12</v>
      </c>
    </row>
    <row r="722" spans="1:8" x14ac:dyDescent="0.25">
      <c r="A722" t="s">
        <v>1441</v>
      </c>
      <c r="B722" s="14" cm="1">
        <f t="array" ref="B722">_xll.GetLatestPrice(F722,,G722)</f>
        <v>415</v>
      </c>
      <c r="C722" s="1" cm="1">
        <f t="array" ref="C722">_xll.GetLatestPrice(F722,"Actual","AssessmentDate")</f>
        <v>45826.645833333336</v>
      </c>
      <c r="D722">
        <f t="shared" si="22"/>
        <v>2025</v>
      </c>
      <c r="E722">
        <f t="shared" si="23"/>
        <v>6</v>
      </c>
      <c r="F722" s="9" t="s">
        <v>1442</v>
      </c>
      <c r="G722" s="9" t="s">
        <v>11</v>
      </c>
      <c r="H722" s="9" t="s">
        <v>12</v>
      </c>
    </row>
    <row r="723" spans="1:8" x14ac:dyDescent="0.25">
      <c r="A723" t="s">
        <v>1443</v>
      </c>
      <c r="B723" s="14" cm="1">
        <f t="array" ref="B723">_xll.GetLatestPrice(F723,,G723)</f>
        <v>370</v>
      </c>
      <c r="C723" s="1" cm="1">
        <f t="array" ref="C723">_xll.GetLatestPrice(F723,"Actual","AssessmentDate")</f>
        <v>45826.645833333336</v>
      </c>
      <c r="D723">
        <f t="shared" si="22"/>
        <v>2025</v>
      </c>
      <c r="E723">
        <f t="shared" si="23"/>
        <v>6</v>
      </c>
      <c r="F723" s="9" t="s">
        <v>1444</v>
      </c>
      <c r="G723" s="9" t="s">
        <v>11</v>
      </c>
      <c r="H723" s="9" t="s">
        <v>12</v>
      </c>
    </row>
    <row r="724" spans="1:8" x14ac:dyDescent="0.25">
      <c r="A724" t="s">
        <v>1445</v>
      </c>
      <c r="B724" s="14" cm="1">
        <f t="array" ref="B724">_xll.GetLatestPrice(F724,,G724)</f>
        <v>390</v>
      </c>
      <c r="C724" s="1" cm="1">
        <f t="array" ref="C724">_xll.GetLatestPrice(F724,"Actual","AssessmentDate")</f>
        <v>45826.645833333336</v>
      </c>
      <c r="D724">
        <f t="shared" si="22"/>
        <v>2025</v>
      </c>
      <c r="E724">
        <f t="shared" si="23"/>
        <v>6</v>
      </c>
      <c r="F724" s="9" t="s">
        <v>1446</v>
      </c>
      <c r="G724" s="9" t="s">
        <v>11</v>
      </c>
      <c r="H724" s="9" t="s">
        <v>12</v>
      </c>
    </row>
    <row r="725" spans="1:8" x14ac:dyDescent="0.25">
      <c r="A725" t="s">
        <v>1447</v>
      </c>
      <c r="B725" s="14" cm="1">
        <f t="array" ref="B725">_xll.GetLatestPrice(F725,,G725)</f>
        <v>215</v>
      </c>
      <c r="C725" s="1" cm="1">
        <f t="array" ref="C725">_xll.GetLatestPrice(F725,"Actual","AssessmentDate")</f>
        <v>45826.645833333336</v>
      </c>
      <c r="D725">
        <f t="shared" si="22"/>
        <v>2025</v>
      </c>
      <c r="E725">
        <f t="shared" si="23"/>
        <v>6</v>
      </c>
      <c r="F725" s="9" t="s">
        <v>1448</v>
      </c>
      <c r="G725" s="9" t="s">
        <v>11</v>
      </c>
      <c r="H725" s="9" t="s">
        <v>12</v>
      </c>
    </row>
    <row r="726" spans="1:8" x14ac:dyDescent="0.25">
      <c r="A726" t="s">
        <v>1449</v>
      </c>
      <c r="B726" s="14" cm="1">
        <f t="array" ref="B726">_xll.GetLatestPrice(F726,,G726)</f>
        <v>175</v>
      </c>
      <c r="C726" s="1" cm="1">
        <f t="array" ref="C726">_xll.GetLatestPrice(F726,"Actual","AssessmentDate")</f>
        <v>45826.645833333336</v>
      </c>
      <c r="D726">
        <f t="shared" si="22"/>
        <v>2025</v>
      </c>
      <c r="E726">
        <f t="shared" si="23"/>
        <v>6</v>
      </c>
      <c r="F726" s="9" t="s">
        <v>1450</v>
      </c>
      <c r="G726" s="9" t="s">
        <v>11</v>
      </c>
      <c r="H726" s="9" t="s">
        <v>12</v>
      </c>
    </row>
    <row r="727" spans="1:8" x14ac:dyDescent="0.25">
      <c r="A727" t="s">
        <v>1451</v>
      </c>
      <c r="B727" s="14" cm="1">
        <f t="array" ref="B727">_xll.GetLatestPrice(F727,,G727)</f>
        <v>1770</v>
      </c>
      <c r="C727" s="1" cm="1">
        <f t="array" ref="C727">_xll.GetLatestPrice(F727,"Actual","AssessmentDate")</f>
        <v>45826.645833333336</v>
      </c>
      <c r="D727">
        <f t="shared" si="22"/>
        <v>2025</v>
      </c>
      <c r="E727">
        <f t="shared" si="23"/>
        <v>6</v>
      </c>
      <c r="F727" s="9" t="s">
        <v>1452</v>
      </c>
      <c r="G727" s="9" t="s">
        <v>11</v>
      </c>
      <c r="H727" s="9" t="s">
        <v>12</v>
      </c>
    </row>
    <row r="728" spans="1:8" x14ac:dyDescent="0.25">
      <c r="A728" t="s">
        <v>1453</v>
      </c>
      <c r="B728" s="14" cm="1">
        <f t="array" ref="B728">_xll.GetLatestPrice(F728,,G728)</f>
        <v>1800</v>
      </c>
      <c r="C728" s="1" cm="1">
        <f t="array" ref="C728">_xll.GetLatestPrice(F728,"Actual","AssessmentDate")</f>
        <v>45826.645833333336</v>
      </c>
      <c r="D728">
        <f t="shared" si="22"/>
        <v>2025</v>
      </c>
      <c r="E728">
        <f t="shared" si="23"/>
        <v>6</v>
      </c>
      <c r="F728" s="9" t="s">
        <v>1454</v>
      </c>
      <c r="G728" s="9" t="s">
        <v>11</v>
      </c>
      <c r="H728" s="9" t="s">
        <v>12</v>
      </c>
    </row>
    <row r="729" spans="1:8" x14ac:dyDescent="0.25">
      <c r="A729" t="s">
        <v>1455</v>
      </c>
      <c r="B729" s="14" cm="1">
        <f t="array" ref="B729">_xll.GetLatestPrice(F729,,G729)</f>
        <v>225</v>
      </c>
      <c r="C729" s="1" cm="1">
        <f t="array" ref="C729">_xll.GetLatestPrice(F729,"Actual","AssessmentDate")</f>
        <v>45826.645833333336</v>
      </c>
      <c r="D729">
        <f t="shared" si="22"/>
        <v>2025</v>
      </c>
      <c r="E729">
        <f t="shared" si="23"/>
        <v>6</v>
      </c>
      <c r="F729" s="9" t="s">
        <v>1456</v>
      </c>
      <c r="G729" s="9" t="s">
        <v>11</v>
      </c>
      <c r="H729" s="9" t="s">
        <v>12</v>
      </c>
    </row>
    <row r="730" spans="1:8" x14ac:dyDescent="0.25">
      <c r="A730" t="s">
        <v>1457</v>
      </c>
      <c r="B730" s="14" cm="1">
        <f t="array" ref="B730">_xll.GetLatestPrice(F730,,G730)</f>
        <v>185</v>
      </c>
      <c r="C730" s="1" cm="1">
        <f t="array" ref="C730">_xll.GetLatestPrice(F730,"Actual","AssessmentDate")</f>
        <v>45826.645833333336</v>
      </c>
      <c r="D730">
        <f t="shared" si="22"/>
        <v>2025</v>
      </c>
      <c r="E730">
        <f t="shared" si="23"/>
        <v>6</v>
      </c>
      <c r="F730" s="9" t="s">
        <v>1458</v>
      </c>
      <c r="G730" s="9" t="s">
        <v>11</v>
      </c>
      <c r="H730" s="9" t="s">
        <v>12</v>
      </c>
    </row>
    <row r="731" spans="1:8" x14ac:dyDescent="0.25">
      <c r="A731" t="s">
        <v>1459</v>
      </c>
      <c r="B731" s="14" cm="1">
        <f t="array" ref="B731">_xll.GetLatestPrice(F731,,G731)</f>
        <v>465</v>
      </c>
      <c r="C731" s="1" cm="1">
        <f t="array" ref="C731">_xll.GetLatestPrice(F731,"Actual","AssessmentDate")</f>
        <v>45826.645833333336</v>
      </c>
      <c r="D731">
        <f t="shared" si="22"/>
        <v>2025</v>
      </c>
      <c r="E731">
        <f t="shared" si="23"/>
        <v>6</v>
      </c>
      <c r="F731" s="9" t="s">
        <v>1460</v>
      </c>
      <c r="G731" s="9" t="s">
        <v>11</v>
      </c>
      <c r="H731" s="9" t="s">
        <v>12</v>
      </c>
    </row>
    <row r="732" spans="1:8" x14ac:dyDescent="0.25">
      <c r="A732" t="s">
        <v>1461</v>
      </c>
      <c r="B732" s="14" cm="1">
        <f t="array" ref="B732">_xll.GetLatestPrice(F732,,G732)</f>
        <v>630</v>
      </c>
      <c r="C732" s="1" cm="1">
        <f t="array" ref="C732">_xll.GetLatestPrice(F732,"Actual","AssessmentDate")</f>
        <v>45826.645833333336</v>
      </c>
      <c r="D732">
        <f t="shared" si="22"/>
        <v>2025</v>
      </c>
      <c r="E732">
        <f t="shared" si="23"/>
        <v>6</v>
      </c>
      <c r="F732" s="9" t="s">
        <v>1462</v>
      </c>
      <c r="G732" s="9" t="s">
        <v>11</v>
      </c>
      <c r="H732" s="9" t="s">
        <v>12</v>
      </c>
    </row>
    <row r="733" spans="1:8" x14ac:dyDescent="0.25">
      <c r="A733" t="s">
        <v>1463</v>
      </c>
      <c r="B733" s="14" cm="1">
        <f t="array" ref="B733">_xll.GetLatestPrice(F733,,G733)</f>
        <v>630</v>
      </c>
      <c r="C733" s="1" cm="1">
        <f t="array" ref="C733">_xll.GetLatestPrice(F733,"Actual","AssessmentDate")</f>
        <v>45826.645833333336</v>
      </c>
      <c r="D733">
        <f t="shared" si="22"/>
        <v>2025</v>
      </c>
      <c r="E733">
        <f t="shared" si="23"/>
        <v>6</v>
      </c>
      <c r="F733" s="9" t="s">
        <v>1464</v>
      </c>
      <c r="G733" s="9" t="s">
        <v>11</v>
      </c>
      <c r="H733" s="9" t="s">
        <v>12</v>
      </c>
    </row>
    <row r="734" spans="1:8" x14ac:dyDescent="0.25">
      <c r="A734" t="s">
        <v>1465</v>
      </c>
      <c r="B734" s="14" cm="1">
        <f t="array" ref="B734">_xll.GetLatestPrice(F734,,G734)</f>
        <v>700</v>
      </c>
      <c r="C734" s="1" cm="1">
        <f t="array" ref="C734">_xll.GetLatestPrice(F734,"Actual","AssessmentDate")</f>
        <v>45826.645833333336</v>
      </c>
      <c r="D734">
        <f t="shared" si="22"/>
        <v>2025</v>
      </c>
      <c r="E734">
        <f t="shared" si="23"/>
        <v>6</v>
      </c>
      <c r="F734" s="9" t="s">
        <v>1466</v>
      </c>
      <c r="G734" s="9" t="s">
        <v>11</v>
      </c>
      <c r="H734" s="9" t="s">
        <v>12</v>
      </c>
    </row>
    <row r="735" spans="1:8" x14ac:dyDescent="0.25">
      <c r="A735" t="s">
        <v>1467</v>
      </c>
      <c r="B735" s="14" cm="1">
        <f t="array" ref="B735">_xll.GetLatestPrice(F735,,G735)</f>
        <v>1960</v>
      </c>
      <c r="C735" s="1" cm="1">
        <f t="array" ref="C735">_xll.GetLatestPrice(F735,"Actual","AssessmentDate")</f>
        <v>45826.645833333336</v>
      </c>
      <c r="D735">
        <f t="shared" si="22"/>
        <v>2025</v>
      </c>
      <c r="E735">
        <f t="shared" si="23"/>
        <v>6</v>
      </c>
      <c r="F735" s="9" t="s">
        <v>1468</v>
      </c>
      <c r="G735" s="9" t="s">
        <v>11</v>
      </c>
      <c r="H735" s="9" t="s">
        <v>12</v>
      </c>
    </row>
    <row r="736" spans="1:8" x14ac:dyDescent="0.25">
      <c r="A736" t="s">
        <v>1469</v>
      </c>
      <c r="B736" s="14" cm="1">
        <f t="array" ref="B736">_xll.GetLatestPrice(F736,,G736)</f>
        <v>2105</v>
      </c>
      <c r="C736" s="1" cm="1">
        <f t="array" ref="C736">_xll.GetLatestPrice(F736,"Actual","AssessmentDate")</f>
        <v>45826.645833333336</v>
      </c>
      <c r="D736">
        <f t="shared" si="22"/>
        <v>2025</v>
      </c>
      <c r="E736">
        <f t="shared" si="23"/>
        <v>6</v>
      </c>
      <c r="F736" s="9" t="s">
        <v>1470</v>
      </c>
      <c r="G736" s="9" t="s">
        <v>11</v>
      </c>
      <c r="H736" s="9" t="s">
        <v>12</v>
      </c>
    </row>
    <row r="737" spans="1:8" x14ac:dyDescent="0.25">
      <c r="A737" t="s">
        <v>1471</v>
      </c>
      <c r="B737" s="14" cm="1">
        <f t="array" ref="B737">_xll.GetLatestPrice(F737,,G737)</f>
        <v>2130</v>
      </c>
      <c r="C737" s="1" cm="1">
        <f t="array" ref="C737">_xll.GetLatestPrice(F737,"Actual","AssessmentDate")</f>
        <v>45826.645833333336</v>
      </c>
      <c r="D737">
        <f t="shared" si="22"/>
        <v>2025</v>
      </c>
      <c r="E737">
        <f t="shared" si="23"/>
        <v>6</v>
      </c>
      <c r="F737" s="9" t="s">
        <v>1472</v>
      </c>
      <c r="G737" s="9" t="s">
        <v>11</v>
      </c>
      <c r="H737" s="9" t="s">
        <v>12</v>
      </c>
    </row>
    <row r="738" spans="1:8" x14ac:dyDescent="0.25">
      <c r="A738" t="s">
        <v>1473</v>
      </c>
      <c r="B738" s="14" cm="1">
        <f t="array" ref="B738">_xll.GetLatestPrice(F738,,G738)</f>
        <v>1160</v>
      </c>
      <c r="C738" s="1" cm="1">
        <f t="array" ref="C738">_xll.GetLatestPrice(F738,"Actual","AssessmentDate")</f>
        <v>45826.645833333336</v>
      </c>
      <c r="D738">
        <f t="shared" si="22"/>
        <v>2025</v>
      </c>
      <c r="E738">
        <f t="shared" si="23"/>
        <v>6</v>
      </c>
      <c r="F738" s="9" t="s">
        <v>1474</v>
      </c>
      <c r="G738" s="9" t="s">
        <v>11</v>
      </c>
      <c r="H738" s="9" t="s">
        <v>12</v>
      </c>
    </row>
    <row r="739" spans="1:8" x14ac:dyDescent="0.25">
      <c r="A739" t="s">
        <v>1475</v>
      </c>
      <c r="B739" s="14" cm="1">
        <f t="array" ref="B739">_xll.GetLatestPrice(F739,,G739)</f>
        <v>1500</v>
      </c>
      <c r="C739" s="1" cm="1">
        <f t="array" ref="C739">_xll.GetLatestPrice(F739,"Actual","AssessmentDate")</f>
        <v>45826.645833333336</v>
      </c>
      <c r="D739">
        <f t="shared" si="22"/>
        <v>2025</v>
      </c>
      <c r="E739">
        <f t="shared" si="23"/>
        <v>6</v>
      </c>
      <c r="F739" s="9" t="s">
        <v>1476</v>
      </c>
      <c r="G739" s="9" t="s">
        <v>11</v>
      </c>
      <c r="H739" s="9" t="s">
        <v>12</v>
      </c>
    </row>
    <row r="740" spans="1:8" x14ac:dyDescent="0.25">
      <c r="A740" t="s">
        <v>1477</v>
      </c>
      <c r="B740" s="14" cm="1">
        <f t="array" ref="B740">_xll.GetLatestPrice(F740,,G740)</f>
        <v>225</v>
      </c>
      <c r="C740" s="1" cm="1">
        <f t="array" ref="C740">_xll.GetLatestPrice(F740,"Actual","AssessmentDate")</f>
        <v>45826.645833333336</v>
      </c>
      <c r="D740">
        <f t="shared" si="22"/>
        <v>2025</v>
      </c>
      <c r="E740">
        <f t="shared" si="23"/>
        <v>6</v>
      </c>
      <c r="F740" s="9" t="s">
        <v>1478</v>
      </c>
      <c r="G740" s="9" t="s">
        <v>11</v>
      </c>
      <c r="H740" s="9" t="s">
        <v>12</v>
      </c>
    </row>
    <row r="741" spans="1:8" x14ac:dyDescent="0.25">
      <c r="A741" t="s">
        <v>1479</v>
      </c>
      <c r="B741" s="14" cm="1">
        <f t="array" ref="B741">_xll.GetLatestPrice(F741,,G741)</f>
        <v>185</v>
      </c>
      <c r="C741" s="1" cm="1">
        <f t="array" ref="C741">_xll.GetLatestPrice(F741,"Actual","AssessmentDate")</f>
        <v>45826.645833333336</v>
      </c>
      <c r="D741">
        <f t="shared" si="22"/>
        <v>2025</v>
      </c>
      <c r="E741">
        <f t="shared" si="23"/>
        <v>6</v>
      </c>
      <c r="F741" s="9" t="s">
        <v>1480</v>
      </c>
      <c r="G741" s="9" t="s">
        <v>11</v>
      </c>
      <c r="H741" s="9" t="s">
        <v>12</v>
      </c>
    </row>
    <row r="742" spans="1:8" x14ac:dyDescent="0.25">
      <c r="A742" t="s">
        <v>1481</v>
      </c>
      <c r="B742" s="14" cm="1">
        <f t="array" ref="B742">_xll.GetLatestPrice(F742,,G742)</f>
        <v>520</v>
      </c>
      <c r="C742" s="1" cm="1">
        <f t="array" ref="C742">_xll.GetLatestPrice(F742,"Actual","AssessmentDate")</f>
        <v>45826.645833333336</v>
      </c>
      <c r="D742">
        <f t="shared" si="22"/>
        <v>2025</v>
      </c>
      <c r="E742">
        <f t="shared" si="23"/>
        <v>6</v>
      </c>
      <c r="F742" s="9" t="s">
        <v>1482</v>
      </c>
      <c r="G742" s="9" t="s">
        <v>11</v>
      </c>
      <c r="H742" s="9" t="s">
        <v>12</v>
      </c>
    </row>
    <row r="743" spans="1:8" x14ac:dyDescent="0.25">
      <c r="A743" t="s">
        <v>1483</v>
      </c>
      <c r="B743" s="14" cm="1">
        <f t="array" ref="B743">_xll.GetLatestPrice(F743,,G743)</f>
        <v>645</v>
      </c>
      <c r="C743" s="1" cm="1">
        <f t="array" ref="C743">_xll.GetLatestPrice(F743,"Actual","AssessmentDate")</f>
        <v>45826.645833333336</v>
      </c>
      <c r="D743">
        <f t="shared" si="22"/>
        <v>2025</v>
      </c>
      <c r="E743">
        <f t="shared" si="23"/>
        <v>6</v>
      </c>
      <c r="F743" s="9" t="s">
        <v>1484</v>
      </c>
      <c r="G743" s="9" t="s">
        <v>11</v>
      </c>
      <c r="H743" s="9" t="s">
        <v>12</v>
      </c>
    </row>
    <row r="744" spans="1:8" x14ac:dyDescent="0.25">
      <c r="A744" t="s">
        <v>1485</v>
      </c>
      <c r="B744" s="14" cm="1">
        <f t="array" ref="B744">_xll.GetLatestPrice(F744,,G744)</f>
        <v>615</v>
      </c>
      <c r="C744" s="1" cm="1">
        <f t="array" ref="C744">_xll.GetLatestPrice(F744,"Actual","AssessmentDate")</f>
        <v>45826.645833333336</v>
      </c>
      <c r="D744">
        <f t="shared" si="22"/>
        <v>2025</v>
      </c>
      <c r="E744">
        <f t="shared" si="23"/>
        <v>6</v>
      </c>
      <c r="F744" s="9" t="s">
        <v>1486</v>
      </c>
      <c r="G744" s="9" t="s">
        <v>11</v>
      </c>
      <c r="H744" s="9" t="s">
        <v>12</v>
      </c>
    </row>
    <row r="745" spans="1:8" x14ac:dyDescent="0.25">
      <c r="A745" t="s">
        <v>1487</v>
      </c>
      <c r="B745" s="14" cm="1">
        <f t="array" ref="B745">_xll.GetLatestPrice(F745,,G745)</f>
        <v>675</v>
      </c>
      <c r="C745" s="1" cm="1">
        <f t="array" ref="C745">_xll.GetLatestPrice(F745,"Actual","AssessmentDate")</f>
        <v>45826.645833333336</v>
      </c>
      <c r="D745">
        <f t="shared" si="22"/>
        <v>2025</v>
      </c>
      <c r="E745">
        <f t="shared" si="23"/>
        <v>6</v>
      </c>
      <c r="F745" s="9" t="s">
        <v>1488</v>
      </c>
      <c r="G745" s="9" t="s">
        <v>11</v>
      </c>
      <c r="H745" s="9" t="s">
        <v>12</v>
      </c>
    </row>
    <row r="746" spans="1:8" x14ac:dyDescent="0.25">
      <c r="A746" t="s">
        <v>1489</v>
      </c>
      <c r="B746" s="14" cm="1">
        <f t="array" ref="B746">_xll.GetLatestPrice(F746,,G746)</f>
        <v>1265</v>
      </c>
      <c r="C746" s="1" cm="1">
        <f t="array" ref="C746">_xll.GetLatestPrice(F746,"Actual","AssessmentDate")</f>
        <v>45826.645833333336</v>
      </c>
      <c r="D746">
        <f t="shared" si="22"/>
        <v>2025</v>
      </c>
      <c r="E746">
        <f t="shared" si="23"/>
        <v>6</v>
      </c>
      <c r="F746" s="9" t="s">
        <v>1490</v>
      </c>
      <c r="G746" s="9" t="s">
        <v>11</v>
      </c>
      <c r="H746" s="9" t="s">
        <v>12</v>
      </c>
    </row>
    <row r="747" spans="1:8" x14ac:dyDescent="0.25">
      <c r="A747" t="s">
        <v>1491</v>
      </c>
      <c r="B747" s="14" cm="1">
        <f t="array" ref="B747">_xll.GetLatestPrice(F747,,G747)</f>
        <v>1220</v>
      </c>
      <c r="C747" s="1" cm="1">
        <f t="array" ref="C747">_xll.GetLatestPrice(F747,"Actual","AssessmentDate")</f>
        <v>45826.645833333336</v>
      </c>
      <c r="D747">
        <f t="shared" si="22"/>
        <v>2025</v>
      </c>
      <c r="E747">
        <f t="shared" si="23"/>
        <v>6</v>
      </c>
      <c r="F747" s="9" t="s">
        <v>1492</v>
      </c>
      <c r="G747" s="9" t="s">
        <v>11</v>
      </c>
      <c r="H747" s="9" t="s">
        <v>12</v>
      </c>
    </row>
    <row r="748" spans="1:8" x14ac:dyDescent="0.25">
      <c r="A748" t="s">
        <v>1493</v>
      </c>
      <c r="B748" s="14" cm="1">
        <f t="array" ref="B748">_xll.GetLatestPrice(F748,,G748)</f>
        <v>1310</v>
      </c>
      <c r="C748" s="1" cm="1">
        <f t="array" ref="C748">_xll.GetLatestPrice(F748,"Actual","AssessmentDate")</f>
        <v>45826.645833333336</v>
      </c>
      <c r="D748">
        <f t="shared" si="22"/>
        <v>2025</v>
      </c>
      <c r="E748">
        <f t="shared" si="23"/>
        <v>6</v>
      </c>
      <c r="F748" s="9" t="s">
        <v>1494</v>
      </c>
      <c r="G748" s="9" t="s">
        <v>11</v>
      </c>
      <c r="H748" s="9" t="s">
        <v>12</v>
      </c>
    </row>
    <row r="749" spans="1:8" x14ac:dyDescent="0.25">
      <c r="A749" t="s">
        <v>1495</v>
      </c>
      <c r="B749" s="14" cm="1">
        <f t="array" ref="B749">_xll.GetLatestPrice(F749,,G749)</f>
        <v>690</v>
      </c>
      <c r="C749" s="1" cm="1">
        <f t="array" ref="C749">_xll.GetLatestPrice(F749,"Actual","AssessmentDate")</f>
        <v>45826.645833333336</v>
      </c>
      <c r="D749">
        <f t="shared" si="22"/>
        <v>2025</v>
      </c>
      <c r="E749">
        <f t="shared" si="23"/>
        <v>6</v>
      </c>
      <c r="F749" s="9" t="s">
        <v>1496</v>
      </c>
      <c r="G749" s="9" t="s">
        <v>11</v>
      </c>
      <c r="H749" s="9" t="s">
        <v>12</v>
      </c>
    </row>
    <row r="750" spans="1:8" x14ac:dyDescent="0.25">
      <c r="A750" t="s">
        <v>1497</v>
      </c>
      <c r="B750" s="14" cm="1">
        <f t="array" ref="B750">_xll.GetLatestPrice(F750,,G750)</f>
        <v>235</v>
      </c>
      <c r="C750" s="1" cm="1">
        <f t="array" ref="C750">_xll.GetLatestPrice(F750,"Actual","AssessmentDate")</f>
        <v>45826.645833333336</v>
      </c>
      <c r="D750">
        <f t="shared" si="22"/>
        <v>2025</v>
      </c>
      <c r="E750">
        <f t="shared" si="23"/>
        <v>6</v>
      </c>
      <c r="F750" s="9" t="s">
        <v>1498</v>
      </c>
      <c r="G750" s="9" t="s">
        <v>11</v>
      </c>
      <c r="H750" s="9" t="s">
        <v>12</v>
      </c>
    </row>
    <row r="751" spans="1:8" x14ac:dyDescent="0.25">
      <c r="A751" t="s">
        <v>1499</v>
      </c>
      <c r="B751" s="14" cm="1">
        <f t="array" ref="B751">_xll.GetLatestPrice(F751,,G751)</f>
        <v>190</v>
      </c>
      <c r="C751" s="1" cm="1">
        <f t="array" ref="C751">_xll.GetLatestPrice(F751,"Actual","AssessmentDate")</f>
        <v>45826.645833333336</v>
      </c>
      <c r="D751">
        <f t="shared" si="22"/>
        <v>2025</v>
      </c>
      <c r="E751">
        <f t="shared" si="23"/>
        <v>6</v>
      </c>
      <c r="F751" s="9" t="s">
        <v>1500</v>
      </c>
      <c r="G751" s="9" t="s">
        <v>11</v>
      </c>
      <c r="H751" s="9" t="s">
        <v>12</v>
      </c>
    </row>
    <row r="752" spans="1:8" x14ac:dyDescent="0.25">
      <c r="A752" t="s">
        <v>1501</v>
      </c>
      <c r="B752" s="14" cm="1">
        <f t="array" ref="B752">_xll.GetLatestPrice(F752,,G752)</f>
        <v>210</v>
      </c>
      <c r="C752" s="1" cm="1">
        <f t="array" ref="C752">_xll.GetLatestPrice(F752,"Actual","AssessmentDate")</f>
        <v>45826.645833333336</v>
      </c>
      <c r="D752">
        <f t="shared" si="22"/>
        <v>2025</v>
      </c>
      <c r="E752">
        <f t="shared" si="23"/>
        <v>6</v>
      </c>
      <c r="F752" s="9" t="s">
        <v>1502</v>
      </c>
      <c r="G752" s="9" t="s">
        <v>11</v>
      </c>
      <c r="H752" s="9" t="s">
        <v>12</v>
      </c>
    </row>
    <row r="753" spans="1:8" x14ac:dyDescent="0.25">
      <c r="A753" t="s">
        <v>1503</v>
      </c>
      <c r="B753" s="14" cm="1">
        <f t="array" ref="B753">_xll.GetLatestPrice(F753,,G753)</f>
        <v>200</v>
      </c>
      <c r="C753" s="1" cm="1">
        <f t="array" ref="C753">_xll.GetLatestPrice(F753,"Actual","AssessmentDate")</f>
        <v>45826.645833333336</v>
      </c>
      <c r="D753">
        <f t="shared" si="22"/>
        <v>2025</v>
      </c>
      <c r="E753">
        <f t="shared" si="23"/>
        <v>6</v>
      </c>
      <c r="F753" s="9" t="s">
        <v>1504</v>
      </c>
      <c r="G753" s="9" t="s">
        <v>11</v>
      </c>
      <c r="H753" s="9" t="s">
        <v>12</v>
      </c>
    </row>
    <row r="754" spans="1:8" x14ac:dyDescent="0.25">
      <c r="A754" t="s">
        <v>1505</v>
      </c>
      <c r="B754" s="14" cm="1">
        <f t="array" ref="B754">_xll.GetLatestPrice(F754,,G754)</f>
        <v>210</v>
      </c>
      <c r="C754" s="1" cm="1">
        <f t="array" ref="C754">_xll.GetLatestPrice(F754,"Actual","AssessmentDate")</f>
        <v>45826.645833333336</v>
      </c>
      <c r="D754">
        <f t="shared" si="22"/>
        <v>2025</v>
      </c>
      <c r="E754">
        <f t="shared" si="23"/>
        <v>6</v>
      </c>
      <c r="F754" s="9" t="s">
        <v>1506</v>
      </c>
      <c r="G754" s="9" t="s">
        <v>11</v>
      </c>
      <c r="H754" s="9" t="s">
        <v>12</v>
      </c>
    </row>
    <row r="755" spans="1:8" x14ac:dyDescent="0.25">
      <c r="A755" t="s">
        <v>1507</v>
      </c>
      <c r="B755" s="14" cm="1">
        <f t="array" ref="B755">_xll.GetLatestPrice(F755,,G755)</f>
        <v>1075</v>
      </c>
      <c r="C755" s="1" cm="1">
        <f t="array" ref="C755">_xll.GetLatestPrice(F755,"Actual","AssessmentDate")</f>
        <v>45826.645833333336</v>
      </c>
      <c r="D755">
        <f t="shared" si="22"/>
        <v>2025</v>
      </c>
      <c r="E755">
        <f t="shared" si="23"/>
        <v>6</v>
      </c>
      <c r="F755" s="9" t="s">
        <v>1508</v>
      </c>
      <c r="G755" s="9" t="s">
        <v>11</v>
      </c>
      <c r="H755" s="9" t="s">
        <v>12</v>
      </c>
    </row>
    <row r="756" spans="1:8" x14ac:dyDescent="0.25">
      <c r="A756" t="s">
        <v>1509</v>
      </c>
      <c r="B756" s="14" cm="1">
        <f t="array" ref="B756">_xll.GetLatestPrice(F756,,G756)</f>
        <v>990</v>
      </c>
      <c r="C756" s="1" cm="1">
        <f t="array" ref="C756">_xll.GetLatestPrice(F756,"Actual","AssessmentDate")</f>
        <v>45826.645833333336</v>
      </c>
      <c r="D756">
        <f t="shared" si="22"/>
        <v>2025</v>
      </c>
      <c r="E756">
        <f t="shared" si="23"/>
        <v>6</v>
      </c>
      <c r="F756" s="9" t="s">
        <v>1510</v>
      </c>
      <c r="G756" s="9" t="s">
        <v>11</v>
      </c>
      <c r="H756" s="9" t="s">
        <v>12</v>
      </c>
    </row>
    <row r="757" spans="1:8" x14ac:dyDescent="0.25">
      <c r="A757" t="s">
        <v>1511</v>
      </c>
      <c r="B757" s="14" cm="1">
        <f t="array" ref="B757">_xll.GetLatestPrice(F757,,G757)</f>
        <v>1110</v>
      </c>
      <c r="C757" s="1" cm="1">
        <f t="array" ref="C757">_xll.GetLatestPrice(F757,"Actual","AssessmentDate")</f>
        <v>45826.645833333336</v>
      </c>
      <c r="D757">
        <f t="shared" si="22"/>
        <v>2025</v>
      </c>
      <c r="E757">
        <f t="shared" si="23"/>
        <v>6</v>
      </c>
      <c r="F757" s="9" t="s">
        <v>1512</v>
      </c>
      <c r="G757" s="9" t="s">
        <v>11</v>
      </c>
      <c r="H757" s="9" t="s">
        <v>12</v>
      </c>
    </row>
    <row r="758" spans="1:8" x14ac:dyDescent="0.25">
      <c r="A758" t="s">
        <v>1513</v>
      </c>
      <c r="B758" s="14" cm="1">
        <f t="array" ref="B758">_xll.GetLatestPrice(F758,,G758)</f>
        <v>600</v>
      </c>
      <c r="C758" s="1" cm="1">
        <f t="array" ref="C758">_xll.GetLatestPrice(F758,"Actual","AssessmentDate")</f>
        <v>45826.645833333336</v>
      </c>
      <c r="D758">
        <f t="shared" si="22"/>
        <v>2025</v>
      </c>
      <c r="E758">
        <f t="shared" si="23"/>
        <v>6</v>
      </c>
      <c r="F758" s="9" t="s">
        <v>1514</v>
      </c>
      <c r="G758" s="9" t="s">
        <v>11</v>
      </c>
      <c r="H758" s="9" t="s">
        <v>12</v>
      </c>
    </row>
    <row r="759" spans="1:8" x14ac:dyDescent="0.25">
      <c r="A759" t="s">
        <v>1515</v>
      </c>
      <c r="B759" s="14" cm="1">
        <f t="array" ref="B759">_xll.GetLatestPrice(F759,,G759)</f>
        <v>225</v>
      </c>
      <c r="C759" s="1" cm="1">
        <f t="array" ref="C759">_xll.GetLatestPrice(F759,"Actual","AssessmentDate")</f>
        <v>45826.645833333336</v>
      </c>
      <c r="D759">
        <f t="shared" si="22"/>
        <v>2025</v>
      </c>
      <c r="E759">
        <f t="shared" si="23"/>
        <v>6</v>
      </c>
      <c r="F759" s="9" t="s">
        <v>1516</v>
      </c>
      <c r="G759" s="9" t="s">
        <v>11</v>
      </c>
      <c r="H759" s="9" t="s">
        <v>12</v>
      </c>
    </row>
    <row r="760" spans="1:8" x14ac:dyDescent="0.25">
      <c r="A760" t="s">
        <v>1517</v>
      </c>
      <c r="B760" s="14" cm="1">
        <f t="array" ref="B760">_xll.GetLatestPrice(F760,,G760)</f>
        <v>210</v>
      </c>
      <c r="C760" s="1" cm="1">
        <f t="array" ref="C760">_xll.GetLatestPrice(F760,"Actual","AssessmentDate")</f>
        <v>45826.645833333336</v>
      </c>
      <c r="D760">
        <f t="shared" si="22"/>
        <v>2025</v>
      </c>
      <c r="E760">
        <f t="shared" si="23"/>
        <v>6</v>
      </c>
      <c r="F760" s="9" t="s">
        <v>1518</v>
      </c>
      <c r="G760" s="9" t="s">
        <v>11</v>
      </c>
      <c r="H760" s="9" t="s">
        <v>12</v>
      </c>
    </row>
    <row r="761" spans="1:8" x14ac:dyDescent="0.25">
      <c r="A761" t="s">
        <v>1519</v>
      </c>
      <c r="B761" s="14" cm="1">
        <f t="array" ref="B761">_xll.GetLatestPrice(F761,,G761)</f>
        <v>235</v>
      </c>
      <c r="C761" s="1" cm="1">
        <f t="array" ref="C761">_xll.GetLatestPrice(F761,"Actual","AssessmentDate")</f>
        <v>45826.645833333336</v>
      </c>
      <c r="D761">
        <f t="shared" si="22"/>
        <v>2025</v>
      </c>
      <c r="E761">
        <f t="shared" si="23"/>
        <v>6</v>
      </c>
      <c r="F761" s="9" t="s">
        <v>1520</v>
      </c>
      <c r="G761" s="9" t="s">
        <v>11</v>
      </c>
      <c r="H761" s="9" t="s">
        <v>12</v>
      </c>
    </row>
    <row r="762" spans="1:8" x14ac:dyDescent="0.25">
      <c r="A762" t="s">
        <v>1521</v>
      </c>
      <c r="B762" s="14" cm="1">
        <f t="array" ref="B762">_xll.GetLatestPrice(F762,,G762)</f>
        <v>220</v>
      </c>
      <c r="C762" s="1" cm="1">
        <f t="array" ref="C762">_xll.GetLatestPrice(F762,"Actual","AssessmentDate")</f>
        <v>45826.645833333336</v>
      </c>
      <c r="D762">
        <f t="shared" si="22"/>
        <v>2025</v>
      </c>
      <c r="E762">
        <f t="shared" si="23"/>
        <v>6</v>
      </c>
      <c r="F762" s="9" t="s">
        <v>1522</v>
      </c>
      <c r="G762" s="9" t="s">
        <v>11</v>
      </c>
      <c r="H762" s="9" t="s">
        <v>12</v>
      </c>
    </row>
    <row r="763" spans="1:8" x14ac:dyDescent="0.25">
      <c r="A763" t="s">
        <v>1523</v>
      </c>
      <c r="B763" s="14" cm="1">
        <f t="array" ref="B763">_xll.GetLatestPrice(F763,,G763)</f>
        <v>250</v>
      </c>
      <c r="C763" s="1" cm="1">
        <f t="array" ref="C763">_xll.GetLatestPrice(F763,"Actual","AssessmentDate")</f>
        <v>45826.645833333336</v>
      </c>
      <c r="D763">
        <f t="shared" si="22"/>
        <v>2025</v>
      </c>
      <c r="E763">
        <f t="shared" si="23"/>
        <v>6</v>
      </c>
      <c r="F763" s="9" t="s">
        <v>1524</v>
      </c>
      <c r="G763" s="9" t="s">
        <v>11</v>
      </c>
      <c r="H763" s="9" t="s">
        <v>12</v>
      </c>
    </row>
    <row r="764" spans="1:8" x14ac:dyDescent="0.25">
      <c r="A764" t="s">
        <v>1525</v>
      </c>
      <c r="B764" s="14" cm="1">
        <f t="array" ref="B764">_xll.GetLatestPrice(F764,,G764)</f>
        <v>730</v>
      </c>
      <c r="C764" s="1" cm="1">
        <f t="array" ref="C764">_xll.GetLatestPrice(F764,"Actual","AssessmentDate")</f>
        <v>45826.645833333336</v>
      </c>
      <c r="D764">
        <f t="shared" si="22"/>
        <v>2025</v>
      </c>
      <c r="E764">
        <f t="shared" si="23"/>
        <v>6</v>
      </c>
      <c r="F764" s="9" t="s">
        <v>1526</v>
      </c>
      <c r="G764" s="9" t="s">
        <v>11</v>
      </c>
      <c r="H764" s="9" t="s">
        <v>12</v>
      </c>
    </row>
    <row r="765" spans="1:8" x14ac:dyDescent="0.25">
      <c r="A765" t="s">
        <v>1527</v>
      </c>
      <c r="B765" s="14" cm="1">
        <f t="array" ref="B765">_xll.GetLatestPrice(F765,,G765)</f>
        <v>745</v>
      </c>
      <c r="C765" s="1" cm="1">
        <f t="array" ref="C765">_xll.GetLatestPrice(F765,"Actual","AssessmentDate")</f>
        <v>45826.645833333336</v>
      </c>
      <c r="D765">
        <f t="shared" si="22"/>
        <v>2025</v>
      </c>
      <c r="E765">
        <f t="shared" si="23"/>
        <v>6</v>
      </c>
      <c r="F765" s="9" t="s">
        <v>1528</v>
      </c>
      <c r="G765" s="9" t="s">
        <v>11</v>
      </c>
      <c r="H765" s="9" t="s">
        <v>12</v>
      </c>
    </row>
    <row r="766" spans="1:8" x14ac:dyDescent="0.25">
      <c r="A766" t="s">
        <v>1529</v>
      </c>
      <c r="B766" s="14" cm="1">
        <f t="array" ref="B766">_xll.GetLatestPrice(F766,,G766)</f>
        <v>530</v>
      </c>
      <c r="C766" s="1" cm="1">
        <f t="array" ref="C766">_xll.GetLatestPrice(F766,"Actual","AssessmentDate")</f>
        <v>45826.645833333336</v>
      </c>
      <c r="D766">
        <f t="shared" si="22"/>
        <v>2025</v>
      </c>
      <c r="E766">
        <f t="shared" si="23"/>
        <v>6</v>
      </c>
      <c r="F766" s="9" t="s">
        <v>1530</v>
      </c>
      <c r="G766" s="9" t="s">
        <v>11</v>
      </c>
      <c r="H766" s="9" t="s">
        <v>12</v>
      </c>
    </row>
    <row r="767" spans="1:8" x14ac:dyDescent="0.25">
      <c r="A767" t="s">
        <v>1531</v>
      </c>
      <c r="B767" s="14" cm="1">
        <f t="array" ref="B767">_xll.GetLatestPrice(F767,,G767)</f>
        <v>225</v>
      </c>
      <c r="C767" s="1" cm="1">
        <f t="array" ref="C767">_xll.GetLatestPrice(F767,"Actual","AssessmentDate")</f>
        <v>45826.645833333336</v>
      </c>
      <c r="D767">
        <f t="shared" si="22"/>
        <v>2025</v>
      </c>
      <c r="E767">
        <f t="shared" si="23"/>
        <v>6</v>
      </c>
      <c r="F767" s="9" t="s">
        <v>1532</v>
      </c>
      <c r="G767" s="9" t="s">
        <v>11</v>
      </c>
      <c r="H767" s="9" t="s">
        <v>12</v>
      </c>
    </row>
    <row r="768" spans="1:8" x14ac:dyDescent="0.25">
      <c r="A768" t="s">
        <v>1533</v>
      </c>
      <c r="B768" s="14" cm="1">
        <f t="array" ref="B768">_xll.GetLatestPrice(F768,,G768)</f>
        <v>205</v>
      </c>
      <c r="C768" s="1" cm="1">
        <f t="array" ref="C768">_xll.GetLatestPrice(F768,"Actual","AssessmentDate")</f>
        <v>45826.645833333336</v>
      </c>
      <c r="D768">
        <f t="shared" si="22"/>
        <v>2025</v>
      </c>
      <c r="E768">
        <f t="shared" si="23"/>
        <v>6</v>
      </c>
      <c r="F768" s="9" t="s">
        <v>1534</v>
      </c>
      <c r="G768" s="9" t="s">
        <v>11</v>
      </c>
      <c r="H768" s="9" t="s">
        <v>12</v>
      </c>
    </row>
    <row r="769" spans="1:8" x14ac:dyDescent="0.25">
      <c r="A769" t="s">
        <v>1535</v>
      </c>
      <c r="B769" s="14" cm="1">
        <f t="array" ref="B769">_xll.GetLatestPrice(F769,,G769)</f>
        <v>235</v>
      </c>
      <c r="C769" s="1" cm="1">
        <f t="array" ref="C769">_xll.GetLatestPrice(F769,"Actual","AssessmentDate")</f>
        <v>45826.645833333336</v>
      </c>
      <c r="D769">
        <f t="shared" si="22"/>
        <v>2025</v>
      </c>
      <c r="E769">
        <f t="shared" si="23"/>
        <v>6</v>
      </c>
      <c r="F769" s="9" t="s">
        <v>1536</v>
      </c>
      <c r="G769" s="9" t="s">
        <v>11</v>
      </c>
      <c r="H769" s="9" t="s">
        <v>12</v>
      </c>
    </row>
    <row r="770" spans="1:8" x14ac:dyDescent="0.25">
      <c r="A770" t="s">
        <v>1537</v>
      </c>
      <c r="B770" s="14" cm="1">
        <f t="array" ref="B770">_xll.GetLatestPrice(F770,,G770)</f>
        <v>200</v>
      </c>
      <c r="C770" s="1" cm="1">
        <f t="array" ref="C770">_xll.GetLatestPrice(F770,"Actual","AssessmentDate")</f>
        <v>45826.645833333336</v>
      </c>
      <c r="D770">
        <f t="shared" si="22"/>
        <v>2025</v>
      </c>
      <c r="E770">
        <f t="shared" si="23"/>
        <v>6</v>
      </c>
      <c r="F770" s="9" t="s">
        <v>1538</v>
      </c>
      <c r="G770" s="9" t="s">
        <v>11</v>
      </c>
      <c r="H770" s="9" t="s">
        <v>12</v>
      </c>
    </row>
    <row r="771" spans="1:8" x14ac:dyDescent="0.25">
      <c r="A771" t="s">
        <v>1539</v>
      </c>
      <c r="B771" s="14" cm="1">
        <f t="array" ref="B771">_xll.GetLatestPrice(F771,,G771)</f>
        <v>260</v>
      </c>
      <c r="C771" s="1" cm="1">
        <f t="array" ref="C771">_xll.GetLatestPrice(F771,"Actual","AssessmentDate")</f>
        <v>45826.645833333336</v>
      </c>
      <c r="D771">
        <f t="shared" ref="D771:D834" si="24">YEAR(C771)</f>
        <v>2025</v>
      </c>
      <c r="E771">
        <f t="shared" ref="E771:E834" si="25">MONTH(C771)</f>
        <v>6</v>
      </c>
      <c r="F771" s="9" t="s">
        <v>1540</v>
      </c>
      <c r="G771" s="9" t="s">
        <v>11</v>
      </c>
      <c r="H771" s="9" t="s">
        <v>12</v>
      </c>
    </row>
    <row r="772" spans="1:8" x14ac:dyDescent="0.25">
      <c r="A772" t="s">
        <v>1541</v>
      </c>
      <c r="B772" s="14" cm="1">
        <f t="array" ref="B772">_xll.GetLatestPrice(F772,,G772)</f>
        <v>535</v>
      </c>
      <c r="C772" s="1" cm="1">
        <f t="array" ref="C772">_xll.GetLatestPrice(F772,"Actual","AssessmentDate")</f>
        <v>45826.645833333336</v>
      </c>
      <c r="D772">
        <f t="shared" si="24"/>
        <v>2025</v>
      </c>
      <c r="E772">
        <f t="shared" si="25"/>
        <v>6</v>
      </c>
      <c r="F772" s="9" t="s">
        <v>1542</v>
      </c>
      <c r="G772" s="9" t="s">
        <v>11</v>
      </c>
      <c r="H772" s="9" t="s">
        <v>12</v>
      </c>
    </row>
    <row r="773" spans="1:8" x14ac:dyDescent="0.25">
      <c r="A773" t="s">
        <v>1543</v>
      </c>
      <c r="B773" s="14" cm="1">
        <f t="array" ref="B773">_xll.GetLatestPrice(F773,,G773)</f>
        <v>530</v>
      </c>
      <c r="C773" s="1" cm="1">
        <f t="array" ref="C773">_xll.GetLatestPrice(F773,"Actual","AssessmentDate")</f>
        <v>45826.645833333336</v>
      </c>
      <c r="D773">
        <f t="shared" si="24"/>
        <v>2025</v>
      </c>
      <c r="E773">
        <f t="shared" si="25"/>
        <v>6</v>
      </c>
      <c r="F773" s="9" t="s">
        <v>1544</v>
      </c>
      <c r="G773" s="9" t="s">
        <v>11</v>
      </c>
      <c r="H773" s="9" t="s">
        <v>12</v>
      </c>
    </row>
    <row r="774" spans="1:8" x14ac:dyDescent="0.25">
      <c r="A774" t="s">
        <v>1545</v>
      </c>
      <c r="B774" s="14" cm="1">
        <f t="array" ref="B774">_xll.GetLatestPrice(F774,,G774)</f>
        <v>1615</v>
      </c>
      <c r="C774" s="1" cm="1">
        <f t="array" ref="C774">_xll.GetLatestPrice(F774,"Actual","AssessmentDate")</f>
        <v>45826.645833333336</v>
      </c>
      <c r="D774">
        <f t="shared" si="24"/>
        <v>2025</v>
      </c>
      <c r="E774">
        <f t="shared" si="25"/>
        <v>6</v>
      </c>
      <c r="F774" s="9" t="s">
        <v>1546</v>
      </c>
      <c r="G774" s="9" t="s">
        <v>11</v>
      </c>
      <c r="H774" s="9" t="s">
        <v>12</v>
      </c>
    </row>
    <row r="775" spans="1:8" x14ac:dyDescent="0.25">
      <c r="A775" t="s">
        <v>1547</v>
      </c>
      <c r="B775" s="14" cm="1">
        <f t="array" ref="B775">_xll.GetLatestPrice(F775,,G775)</f>
        <v>1530</v>
      </c>
      <c r="C775" s="1" cm="1">
        <f t="array" ref="C775">_xll.GetLatestPrice(F775,"Actual","AssessmentDate")</f>
        <v>45826.645833333336</v>
      </c>
      <c r="D775">
        <f t="shared" si="24"/>
        <v>2025</v>
      </c>
      <c r="E775">
        <f t="shared" si="25"/>
        <v>6</v>
      </c>
      <c r="F775" s="9" t="s">
        <v>1548</v>
      </c>
      <c r="G775" s="9" t="s">
        <v>11</v>
      </c>
      <c r="H775" s="9" t="s">
        <v>12</v>
      </c>
    </row>
    <row r="776" spans="1:8" x14ac:dyDescent="0.25">
      <c r="A776" t="s">
        <v>1549</v>
      </c>
      <c r="B776" s="14" cm="1">
        <f t="array" ref="B776">_xll.GetLatestPrice(F776,,G776)</f>
        <v>1700</v>
      </c>
      <c r="C776" s="1" cm="1">
        <f t="array" ref="C776">_xll.GetLatestPrice(F776,"Actual","AssessmentDate")</f>
        <v>45826.645833333336</v>
      </c>
      <c r="D776">
        <f t="shared" si="24"/>
        <v>2025</v>
      </c>
      <c r="E776">
        <f t="shared" si="25"/>
        <v>6</v>
      </c>
      <c r="F776" s="9" t="s">
        <v>1550</v>
      </c>
      <c r="G776" s="9" t="s">
        <v>11</v>
      </c>
      <c r="H776" s="9" t="s">
        <v>12</v>
      </c>
    </row>
    <row r="777" spans="1:8" x14ac:dyDescent="0.25">
      <c r="A777" t="s">
        <v>1551</v>
      </c>
      <c r="B777" s="14" cm="1">
        <f t="array" ref="B777">_xll.GetLatestPrice(F777,,G777)</f>
        <v>90</v>
      </c>
      <c r="C777" s="1" cm="1">
        <f t="array" ref="C777">_xll.GetLatestPrice(F777,"Actual","AssessmentDate")</f>
        <v>45812.700972222221</v>
      </c>
      <c r="D777">
        <f t="shared" si="24"/>
        <v>2025</v>
      </c>
      <c r="E777">
        <f t="shared" si="25"/>
        <v>6</v>
      </c>
      <c r="F777" s="9" t="s">
        <v>1552</v>
      </c>
      <c r="G777" s="9" t="s">
        <v>11</v>
      </c>
      <c r="H777" s="9" t="s">
        <v>12</v>
      </c>
    </row>
    <row r="778" spans="1:8" x14ac:dyDescent="0.25">
      <c r="A778" t="s">
        <v>1553</v>
      </c>
      <c r="B778" s="14" cm="1">
        <f t="array" ref="B778">_xll.GetLatestPrice(F778,,G778)</f>
        <v>340</v>
      </c>
      <c r="C778" s="1" cm="1">
        <f t="array" ref="C778">_xll.GetLatestPrice(F778,"Actual","AssessmentDate")</f>
        <v>45826.645833333336</v>
      </c>
      <c r="D778">
        <f t="shared" si="24"/>
        <v>2025</v>
      </c>
      <c r="E778">
        <f t="shared" si="25"/>
        <v>6</v>
      </c>
      <c r="F778" s="9" t="s">
        <v>1554</v>
      </c>
      <c r="G778" s="9" t="s">
        <v>11</v>
      </c>
      <c r="H778" s="9" t="s">
        <v>12</v>
      </c>
    </row>
    <row r="779" spans="1:8" x14ac:dyDescent="0.25">
      <c r="A779" t="s">
        <v>1555</v>
      </c>
      <c r="B779" s="14" cm="1">
        <f t="array" ref="B779">_xll.GetLatestPrice(F779,,G779)</f>
        <v>295</v>
      </c>
      <c r="C779" s="1" cm="1">
        <f t="array" ref="C779">_xll.GetLatestPrice(F779,"Actual","AssessmentDate")</f>
        <v>45826.645833333336</v>
      </c>
      <c r="D779">
        <f t="shared" si="24"/>
        <v>2025</v>
      </c>
      <c r="E779">
        <f t="shared" si="25"/>
        <v>6</v>
      </c>
      <c r="F779" s="9" t="s">
        <v>1556</v>
      </c>
      <c r="G779" s="9" t="s">
        <v>11</v>
      </c>
      <c r="H779" s="9" t="s">
        <v>12</v>
      </c>
    </row>
    <row r="780" spans="1:8" x14ac:dyDescent="0.25">
      <c r="A780" t="s">
        <v>1557</v>
      </c>
      <c r="B780" s="14" cm="1">
        <f t="array" ref="B780">_xll.GetLatestPrice(F780,,G780)</f>
        <v>330</v>
      </c>
      <c r="C780" s="1" cm="1">
        <f t="array" ref="C780">_xll.GetLatestPrice(F780,"Actual","AssessmentDate")</f>
        <v>45826.645833333336</v>
      </c>
      <c r="D780">
        <f t="shared" si="24"/>
        <v>2025</v>
      </c>
      <c r="E780">
        <f t="shared" si="25"/>
        <v>6</v>
      </c>
      <c r="F780" s="9" t="s">
        <v>1558</v>
      </c>
      <c r="G780" s="9" t="s">
        <v>11</v>
      </c>
      <c r="H780" s="9" t="s">
        <v>12</v>
      </c>
    </row>
    <row r="781" spans="1:8" x14ac:dyDescent="0.25">
      <c r="A781" t="s">
        <v>1559</v>
      </c>
      <c r="B781" s="14" cm="1">
        <f t="array" ref="B781">_xll.GetLatestPrice(F781,,G781)</f>
        <v>330</v>
      </c>
      <c r="C781" s="1" cm="1">
        <f t="array" ref="C781">_xll.GetLatestPrice(F781,"Actual","AssessmentDate")</f>
        <v>45826.645833333336</v>
      </c>
      <c r="D781">
        <f t="shared" si="24"/>
        <v>2025</v>
      </c>
      <c r="E781">
        <f t="shared" si="25"/>
        <v>6</v>
      </c>
      <c r="F781" s="9" t="s">
        <v>1560</v>
      </c>
      <c r="G781" s="9" t="s">
        <v>11</v>
      </c>
      <c r="H781" s="9" t="s">
        <v>12</v>
      </c>
    </row>
    <row r="782" spans="1:8" x14ac:dyDescent="0.25">
      <c r="A782" t="s">
        <v>1561</v>
      </c>
      <c r="B782" s="14" cm="1">
        <f t="array" ref="B782">_xll.GetLatestPrice(F782,,G782)</f>
        <v>310</v>
      </c>
      <c r="C782" s="1" cm="1">
        <f t="array" ref="C782">_xll.GetLatestPrice(F782,"Actual","AssessmentDate")</f>
        <v>45826.645833333336</v>
      </c>
      <c r="D782">
        <f t="shared" si="24"/>
        <v>2025</v>
      </c>
      <c r="E782">
        <f t="shared" si="25"/>
        <v>6</v>
      </c>
      <c r="F782" s="9" t="s">
        <v>1562</v>
      </c>
      <c r="G782" s="9" t="s">
        <v>11</v>
      </c>
      <c r="H782" s="9" t="s">
        <v>12</v>
      </c>
    </row>
    <row r="783" spans="1:8" x14ac:dyDescent="0.25">
      <c r="A783" t="s">
        <v>1563</v>
      </c>
      <c r="B783" s="14" cm="1">
        <f t="array" ref="B783">_xll.GetLatestPrice(F783,,G783)</f>
        <v>330</v>
      </c>
      <c r="C783" s="1" cm="1">
        <f t="array" ref="C783">_xll.GetLatestPrice(F783,"Actual","AssessmentDate")</f>
        <v>45826.645833333336</v>
      </c>
      <c r="D783">
        <f t="shared" si="24"/>
        <v>2025</v>
      </c>
      <c r="E783">
        <f t="shared" si="25"/>
        <v>6</v>
      </c>
      <c r="F783" s="9" t="s">
        <v>1564</v>
      </c>
      <c r="G783" s="9" t="s">
        <v>11</v>
      </c>
      <c r="H783" s="9" t="s">
        <v>12</v>
      </c>
    </row>
    <row r="784" spans="1:8" x14ac:dyDescent="0.25">
      <c r="A784" t="s">
        <v>1565</v>
      </c>
      <c r="B784" s="14" cm="1">
        <f t="array" ref="B784">_xll.GetLatestPrice(F784,,G784)</f>
        <v>1485</v>
      </c>
      <c r="C784" s="1" cm="1">
        <f t="array" ref="C784">_xll.GetLatestPrice(F784,"Actual","AssessmentDate")</f>
        <v>45826.645833333336</v>
      </c>
      <c r="D784">
        <f t="shared" si="24"/>
        <v>2025</v>
      </c>
      <c r="E784">
        <f t="shared" si="25"/>
        <v>6</v>
      </c>
      <c r="F784" s="9" t="s">
        <v>1566</v>
      </c>
      <c r="G784" s="9" t="s">
        <v>11</v>
      </c>
      <c r="H784" s="9" t="s">
        <v>12</v>
      </c>
    </row>
    <row r="785" spans="1:8" x14ac:dyDescent="0.25">
      <c r="A785" t="s">
        <v>1567</v>
      </c>
      <c r="B785" s="14" cm="1">
        <f t="array" ref="B785">_xll.GetLatestPrice(F785,,G785)</f>
        <v>1520</v>
      </c>
      <c r="C785" s="1" cm="1">
        <f t="array" ref="C785">_xll.GetLatestPrice(F785,"Actual","AssessmentDate")</f>
        <v>45826.645833333336</v>
      </c>
      <c r="D785">
        <f t="shared" si="24"/>
        <v>2025</v>
      </c>
      <c r="E785">
        <f t="shared" si="25"/>
        <v>6</v>
      </c>
      <c r="F785" s="9" t="s">
        <v>1568</v>
      </c>
      <c r="G785" s="9" t="s">
        <v>11</v>
      </c>
      <c r="H785" s="9" t="s">
        <v>12</v>
      </c>
    </row>
    <row r="786" spans="1:8" x14ac:dyDescent="0.25">
      <c r="A786" t="s">
        <v>1569</v>
      </c>
      <c r="B786" s="14" cm="1">
        <f t="array" ref="B786">_xll.GetLatestPrice(F786,,G786)</f>
        <v>2275</v>
      </c>
      <c r="C786" s="1" cm="1">
        <f t="array" ref="C786">_xll.GetLatestPrice(F786,"Actual","AssessmentDate")</f>
        <v>45826.645833333336</v>
      </c>
      <c r="D786">
        <f t="shared" si="24"/>
        <v>2025</v>
      </c>
      <c r="E786">
        <f t="shared" si="25"/>
        <v>6</v>
      </c>
      <c r="F786" s="9" t="s">
        <v>1570</v>
      </c>
      <c r="G786" s="9" t="s">
        <v>11</v>
      </c>
      <c r="H786" s="9" t="s">
        <v>12</v>
      </c>
    </row>
    <row r="787" spans="1:8" x14ac:dyDescent="0.25">
      <c r="A787" t="s">
        <v>1571</v>
      </c>
      <c r="B787" s="14" cm="1">
        <f t="array" ref="B787">_xll.GetLatestPrice(F787,,G787)</f>
        <v>2350</v>
      </c>
      <c r="C787" s="1" cm="1">
        <f t="array" ref="C787">_xll.GetLatestPrice(F787,"Actual","AssessmentDate")</f>
        <v>45826.645833333336</v>
      </c>
      <c r="D787">
        <f t="shared" si="24"/>
        <v>2025</v>
      </c>
      <c r="E787">
        <f t="shared" si="25"/>
        <v>6</v>
      </c>
      <c r="F787" s="9" t="s">
        <v>1572</v>
      </c>
      <c r="G787" s="9" t="s">
        <v>11</v>
      </c>
      <c r="H787" s="9" t="s">
        <v>12</v>
      </c>
    </row>
    <row r="788" spans="1:8" x14ac:dyDescent="0.25">
      <c r="A788" t="s">
        <v>1573</v>
      </c>
      <c r="B788" s="14" cm="1">
        <f t="array" ref="B788">_xll.GetLatestPrice(F788,,G788)</f>
        <v>2625</v>
      </c>
      <c r="C788" s="1" cm="1">
        <f t="array" ref="C788">_xll.GetLatestPrice(F788,"Actual","AssessmentDate")</f>
        <v>45826.645833333336</v>
      </c>
      <c r="D788">
        <f t="shared" si="24"/>
        <v>2025</v>
      </c>
      <c r="E788">
        <f t="shared" si="25"/>
        <v>6</v>
      </c>
      <c r="F788" s="9" t="s">
        <v>1574</v>
      </c>
      <c r="G788" s="9" t="s">
        <v>11</v>
      </c>
      <c r="H788" s="9" t="s">
        <v>12</v>
      </c>
    </row>
    <row r="789" spans="1:8" x14ac:dyDescent="0.25">
      <c r="A789" t="s">
        <v>1575</v>
      </c>
      <c r="B789" s="14" cm="1">
        <f t="array" ref="B789">_xll.GetLatestPrice(F789,,G789)</f>
        <v>364</v>
      </c>
      <c r="C789" s="1" cm="1">
        <f t="array" ref="C789">_xll.GetLatestPrice(F789,"Actual","AssessmentDate")</f>
        <v>45826.645833333336</v>
      </c>
      <c r="D789">
        <f t="shared" si="24"/>
        <v>2025</v>
      </c>
      <c r="E789">
        <f t="shared" si="25"/>
        <v>6</v>
      </c>
      <c r="F789" s="9" t="s">
        <v>1576</v>
      </c>
      <c r="G789" s="9" t="s">
        <v>11</v>
      </c>
      <c r="H789" s="9" t="s">
        <v>12</v>
      </c>
    </row>
    <row r="790" spans="1:8" x14ac:dyDescent="0.25">
      <c r="A790" t="s">
        <v>1577</v>
      </c>
      <c r="B790" s="14" cm="1">
        <f t="array" ref="B790">_xll.GetLatestPrice(F790,,G790)</f>
        <v>404</v>
      </c>
      <c r="C790" s="1" cm="1">
        <f t="array" ref="C790">_xll.GetLatestPrice(F790,"Actual","AssessmentDate")</f>
        <v>45826.645833333336</v>
      </c>
      <c r="D790">
        <f t="shared" si="24"/>
        <v>2025</v>
      </c>
      <c r="E790">
        <f t="shared" si="25"/>
        <v>6</v>
      </c>
      <c r="F790" s="9" t="s">
        <v>1578</v>
      </c>
      <c r="G790" s="9" t="s">
        <v>11</v>
      </c>
      <c r="H790" s="9" t="s">
        <v>12</v>
      </c>
    </row>
    <row r="791" spans="1:8" x14ac:dyDescent="0.25">
      <c r="A791" t="s">
        <v>1579</v>
      </c>
      <c r="B791" s="14" cm="1">
        <f t="array" ref="B791">_xll.GetLatestPrice(F791,,G791)</f>
        <v>333</v>
      </c>
      <c r="C791" s="1" cm="1">
        <f t="array" ref="C791">_xll.GetLatestPrice(F791,"Actual","AssessmentDate")</f>
        <v>45826.645833333336</v>
      </c>
      <c r="D791">
        <f t="shared" si="24"/>
        <v>2025</v>
      </c>
      <c r="E791">
        <f t="shared" si="25"/>
        <v>6</v>
      </c>
      <c r="F791" s="9" t="s">
        <v>1580</v>
      </c>
      <c r="G791" s="9" t="s">
        <v>11</v>
      </c>
      <c r="H791" s="9" t="s">
        <v>12</v>
      </c>
    </row>
    <row r="792" spans="1:8" x14ac:dyDescent="0.25">
      <c r="A792" t="s">
        <v>1581</v>
      </c>
      <c r="B792" s="14" cm="1">
        <f t="array" ref="B792">_xll.GetLatestPrice(F792,,G792)</f>
        <v>155</v>
      </c>
      <c r="C792" s="1" cm="1">
        <f t="array" ref="C792">_xll.GetLatestPrice(F792,"Actual","AssessmentDate")</f>
        <v>45826.645833333336</v>
      </c>
      <c r="D792">
        <f t="shared" si="24"/>
        <v>2025</v>
      </c>
      <c r="E792">
        <f t="shared" si="25"/>
        <v>6</v>
      </c>
      <c r="F792" s="9" t="s">
        <v>1582</v>
      </c>
      <c r="G792" s="9" t="s">
        <v>11</v>
      </c>
      <c r="H792" s="9" t="s">
        <v>12</v>
      </c>
    </row>
    <row r="793" spans="1:8" x14ac:dyDescent="0.25">
      <c r="A793" t="s">
        <v>1583</v>
      </c>
      <c r="B793" s="14" cm="1">
        <f t="array" ref="B793">_xll.GetLatestPrice(F793,,G793)</f>
        <v>155</v>
      </c>
      <c r="C793" s="1" cm="1">
        <f t="array" ref="C793">_xll.GetLatestPrice(F793,"Actual","AssessmentDate")</f>
        <v>45826.645833333336</v>
      </c>
      <c r="D793">
        <f t="shared" si="24"/>
        <v>2025</v>
      </c>
      <c r="E793">
        <f t="shared" si="25"/>
        <v>6</v>
      </c>
      <c r="F793" s="9" t="s">
        <v>1584</v>
      </c>
      <c r="G793" s="9" t="s">
        <v>11</v>
      </c>
      <c r="H793" s="9" t="s">
        <v>12</v>
      </c>
    </row>
    <row r="794" spans="1:8" x14ac:dyDescent="0.25">
      <c r="A794" t="s">
        <v>1585</v>
      </c>
      <c r="B794" s="14" cm="1">
        <f t="array" ref="B794">_xll.GetLatestPrice(F794,,G794)</f>
        <v>165</v>
      </c>
      <c r="C794" s="1" cm="1">
        <f t="array" ref="C794">_xll.GetLatestPrice(F794,"Actual","AssessmentDate")</f>
        <v>45826.645833333336</v>
      </c>
      <c r="D794">
        <f t="shared" si="24"/>
        <v>2025</v>
      </c>
      <c r="E794">
        <f t="shared" si="25"/>
        <v>6</v>
      </c>
      <c r="F794" s="9" t="s">
        <v>1586</v>
      </c>
      <c r="G794" s="9" t="s">
        <v>11</v>
      </c>
      <c r="H794" s="9" t="s">
        <v>12</v>
      </c>
    </row>
    <row r="795" spans="1:8" x14ac:dyDescent="0.25">
      <c r="A795" t="s">
        <v>1587</v>
      </c>
      <c r="B795" s="14" cm="1">
        <f t="array" ref="B795">_xll.GetLatestPrice(F795,,G795)</f>
        <v>165</v>
      </c>
      <c r="C795" s="1" cm="1">
        <f t="array" ref="C795">_xll.GetLatestPrice(F795,"Actual","AssessmentDate")</f>
        <v>45826.645833333336</v>
      </c>
      <c r="D795">
        <f t="shared" si="24"/>
        <v>2025</v>
      </c>
      <c r="E795">
        <f t="shared" si="25"/>
        <v>6</v>
      </c>
      <c r="F795" s="9" t="s">
        <v>1588</v>
      </c>
      <c r="G795" s="9" t="s">
        <v>11</v>
      </c>
      <c r="H795" s="9" t="s">
        <v>12</v>
      </c>
    </row>
    <row r="796" spans="1:8" x14ac:dyDescent="0.25">
      <c r="A796" t="s">
        <v>1589</v>
      </c>
      <c r="B796" s="14" cm="1">
        <f t="array" ref="B796">_xll.GetLatestPrice(F796,,G796)</f>
        <v>165</v>
      </c>
      <c r="C796" s="1" cm="1">
        <f t="array" ref="C796">_xll.GetLatestPrice(F796,"Actual","AssessmentDate")</f>
        <v>45826.645833333336</v>
      </c>
      <c r="D796">
        <f t="shared" si="24"/>
        <v>2025</v>
      </c>
      <c r="E796">
        <f t="shared" si="25"/>
        <v>6</v>
      </c>
      <c r="F796" s="9" t="s">
        <v>1590</v>
      </c>
      <c r="G796" s="9" t="s">
        <v>11</v>
      </c>
      <c r="H796" s="9" t="s">
        <v>12</v>
      </c>
    </row>
    <row r="797" spans="1:8" x14ac:dyDescent="0.25">
      <c r="A797" t="s">
        <v>1591</v>
      </c>
      <c r="B797" s="14" cm="1">
        <f t="array" ref="B797">_xll.GetLatestPrice(F797,,G797)</f>
        <v>1390</v>
      </c>
      <c r="C797" s="1" cm="1">
        <f t="array" ref="C797">_xll.GetLatestPrice(F797,"Actual","AssessmentDate")</f>
        <v>45826.645833333336</v>
      </c>
      <c r="D797">
        <f t="shared" si="24"/>
        <v>2025</v>
      </c>
      <c r="E797">
        <f t="shared" si="25"/>
        <v>6</v>
      </c>
      <c r="F797" s="9" t="s">
        <v>232</v>
      </c>
      <c r="G797" s="9" t="s">
        <v>11</v>
      </c>
      <c r="H797" s="9" t="s">
        <v>12</v>
      </c>
    </row>
    <row r="798" spans="1:8" x14ac:dyDescent="0.25">
      <c r="A798" t="s">
        <v>1592</v>
      </c>
      <c r="B798" s="14" cm="1">
        <f t="array" ref="B798">_xll.GetLatestPrice(F798,,G798)</f>
        <v>1435</v>
      </c>
      <c r="C798" s="1" cm="1">
        <f t="array" ref="C798">_xll.GetLatestPrice(F798,"Actual","AssessmentDate")</f>
        <v>45826.645833333336</v>
      </c>
      <c r="D798">
        <f t="shared" si="24"/>
        <v>2025</v>
      </c>
      <c r="E798">
        <f t="shared" si="25"/>
        <v>6</v>
      </c>
      <c r="F798" s="9" t="s">
        <v>234</v>
      </c>
      <c r="G798" s="9" t="s">
        <v>11</v>
      </c>
      <c r="H798" s="9" t="s">
        <v>12</v>
      </c>
    </row>
    <row r="799" spans="1:8" x14ac:dyDescent="0.25">
      <c r="A799" t="s">
        <v>1593</v>
      </c>
      <c r="B799" s="14" cm="1">
        <f t="array" ref="B799">_xll.GetLatestPrice(F799,,G799)</f>
        <v>2165</v>
      </c>
      <c r="C799" s="1" cm="1">
        <f t="array" ref="C799">_xll.GetLatestPrice(F799,"Actual","AssessmentDate")</f>
        <v>45826.645833333336</v>
      </c>
      <c r="D799">
        <f t="shared" si="24"/>
        <v>2025</v>
      </c>
      <c r="E799">
        <f t="shared" si="25"/>
        <v>6</v>
      </c>
      <c r="F799" s="9" t="s">
        <v>236</v>
      </c>
      <c r="G799" s="9" t="s">
        <v>11</v>
      </c>
      <c r="H799" s="9" t="s">
        <v>12</v>
      </c>
    </row>
    <row r="800" spans="1:8" x14ac:dyDescent="0.25">
      <c r="A800" t="s">
        <v>1594</v>
      </c>
      <c r="B800" s="14" cm="1">
        <f t="array" ref="B800">_xll.GetLatestPrice(F800,,G800)</f>
        <v>2175</v>
      </c>
      <c r="C800" s="1" cm="1">
        <f t="array" ref="C800">_xll.GetLatestPrice(F800,"Actual","AssessmentDate")</f>
        <v>45826.645833333336</v>
      </c>
      <c r="D800">
        <f t="shared" si="24"/>
        <v>2025</v>
      </c>
      <c r="E800">
        <f t="shared" si="25"/>
        <v>6</v>
      </c>
      <c r="F800" s="9" t="s">
        <v>238</v>
      </c>
      <c r="G800" s="9" t="s">
        <v>11</v>
      </c>
      <c r="H800" s="9" t="s">
        <v>12</v>
      </c>
    </row>
    <row r="801" spans="1:8" x14ac:dyDescent="0.25">
      <c r="A801" t="s">
        <v>1595</v>
      </c>
      <c r="B801" s="14" cm="1">
        <f t="array" ref="B801">_xll.GetLatestPrice(F801,,G801)</f>
        <v>2410</v>
      </c>
      <c r="C801" s="1" cm="1">
        <f t="array" ref="C801">_xll.GetLatestPrice(F801,"Actual","AssessmentDate")</f>
        <v>45826.645833333336</v>
      </c>
      <c r="D801">
        <f t="shared" si="24"/>
        <v>2025</v>
      </c>
      <c r="E801">
        <f t="shared" si="25"/>
        <v>6</v>
      </c>
      <c r="F801" s="9" t="s">
        <v>240</v>
      </c>
      <c r="G801" s="9" t="s">
        <v>11</v>
      </c>
      <c r="H801" s="9" t="s">
        <v>12</v>
      </c>
    </row>
    <row r="802" spans="1:8" x14ac:dyDescent="0.25">
      <c r="A802" t="s">
        <v>1596</v>
      </c>
      <c r="B802" s="14" cm="1">
        <f t="array" ref="B802">_xll.GetLatestPrice(F802,,G802)</f>
        <v>2655</v>
      </c>
      <c r="C802" s="1" cm="1">
        <f t="array" ref="C802">_xll.GetLatestPrice(F802,"Actual","AssessmentDate")</f>
        <v>45826.645833333336</v>
      </c>
      <c r="D802">
        <f t="shared" si="24"/>
        <v>2025</v>
      </c>
      <c r="E802">
        <f t="shared" si="25"/>
        <v>6</v>
      </c>
      <c r="F802" s="9" t="s">
        <v>1597</v>
      </c>
      <c r="G802" s="9" t="s">
        <v>11</v>
      </c>
      <c r="H802" s="9" t="s">
        <v>12</v>
      </c>
    </row>
    <row r="803" spans="1:8" x14ac:dyDescent="0.25">
      <c r="A803" t="s">
        <v>1598</v>
      </c>
      <c r="B803" s="14" cm="1">
        <f t="array" ref="B803">_xll.GetLatestPrice(F803,,G803)</f>
        <v>2715</v>
      </c>
      <c r="C803" s="1" cm="1">
        <f t="array" ref="C803">_xll.GetLatestPrice(F803,"Actual","AssessmentDate")</f>
        <v>45826.645833333336</v>
      </c>
      <c r="D803">
        <f t="shared" si="24"/>
        <v>2025</v>
      </c>
      <c r="E803">
        <f t="shared" si="25"/>
        <v>6</v>
      </c>
      <c r="F803" s="9" t="s">
        <v>1599</v>
      </c>
      <c r="G803" s="9" t="s">
        <v>11</v>
      </c>
      <c r="H803" s="9" t="s">
        <v>12</v>
      </c>
    </row>
    <row r="804" spans="1:8" x14ac:dyDescent="0.25">
      <c r="A804" t="s">
        <v>1600</v>
      </c>
      <c r="B804" s="14" cm="1">
        <f t="array" ref="B804">_xll.GetLatestPrice(F804,,G804)</f>
        <v>860</v>
      </c>
      <c r="C804" s="1" cm="1">
        <f t="array" ref="C804">_xll.GetLatestPrice(F804,"Actual","AssessmentDate")</f>
        <v>45826.645833333336</v>
      </c>
      <c r="D804">
        <f t="shared" si="24"/>
        <v>2025</v>
      </c>
      <c r="E804">
        <f t="shared" si="25"/>
        <v>6</v>
      </c>
      <c r="F804" s="9" t="s">
        <v>1601</v>
      </c>
      <c r="G804" s="9" t="s">
        <v>11</v>
      </c>
      <c r="H804" s="9" t="s">
        <v>12</v>
      </c>
    </row>
    <row r="805" spans="1:8" x14ac:dyDescent="0.25">
      <c r="A805" t="s">
        <v>1602</v>
      </c>
      <c r="B805" s="14" cm="1">
        <f t="array" ref="B805">_xll.GetLatestPrice(F805,,G805)</f>
        <v>830</v>
      </c>
      <c r="C805" s="1" cm="1">
        <f t="array" ref="C805">_xll.GetLatestPrice(F805,"Actual","AssessmentDate")</f>
        <v>45826.645833333336</v>
      </c>
      <c r="D805">
        <f t="shared" si="24"/>
        <v>2025</v>
      </c>
      <c r="E805">
        <f t="shared" si="25"/>
        <v>6</v>
      </c>
      <c r="F805" s="9" t="s">
        <v>1603</v>
      </c>
      <c r="G805" s="9" t="s">
        <v>11</v>
      </c>
      <c r="H805" s="9" t="s">
        <v>12</v>
      </c>
    </row>
    <row r="806" spans="1:8" x14ac:dyDescent="0.25">
      <c r="A806" t="s">
        <v>1604</v>
      </c>
      <c r="B806" s="14" cm="1">
        <f t="array" ref="B806">_xll.GetLatestPrice(F806,,G806)</f>
        <v>1280</v>
      </c>
      <c r="C806" s="1" cm="1">
        <f t="array" ref="C806">_xll.GetLatestPrice(F806,"Actual","AssessmentDate")</f>
        <v>45826.645833333336</v>
      </c>
      <c r="D806">
        <f t="shared" si="24"/>
        <v>2025</v>
      </c>
      <c r="E806">
        <f t="shared" si="25"/>
        <v>6</v>
      </c>
      <c r="F806" s="9" t="s">
        <v>1605</v>
      </c>
      <c r="G806" s="9" t="s">
        <v>11</v>
      </c>
      <c r="H806" s="9" t="s">
        <v>12</v>
      </c>
    </row>
    <row r="807" spans="1:8" x14ac:dyDescent="0.25">
      <c r="A807" t="s">
        <v>1606</v>
      </c>
      <c r="B807" s="14" cm="1">
        <f t="array" ref="B807">_xll.GetLatestPrice(F807,,G807)</f>
        <v>1290</v>
      </c>
      <c r="C807" s="1" cm="1">
        <f t="array" ref="C807">_xll.GetLatestPrice(F807,"Actual","AssessmentDate")</f>
        <v>45826.645833333336</v>
      </c>
      <c r="D807">
        <f t="shared" si="24"/>
        <v>2025</v>
      </c>
      <c r="E807">
        <f t="shared" si="25"/>
        <v>6</v>
      </c>
      <c r="F807" s="9" t="s">
        <v>1607</v>
      </c>
      <c r="G807" s="9" t="s">
        <v>11</v>
      </c>
      <c r="H807" s="9" t="s">
        <v>12</v>
      </c>
    </row>
    <row r="808" spans="1:8" x14ac:dyDescent="0.25">
      <c r="A808" t="s">
        <v>1608</v>
      </c>
      <c r="B808" s="14" cm="1">
        <f t="array" ref="B808">_xll.GetLatestPrice(F808,,G808)</f>
        <v>10</v>
      </c>
      <c r="C808" s="1" cm="1">
        <f t="array" ref="C808">_xll.GetLatestPrice(F808,"Actual","AssessmentDate")</f>
        <v>45435.347094907411</v>
      </c>
      <c r="D808">
        <f t="shared" si="24"/>
        <v>2024</v>
      </c>
      <c r="E808">
        <f t="shared" si="25"/>
        <v>5</v>
      </c>
      <c r="F808" s="9" t="s">
        <v>1609</v>
      </c>
      <c r="G808" s="9" t="s">
        <v>11</v>
      </c>
      <c r="H808" s="9" t="s">
        <v>12</v>
      </c>
    </row>
    <row r="809" spans="1:8" x14ac:dyDescent="0.25">
      <c r="A809" t="s">
        <v>1610</v>
      </c>
      <c r="B809" s="14" cm="1">
        <f t="array" ref="B809">_xll.GetLatestPrice(F809,,G809)</f>
        <v>147</v>
      </c>
      <c r="C809" s="1" cm="1">
        <f t="array" ref="C809">_xll.GetLatestPrice(F809,"Actual","AssessmentDate")</f>
        <v>45826.645833333336</v>
      </c>
      <c r="D809">
        <f t="shared" si="24"/>
        <v>2025</v>
      </c>
      <c r="E809">
        <f t="shared" si="25"/>
        <v>6</v>
      </c>
      <c r="F809" s="9" t="s">
        <v>1611</v>
      </c>
      <c r="G809" s="9" t="s">
        <v>11</v>
      </c>
      <c r="H809" s="9" t="s">
        <v>12</v>
      </c>
    </row>
    <row r="810" spans="1:8" x14ac:dyDescent="0.25">
      <c r="A810" t="s">
        <v>1612</v>
      </c>
      <c r="B810" s="14" cm="1">
        <f t="array" ref="B810">_xll.GetLatestPrice(F810,,G810)</f>
        <v>160</v>
      </c>
      <c r="C810" s="1" cm="1">
        <f t="array" ref="C810">_xll.GetLatestPrice(F810,"Actual","AssessmentDate")</f>
        <v>45826.645833333336</v>
      </c>
      <c r="D810">
        <f t="shared" si="24"/>
        <v>2025</v>
      </c>
      <c r="E810">
        <f t="shared" si="25"/>
        <v>6</v>
      </c>
      <c r="F810" s="9" t="s">
        <v>1613</v>
      </c>
      <c r="G810" s="9" t="s">
        <v>11</v>
      </c>
      <c r="H810" s="9" t="s">
        <v>12</v>
      </c>
    </row>
    <row r="811" spans="1:8" x14ac:dyDescent="0.25">
      <c r="A811" t="s">
        <v>1614</v>
      </c>
      <c r="B811" s="14" cm="1">
        <f t="array" ref="B811">_xll.GetLatestPrice(F811,,G811)</f>
        <v>425</v>
      </c>
      <c r="C811" s="1" cm="1">
        <f t="array" ref="C811">_xll.GetLatestPrice(F811,"Actual","AssessmentDate")</f>
        <v>45826.645833333336</v>
      </c>
      <c r="D811">
        <f t="shared" si="24"/>
        <v>2025</v>
      </c>
      <c r="E811">
        <f t="shared" si="25"/>
        <v>6</v>
      </c>
      <c r="F811" s="9" t="s">
        <v>1615</v>
      </c>
      <c r="G811" s="9" t="s">
        <v>11</v>
      </c>
      <c r="H811" s="9" t="s">
        <v>12</v>
      </c>
    </row>
    <row r="812" spans="1:8" x14ac:dyDescent="0.25">
      <c r="A812" t="s">
        <v>1616</v>
      </c>
      <c r="B812" s="14" cm="1">
        <f t="array" ref="B812">_xll.GetLatestPrice(F812,,G812)</f>
        <v>2380</v>
      </c>
      <c r="C812" s="1" cm="1">
        <f t="array" ref="C812">_xll.GetLatestPrice(F812,"Actual","AssessmentDate")</f>
        <v>45826.645833333336</v>
      </c>
      <c r="D812">
        <f t="shared" si="24"/>
        <v>2025</v>
      </c>
      <c r="E812">
        <f t="shared" si="25"/>
        <v>6</v>
      </c>
      <c r="F812" s="9" t="s">
        <v>1617</v>
      </c>
      <c r="G812" s="9" t="s">
        <v>11</v>
      </c>
      <c r="H812" s="9" t="s">
        <v>12</v>
      </c>
    </row>
    <row r="813" spans="1:8" x14ac:dyDescent="0.25">
      <c r="A813" t="s">
        <v>1618</v>
      </c>
      <c r="B813" s="14" cm="1">
        <f t="array" ref="B813">_xll.GetLatestPrice(F813,,G813)</f>
        <v>2510</v>
      </c>
      <c r="C813" s="1" cm="1">
        <f t="array" ref="C813">_xll.GetLatestPrice(F813,"Actual","AssessmentDate")</f>
        <v>45826.645833333336</v>
      </c>
      <c r="D813">
        <f t="shared" si="24"/>
        <v>2025</v>
      </c>
      <c r="E813">
        <f t="shared" si="25"/>
        <v>6</v>
      </c>
      <c r="F813" s="9" t="s">
        <v>1619</v>
      </c>
      <c r="G813" s="9" t="s">
        <v>11</v>
      </c>
      <c r="H813" s="9" t="s">
        <v>12</v>
      </c>
    </row>
    <row r="814" spans="1:8" x14ac:dyDescent="0.25">
      <c r="A814" t="s">
        <v>1620</v>
      </c>
      <c r="B814" s="14" cm="1">
        <f t="array" ref="B814">_xll.GetLatestPrice(F814,,G814)</f>
        <v>735</v>
      </c>
      <c r="C814" s="1" cm="1">
        <f t="array" ref="C814">_xll.GetLatestPrice(F814,"Actual","AssessmentDate")</f>
        <v>45826.645833333336</v>
      </c>
      <c r="D814">
        <f t="shared" si="24"/>
        <v>2025</v>
      </c>
      <c r="E814">
        <f t="shared" si="25"/>
        <v>6</v>
      </c>
      <c r="F814" s="9" t="s">
        <v>1621</v>
      </c>
      <c r="G814" s="9" t="s">
        <v>11</v>
      </c>
      <c r="H814" s="9" t="s">
        <v>12</v>
      </c>
    </row>
    <row r="815" spans="1:8" x14ac:dyDescent="0.25">
      <c r="A815" t="s">
        <v>1622</v>
      </c>
      <c r="B815" s="14" cm="1">
        <f t="array" ref="B815">_xll.GetLatestPrice(F815,,G815)</f>
        <v>1185</v>
      </c>
      <c r="C815" s="1" cm="1">
        <f t="array" ref="C815">_xll.GetLatestPrice(F815,"Actual","AssessmentDate")</f>
        <v>45826.645833333336</v>
      </c>
      <c r="D815">
        <f t="shared" si="24"/>
        <v>2025</v>
      </c>
      <c r="E815">
        <f t="shared" si="25"/>
        <v>6</v>
      </c>
      <c r="F815" s="9" t="s">
        <v>1623</v>
      </c>
      <c r="G815" s="9" t="s">
        <v>11</v>
      </c>
      <c r="H815" s="9" t="s">
        <v>12</v>
      </c>
    </row>
    <row r="816" spans="1:8" x14ac:dyDescent="0.25">
      <c r="A816" t="s">
        <v>1624</v>
      </c>
      <c r="B816" s="14" cm="1">
        <f t="array" ref="B816">_xll.GetLatestPrice(F816,,G816)</f>
        <v>25</v>
      </c>
      <c r="C816" s="1" cm="1">
        <f t="array" ref="C816">_xll.GetLatestPrice(F816,"Actual","AssessmentDate")</f>
        <v>45435.347094907411</v>
      </c>
      <c r="D816">
        <f t="shared" si="24"/>
        <v>2024</v>
      </c>
      <c r="E816">
        <f t="shared" si="25"/>
        <v>5</v>
      </c>
      <c r="F816" s="9" t="s">
        <v>1609</v>
      </c>
      <c r="G816" s="9" t="s">
        <v>112</v>
      </c>
      <c r="H816" s="9" t="s">
        <v>12</v>
      </c>
    </row>
    <row r="817" spans="1:8" x14ac:dyDescent="0.25">
      <c r="A817" t="s">
        <v>1625</v>
      </c>
      <c r="B817" s="14" cm="1">
        <f t="array" ref="B817">_xll.GetLatestPrice(F817,,G817)</f>
        <v>800</v>
      </c>
      <c r="C817" s="1" cm="1">
        <f t="array" ref="C817">_xll.GetLatestPrice(F817,"Actual","AssessmentDate")</f>
        <v>45826.645833333336</v>
      </c>
      <c r="D817">
        <f t="shared" si="24"/>
        <v>2025</v>
      </c>
      <c r="E817">
        <f t="shared" si="25"/>
        <v>6</v>
      </c>
      <c r="F817" s="9" t="s">
        <v>1626</v>
      </c>
      <c r="G817" s="9" t="s">
        <v>11</v>
      </c>
      <c r="H817" s="9" t="s">
        <v>12</v>
      </c>
    </row>
    <row r="818" spans="1:8" x14ac:dyDescent="0.25">
      <c r="A818" t="s">
        <v>1627</v>
      </c>
      <c r="B818" s="14" cm="1">
        <f t="array" ref="B818">_xll.GetLatestPrice(F818,,G818)</f>
        <v>730</v>
      </c>
      <c r="C818" s="1" cm="1">
        <f t="array" ref="C818">_xll.GetLatestPrice(F818,"Actual","AssessmentDate")</f>
        <v>45826.645833333336</v>
      </c>
      <c r="D818">
        <f t="shared" si="24"/>
        <v>2025</v>
      </c>
      <c r="E818">
        <f t="shared" si="25"/>
        <v>6</v>
      </c>
      <c r="F818" s="9" t="s">
        <v>1628</v>
      </c>
      <c r="G818" s="9" t="s">
        <v>11</v>
      </c>
      <c r="H818" s="9" t="s">
        <v>12</v>
      </c>
    </row>
    <row r="819" spans="1:8" x14ac:dyDescent="0.25">
      <c r="A819" t="s">
        <v>1629</v>
      </c>
      <c r="B819" s="14" cm="1">
        <f t="array" ref="B819">_xll.GetLatestPrice(F819,,G819)</f>
        <v>1230</v>
      </c>
      <c r="C819" s="1" cm="1">
        <f t="array" ref="C819">_xll.GetLatestPrice(F819,"Actual","AssessmentDate")</f>
        <v>45826.645833333336</v>
      </c>
      <c r="D819">
        <f t="shared" si="24"/>
        <v>2025</v>
      </c>
      <c r="E819">
        <f t="shared" si="25"/>
        <v>6</v>
      </c>
      <c r="F819" s="9" t="s">
        <v>1630</v>
      </c>
      <c r="G819" s="9" t="s">
        <v>11</v>
      </c>
      <c r="H819" s="9" t="s">
        <v>12</v>
      </c>
    </row>
    <row r="820" spans="1:8" x14ac:dyDescent="0.25">
      <c r="A820" t="s">
        <v>1631</v>
      </c>
      <c r="B820" s="14" cm="1">
        <f t="array" ref="B820">_xll.GetLatestPrice(F820,,G820)</f>
        <v>1085</v>
      </c>
      <c r="C820" s="1" cm="1">
        <f t="array" ref="C820">_xll.GetLatestPrice(F820,"Actual","AssessmentDate")</f>
        <v>45826.645833333336</v>
      </c>
      <c r="D820">
        <f t="shared" si="24"/>
        <v>2025</v>
      </c>
      <c r="E820">
        <f t="shared" si="25"/>
        <v>6</v>
      </c>
      <c r="F820" s="9" t="s">
        <v>1632</v>
      </c>
      <c r="G820" s="9" t="s">
        <v>11</v>
      </c>
      <c r="H820" s="9" t="s">
        <v>12</v>
      </c>
    </row>
    <row r="821" spans="1:8" x14ac:dyDescent="0.25">
      <c r="A821" t="s">
        <v>1633</v>
      </c>
      <c r="B821" s="14" cm="1">
        <f t="array" ref="B821">_xll.GetLatestPrice(F821,,G821)</f>
        <v>2435</v>
      </c>
      <c r="C821" s="1" cm="1">
        <f t="array" ref="C821">_xll.GetLatestPrice(F821,"Actual","AssessmentDate")</f>
        <v>45826.645833333336</v>
      </c>
      <c r="D821">
        <f t="shared" si="24"/>
        <v>2025</v>
      </c>
      <c r="E821">
        <f t="shared" si="25"/>
        <v>6</v>
      </c>
      <c r="F821" s="9" t="s">
        <v>1634</v>
      </c>
      <c r="G821" s="9" t="s">
        <v>11</v>
      </c>
      <c r="H821" s="9" t="s">
        <v>12</v>
      </c>
    </row>
    <row r="822" spans="1:8" x14ac:dyDescent="0.25">
      <c r="A822" t="s">
        <v>1635</v>
      </c>
      <c r="B822" s="14" cm="1">
        <f t="array" ref="B822">_xll.GetLatestPrice(F822,,G822)</f>
        <v>2330</v>
      </c>
      <c r="C822" s="1" cm="1">
        <f t="array" ref="C822">_xll.GetLatestPrice(F822,"Actual","AssessmentDate")</f>
        <v>45826.645833333336</v>
      </c>
      <c r="D822">
        <f t="shared" si="24"/>
        <v>2025</v>
      </c>
      <c r="E822">
        <f t="shared" si="25"/>
        <v>6</v>
      </c>
      <c r="F822" s="9" t="s">
        <v>1636</v>
      </c>
      <c r="G822" s="9" t="s">
        <v>11</v>
      </c>
      <c r="H822" s="9" t="s">
        <v>12</v>
      </c>
    </row>
    <row r="823" spans="1:8" x14ac:dyDescent="0.25">
      <c r="A823" t="s">
        <v>1637</v>
      </c>
      <c r="B823" s="14" cm="1">
        <f t="array" ref="B823">_xll.GetLatestPrice(F823,,G823)</f>
        <v>2365</v>
      </c>
      <c r="C823" s="1" cm="1">
        <f t="array" ref="C823">_xll.GetLatestPrice(F823,"Actual","AssessmentDate")</f>
        <v>45826.645833333336</v>
      </c>
      <c r="D823">
        <f t="shared" si="24"/>
        <v>2025</v>
      </c>
      <c r="E823">
        <f t="shared" si="25"/>
        <v>6</v>
      </c>
      <c r="F823" s="9" t="s">
        <v>1638</v>
      </c>
      <c r="G823" s="9" t="s">
        <v>11</v>
      </c>
      <c r="H823" s="9" t="s">
        <v>12</v>
      </c>
    </row>
    <row r="824" spans="1:8" x14ac:dyDescent="0.25">
      <c r="A824" t="s">
        <v>1639</v>
      </c>
      <c r="B824" s="14" cm="1">
        <f t="array" ref="B824">_xll.GetLatestPrice(F824,,G824)</f>
        <v>2595</v>
      </c>
      <c r="C824" s="1" cm="1">
        <f t="array" ref="C824">_xll.GetLatestPrice(F824,"Actual","AssessmentDate")</f>
        <v>45826.645833333336</v>
      </c>
      <c r="D824">
        <f t="shared" si="24"/>
        <v>2025</v>
      </c>
      <c r="E824">
        <f t="shared" si="25"/>
        <v>6</v>
      </c>
      <c r="F824" s="9" t="s">
        <v>1640</v>
      </c>
      <c r="G824" s="9" t="s">
        <v>11</v>
      </c>
      <c r="H824" s="9" t="s">
        <v>12</v>
      </c>
    </row>
    <row r="825" spans="1:8" x14ac:dyDescent="0.25">
      <c r="A825" t="s">
        <v>1641</v>
      </c>
      <c r="B825" s="14" cm="1">
        <f t="array" ref="B825">_xll.GetLatestPrice(F825,,G825)</f>
        <v>3055</v>
      </c>
      <c r="C825" s="1" cm="1">
        <f t="array" ref="C825">_xll.GetLatestPrice(F825,"Actual","AssessmentDate")</f>
        <v>45826.645833333336</v>
      </c>
      <c r="D825">
        <f t="shared" si="24"/>
        <v>2025</v>
      </c>
      <c r="E825">
        <f t="shared" si="25"/>
        <v>6</v>
      </c>
      <c r="F825" s="9" t="s">
        <v>1642</v>
      </c>
      <c r="G825" s="9" t="s">
        <v>11</v>
      </c>
      <c r="H825" s="9" t="s">
        <v>12</v>
      </c>
    </row>
    <row r="826" spans="1:8" x14ac:dyDescent="0.25">
      <c r="A826" t="s">
        <v>1643</v>
      </c>
      <c r="B826" s="14" cm="1">
        <f t="array" ref="B826">_xll.GetLatestPrice(F826,,G826)</f>
        <v>3085</v>
      </c>
      <c r="C826" s="1" cm="1">
        <f t="array" ref="C826">_xll.GetLatestPrice(F826,"Actual","AssessmentDate")</f>
        <v>45826.645833333336</v>
      </c>
      <c r="D826">
        <f t="shared" si="24"/>
        <v>2025</v>
      </c>
      <c r="E826">
        <f t="shared" si="25"/>
        <v>6</v>
      </c>
      <c r="F826" s="9" t="s">
        <v>1644</v>
      </c>
      <c r="G826" s="9" t="s">
        <v>11</v>
      </c>
      <c r="H826" s="9" t="s">
        <v>12</v>
      </c>
    </row>
    <row r="827" spans="1:8" x14ac:dyDescent="0.25">
      <c r="A827" t="s">
        <v>1645</v>
      </c>
      <c r="B827" s="14" cm="1">
        <f t="array" ref="B827">_xll.GetLatestPrice(F827,,G827)</f>
        <v>439</v>
      </c>
      <c r="C827" s="1" cm="1">
        <f t="array" ref="C827">_xll.GetLatestPrice(F827,"Actual","AssessmentDate")</f>
        <v>45826.645833333336</v>
      </c>
      <c r="D827">
        <f t="shared" si="24"/>
        <v>2025</v>
      </c>
      <c r="E827">
        <f t="shared" si="25"/>
        <v>6</v>
      </c>
      <c r="F827" s="9" t="s">
        <v>1646</v>
      </c>
      <c r="G827" s="9" t="s">
        <v>11</v>
      </c>
      <c r="H827" s="9" t="s">
        <v>12</v>
      </c>
    </row>
    <row r="828" spans="1:8" x14ac:dyDescent="0.25">
      <c r="A828" t="s">
        <v>1647</v>
      </c>
      <c r="B828" s="14" cm="1">
        <f t="array" ref="B828">_xll.GetLatestPrice(F828,,G828)</f>
        <v>483</v>
      </c>
      <c r="C828" s="1" cm="1">
        <f t="array" ref="C828">_xll.GetLatestPrice(F828,"Actual","AssessmentDate")</f>
        <v>45826.645833333336</v>
      </c>
      <c r="D828">
        <f t="shared" si="24"/>
        <v>2025</v>
      </c>
      <c r="E828">
        <f t="shared" si="25"/>
        <v>6</v>
      </c>
      <c r="F828" s="9" t="s">
        <v>1648</v>
      </c>
      <c r="G828" s="9" t="s">
        <v>11</v>
      </c>
      <c r="H828" s="9" t="s">
        <v>12</v>
      </c>
    </row>
    <row r="829" spans="1:8" x14ac:dyDescent="0.25">
      <c r="A829" t="s">
        <v>1649</v>
      </c>
      <c r="B829" s="14" cm="1">
        <f t="array" ref="B829">_xll.GetLatestPrice(F829,,G829)</f>
        <v>2490</v>
      </c>
      <c r="C829" s="1" cm="1">
        <f t="array" ref="C829">_xll.GetLatestPrice(F829,"Actual","AssessmentDate")</f>
        <v>45826.645833333336</v>
      </c>
      <c r="D829">
        <f t="shared" si="24"/>
        <v>2025</v>
      </c>
      <c r="E829">
        <f t="shared" si="25"/>
        <v>6</v>
      </c>
      <c r="F829" s="9" t="s">
        <v>1650</v>
      </c>
      <c r="G829" s="9" t="s">
        <v>11</v>
      </c>
      <c r="H829" s="9" t="s">
        <v>12</v>
      </c>
    </row>
    <row r="830" spans="1:8" x14ac:dyDescent="0.25">
      <c r="A830" t="s">
        <v>1651</v>
      </c>
      <c r="B830" s="14" cm="1">
        <f t="array" ref="B830">_xll.GetLatestPrice(F830,,G830)</f>
        <v>2145</v>
      </c>
      <c r="C830" s="1" cm="1">
        <f t="array" ref="C830">_xll.GetLatestPrice(F830,"Actual","AssessmentDate")</f>
        <v>45826.645833333336</v>
      </c>
      <c r="D830">
        <f t="shared" si="24"/>
        <v>2025</v>
      </c>
      <c r="E830">
        <f t="shared" si="25"/>
        <v>6</v>
      </c>
      <c r="F830" s="9" t="s">
        <v>1652</v>
      </c>
      <c r="G830" s="9" t="s">
        <v>11</v>
      </c>
      <c r="H830" s="9" t="s">
        <v>12</v>
      </c>
    </row>
    <row r="831" spans="1:8" x14ac:dyDescent="0.25">
      <c r="A831" t="s">
        <v>1653</v>
      </c>
      <c r="B831" s="14" cm="1">
        <f t="array" ref="B831">_xll.GetLatestPrice(F831,,G831)</f>
        <v>590</v>
      </c>
      <c r="C831" s="1" cm="1">
        <f t="array" ref="C831">_xll.GetLatestPrice(F831,"Actual","AssessmentDate")</f>
        <v>45826.645833333336</v>
      </c>
      <c r="D831">
        <f t="shared" si="24"/>
        <v>2025</v>
      </c>
      <c r="E831">
        <f t="shared" si="25"/>
        <v>6</v>
      </c>
      <c r="F831" s="9" t="s">
        <v>1654</v>
      </c>
      <c r="G831" s="9" t="s">
        <v>11</v>
      </c>
      <c r="H831" s="9" t="s">
        <v>12</v>
      </c>
    </row>
    <row r="832" spans="1:8" x14ac:dyDescent="0.25">
      <c r="A832" t="s">
        <v>1655</v>
      </c>
      <c r="B832" s="14" cm="1">
        <f t="array" ref="B832">_xll.GetLatestPrice(F832,,G832)</f>
        <v>455</v>
      </c>
      <c r="C832" s="1" cm="1">
        <f t="array" ref="C832">_xll.GetLatestPrice(F832,"Actual","AssessmentDate")</f>
        <v>45826.645833333336</v>
      </c>
      <c r="D832">
        <f t="shared" si="24"/>
        <v>2025</v>
      </c>
      <c r="E832">
        <f t="shared" si="25"/>
        <v>6</v>
      </c>
      <c r="F832" s="9" t="s">
        <v>1656</v>
      </c>
      <c r="G832" s="9" t="s">
        <v>11</v>
      </c>
      <c r="H832" s="9" t="s">
        <v>12</v>
      </c>
    </row>
    <row r="833" spans="1:8" x14ac:dyDescent="0.25">
      <c r="A833" t="s">
        <v>1657</v>
      </c>
      <c r="B833" s="14" cm="1">
        <f t="array" ref="B833">_xll.GetLatestPrice(F833,,G833)</f>
        <v>440</v>
      </c>
      <c r="C833" s="1" cm="1">
        <f t="array" ref="C833">_xll.GetLatestPrice(F833,"Actual","AssessmentDate")</f>
        <v>45826.645833333336</v>
      </c>
      <c r="D833">
        <f t="shared" si="24"/>
        <v>2025</v>
      </c>
      <c r="E833">
        <f t="shared" si="25"/>
        <v>6</v>
      </c>
      <c r="F833" s="9" t="s">
        <v>1658</v>
      </c>
      <c r="G833" s="9" t="s">
        <v>11</v>
      </c>
      <c r="H833" s="9" t="s">
        <v>12</v>
      </c>
    </row>
    <row r="834" spans="1:8" x14ac:dyDescent="0.25">
      <c r="A834" t="s">
        <v>1659</v>
      </c>
      <c r="B834" s="14" cm="1">
        <f t="array" ref="B834">_xll.GetLatestPrice(F834,,G834)</f>
        <v>1995</v>
      </c>
      <c r="C834" s="1" cm="1">
        <f t="array" ref="C834">_xll.GetLatestPrice(F834,"Actual","AssessmentDate")</f>
        <v>45826.645833333336</v>
      </c>
      <c r="D834">
        <f t="shared" si="24"/>
        <v>2025</v>
      </c>
      <c r="E834">
        <f t="shared" si="25"/>
        <v>6</v>
      </c>
      <c r="F834" s="9" t="s">
        <v>1660</v>
      </c>
      <c r="G834" s="9" t="s">
        <v>11</v>
      </c>
      <c r="H834" s="9" t="s">
        <v>12</v>
      </c>
    </row>
    <row r="835" spans="1:8" x14ac:dyDescent="0.25">
      <c r="A835" t="s">
        <v>1661</v>
      </c>
      <c r="B835" s="14" cm="1">
        <f t="array" ref="B835">_xll.GetLatestPrice(F835,,G835)</f>
        <v>1985</v>
      </c>
      <c r="C835" s="1" cm="1">
        <f t="array" ref="C835">_xll.GetLatestPrice(F835,"Actual","AssessmentDate")</f>
        <v>45826.645833333336</v>
      </c>
      <c r="D835">
        <f t="shared" ref="D835:D898" si="26">YEAR(C835)</f>
        <v>2025</v>
      </c>
      <c r="E835">
        <f t="shared" ref="E835:E898" si="27">MONTH(C835)</f>
        <v>6</v>
      </c>
      <c r="F835" s="9" t="s">
        <v>1662</v>
      </c>
      <c r="G835" s="9" t="s">
        <v>11</v>
      </c>
      <c r="H835" s="9" t="s">
        <v>12</v>
      </c>
    </row>
    <row r="836" spans="1:8" x14ac:dyDescent="0.25">
      <c r="A836" t="s">
        <v>1663</v>
      </c>
      <c r="B836" s="14" cm="1">
        <f t="array" ref="B836">_xll.GetLatestPrice(F836,,G836)</f>
        <v>2045</v>
      </c>
      <c r="C836" s="1" cm="1">
        <f t="array" ref="C836">_xll.GetLatestPrice(F836,"Actual","AssessmentDate")</f>
        <v>45826.645833333336</v>
      </c>
      <c r="D836">
        <f t="shared" si="26"/>
        <v>2025</v>
      </c>
      <c r="E836">
        <f t="shared" si="27"/>
        <v>6</v>
      </c>
      <c r="F836" s="9" t="s">
        <v>1664</v>
      </c>
      <c r="G836" s="9" t="s">
        <v>11</v>
      </c>
      <c r="H836" s="9" t="s">
        <v>12</v>
      </c>
    </row>
    <row r="837" spans="1:8" x14ac:dyDescent="0.25">
      <c r="A837" t="s">
        <v>1665</v>
      </c>
      <c r="B837" s="14" cm="1">
        <f t="array" ref="B837">_xll.GetLatestPrice(F837,,G837)</f>
        <v>370</v>
      </c>
      <c r="C837" s="1" cm="1">
        <f t="array" ref="C837">_xll.GetLatestPrice(F837,"Actual","AssessmentDate")</f>
        <v>45826.645833333336</v>
      </c>
      <c r="D837">
        <f t="shared" si="26"/>
        <v>2025</v>
      </c>
      <c r="E837">
        <f t="shared" si="27"/>
        <v>6</v>
      </c>
      <c r="F837" s="9" t="s">
        <v>1666</v>
      </c>
      <c r="G837" s="9" t="s">
        <v>11</v>
      </c>
      <c r="H837" s="9" t="s">
        <v>12</v>
      </c>
    </row>
    <row r="838" spans="1:8" x14ac:dyDescent="0.25">
      <c r="A838" t="s">
        <v>1667</v>
      </c>
      <c r="B838" s="14" cm="1">
        <f t="array" ref="B838">_xll.GetLatestPrice(F838,,G838)</f>
        <v>360</v>
      </c>
      <c r="C838" s="1" cm="1">
        <f t="array" ref="C838">_xll.GetLatestPrice(F838,"Actual","AssessmentDate")</f>
        <v>45826.645833333336</v>
      </c>
      <c r="D838">
        <f t="shared" si="26"/>
        <v>2025</v>
      </c>
      <c r="E838">
        <f t="shared" si="27"/>
        <v>6</v>
      </c>
      <c r="F838" s="9" t="s">
        <v>1668</v>
      </c>
      <c r="G838" s="9" t="s">
        <v>11</v>
      </c>
      <c r="H838" s="9" t="s">
        <v>12</v>
      </c>
    </row>
    <row r="839" spans="1:8" x14ac:dyDescent="0.25">
      <c r="A839" t="s">
        <v>1669</v>
      </c>
      <c r="B839" s="14" cm="1">
        <f t="array" ref="B839">_xll.GetLatestPrice(F839,,G839)</f>
        <v>460</v>
      </c>
      <c r="C839" s="1" cm="1">
        <f t="array" ref="C839">_xll.GetLatestPrice(F839,"Actual","AssessmentDate")</f>
        <v>45826.645833333336</v>
      </c>
      <c r="D839">
        <f t="shared" si="26"/>
        <v>2025</v>
      </c>
      <c r="E839">
        <f t="shared" si="27"/>
        <v>6</v>
      </c>
      <c r="F839" s="9" t="s">
        <v>1670</v>
      </c>
      <c r="G839" s="9" t="s">
        <v>11</v>
      </c>
      <c r="H839" s="9" t="s">
        <v>12</v>
      </c>
    </row>
    <row r="840" spans="1:8" x14ac:dyDescent="0.25">
      <c r="A840" t="s">
        <v>1671</v>
      </c>
      <c r="B840" s="14" cm="1">
        <f t="array" ref="B840">_xll.GetLatestPrice(F840,,G840)</f>
        <v>315</v>
      </c>
      <c r="C840" s="1" cm="1">
        <f t="array" ref="C840">_xll.GetLatestPrice(F840,"Actual","AssessmentDate")</f>
        <v>45826.645833333336</v>
      </c>
      <c r="D840">
        <f t="shared" si="26"/>
        <v>2025</v>
      </c>
      <c r="E840">
        <f t="shared" si="27"/>
        <v>6</v>
      </c>
      <c r="F840" s="9" t="s">
        <v>1672</v>
      </c>
      <c r="G840" s="9" t="s">
        <v>11</v>
      </c>
      <c r="H840" s="9" t="s">
        <v>12</v>
      </c>
    </row>
    <row r="841" spans="1:8" x14ac:dyDescent="0.25">
      <c r="A841" t="s">
        <v>1673</v>
      </c>
      <c r="B841" s="14" cm="1">
        <f t="array" ref="B841">_xll.GetLatestPrice(F841,,G841)</f>
        <v>375</v>
      </c>
      <c r="C841" s="1" cm="1">
        <f t="array" ref="C841">_xll.GetLatestPrice(F841,"Actual","AssessmentDate")</f>
        <v>45826.645833333336</v>
      </c>
      <c r="D841">
        <f t="shared" si="26"/>
        <v>2025</v>
      </c>
      <c r="E841">
        <f t="shared" si="27"/>
        <v>6</v>
      </c>
      <c r="F841" s="9" t="s">
        <v>1674</v>
      </c>
      <c r="G841" s="9" t="s">
        <v>11</v>
      </c>
      <c r="H841" s="9" t="s">
        <v>12</v>
      </c>
    </row>
    <row r="842" spans="1:8" x14ac:dyDescent="0.25">
      <c r="A842" t="s">
        <v>1675</v>
      </c>
      <c r="B842" s="14" cm="1">
        <f t="array" ref="B842">_xll.GetLatestPrice(F842,,G842)</f>
        <v>435</v>
      </c>
      <c r="C842" s="1" cm="1">
        <f t="array" ref="C842">_xll.GetLatestPrice(F842,"Actual","AssessmentDate")</f>
        <v>45826.645833333336</v>
      </c>
      <c r="D842">
        <f t="shared" si="26"/>
        <v>2025</v>
      </c>
      <c r="E842">
        <f t="shared" si="27"/>
        <v>6</v>
      </c>
      <c r="F842" s="9" t="s">
        <v>1676</v>
      </c>
      <c r="G842" s="9" t="s">
        <v>11</v>
      </c>
      <c r="H842" s="9" t="s">
        <v>12</v>
      </c>
    </row>
    <row r="843" spans="1:8" x14ac:dyDescent="0.25">
      <c r="A843" t="s">
        <v>1677</v>
      </c>
      <c r="B843" s="14" cm="1">
        <f t="array" ref="B843">_xll.GetLatestPrice(F843,,G843)</f>
        <v>345</v>
      </c>
      <c r="C843" s="1" cm="1">
        <f t="array" ref="C843">_xll.GetLatestPrice(F843,"Actual","AssessmentDate")</f>
        <v>45826.645833333336</v>
      </c>
      <c r="D843">
        <f t="shared" si="26"/>
        <v>2025</v>
      </c>
      <c r="E843">
        <f t="shared" si="27"/>
        <v>6</v>
      </c>
      <c r="F843" s="9" t="s">
        <v>1678</v>
      </c>
      <c r="G843" s="9" t="s">
        <v>11</v>
      </c>
      <c r="H843" s="9" t="s">
        <v>12</v>
      </c>
    </row>
    <row r="844" spans="1:8" x14ac:dyDescent="0.25">
      <c r="A844" t="s">
        <v>1679</v>
      </c>
      <c r="B844" s="14" cm="1">
        <f t="array" ref="B844">_xll.GetLatestPrice(F844,,G844)</f>
        <v>415</v>
      </c>
      <c r="C844" s="1" cm="1">
        <f t="array" ref="C844">_xll.GetLatestPrice(F844,"Actual","AssessmentDate")</f>
        <v>45826.645833333336</v>
      </c>
      <c r="D844">
        <f t="shared" si="26"/>
        <v>2025</v>
      </c>
      <c r="E844">
        <f t="shared" si="27"/>
        <v>6</v>
      </c>
      <c r="F844" s="9" t="s">
        <v>1680</v>
      </c>
      <c r="G844" s="9" t="s">
        <v>11</v>
      </c>
      <c r="H844" s="9" t="s">
        <v>12</v>
      </c>
    </row>
    <row r="845" spans="1:8" x14ac:dyDescent="0.25">
      <c r="A845" t="s">
        <v>1681</v>
      </c>
      <c r="B845" s="14" cm="1">
        <f t="array" ref="B845">_xll.GetLatestPrice(F845,,G845)</f>
        <v>415</v>
      </c>
      <c r="C845" s="1" cm="1">
        <f t="array" ref="C845">_xll.GetLatestPrice(F845,"Actual","AssessmentDate")</f>
        <v>45826.645833333336</v>
      </c>
      <c r="D845">
        <f t="shared" si="26"/>
        <v>2025</v>
      </c>
      <c r="E845">
        <f t="shared" si="27"/>
        <v>6</v>
      </c>
      <c r="F845" s="9" t="s">
        <v>1682</v>
      </c>
      <c r="G845" s="9" t="s">
        <v>11</v>
      </c>
      <c r="H845" s="9" t="s">
        <v>12</v>
      </c>
    </row>
    <row r="846" spans="1:8" x14ac:dyDescent="0.25">
      <c r="A846" t="s">
        <v>1683</v>
      </c>
      <c r="B846" s="14" cm="1">
        <f t="array" ref="B846">_xll.GetLatestPrice(F846,,G846)</f>
        <v>320</v>
      </c>
      <c r="C846" s="1" cm="1">
        <f t="array" ref="C846">_xll.GetLatestPrice(F846,"Actual","AssessmentDate")</f>
        <v>45826.645833333336</v>
      </c>
      <c r="D846">
        <f t="shared" si="26"/>
        <v>2025</v>
      </c>
      <c r="E846">
        <f t="shared" si="27"/>
        <v>6</v>
      </c>
      <c r="F846" s="9" t="s">
        <v>1684</v>
      </c>
      <c r="G846" s="9" t="s">
        <v>11</v>
      </c>
      <c r="H846" s="9" t="s">
        <v>12</v>
      </c>
    </row>
    <row r="847" spans="1:8" x14ac:dyDescent="0.25">
      <c r="A847" t="s">
        <v>1685</v>
      </c>
      <c r="B847" s="14" cm="1">
        <f t="array" ref="B847">_xll.GetLatestPrice(F847,,G847)</f>
        <v>425</v>
      </c>
      <c r="C847" s="1" cm="1">
        <f t="array" ref="C847">_xll.GetLatestPrice(F847,"Actual","AssessmentDate")</f>
        <v>45826.645833333336</v>
      </c>
      <c r="D847">
        <f t="shared" si="26"/>
        <v>2025</v>
      </c>
      <c r="E847">
        <f t="shared" si="27"/>
        <v>6</v>
      </c>
      <c r="F847" s="9" t="s">
        <v>1686</v>
      </c>
      <c r="G847" s="9" t="s">
        <v>11</v>
      </c>
      <c r="H847" s="9" t="s">
        <v>12</v>
      </c>
    </row>
    <row r="848" spans="1:8" x14ac:dyDescent="0.25">
      <c r="A848" t="s">
        <v>1687</v>
      </c>
      <c r="B848" s="14" cm="1">
        <f t="array" ref="B848">_xll.GetLatestPrice(F848,,G848)</f>
        <v>370</v>
      </c>
      <c r="C848" s="1" cm="1">
        <f t="array" ref="C848">_xll.GetLatestPrice(F848,"Actual","AssessmentDate")</f>
        <v>45826.645833333336</v>
      </c>
      <c r="D848">
        <f t="shared" si="26"/>
        <v>2025</v>
      </c>
      <c r="E848">
        <f t="shared" si="27"/>
        <v>6</v>
      </c>
      <c r="F848" s="9" t="s">
        <v>1688</v>
      </c>
      <c r="G848" s="9" t="s">
        <v>11</v>
      </c>
      <c r="H848" s="9" t="s">
        <v>12</v>
      </c>
    </row>
    <row r="849" spans="1:8" x14ac:dyDescent="0.25">
      <c r="A849" t="s">
        <v>1689</v>
      </c>
      <c r="B849" s="14" cm="1">
        <f t="array" ref="B849">_xll.GetLatestPrice(F849,,G849)</f>
        <v>330</v>
      </c>
      <c r="C849" s="1" cm="1">
        <f t="array" ref="C849">_xll.GetLatestPrice(F849,"Actual","AssessmentDate")</f>
        <v>45826.645833333336</v>
      </c>
      <c r="D849">
        <f t="shared" si="26"/>
        <v>2025</v>
      </c>
      <c r="E849">
        <f t="shared" si="27"/>
        <v>6</v>
      </c>
      <c r="F849" s="9" t="s">
        <v>1690</v>
      </c>
      <c r="G849" s="9" t="s">
        <v>11</v>
      </c>
      <c r="H849" s="9" t="s">
        <v>12</v>
      </c>
    </row>
    <row r="850" spans="1:8" x14ac:dyDescent="0.25">
      <c r="A850" t="s">
        <v>1691</v>
      </c>
      <c r="B850" s="14" cm="1">
        <f t="array" ref="B850">_xll.GetLatestPrice(F850,,G850)</f>
        <v>410</v>
      </c>
      <c r="C850" s="1" cm="1">
        <f t="array" ref="C850">_xll.GetLatestPrice(F850,"Actual","AssessmentDate")</f>
        <v>45826.645833333336</v>
      </c>
      <c r="D850">
        <f t="shared" si="26"/>
        <v>2025</v>
      </c>
      <c r="E850">
        <f t="shared" si="27"/>
        <v>6</v>
      </c>
      <c r="F850" s="9" t="s">
        <v>1692</v>
      </c>
      <c r="G850" s="9" t="s">
        <v>11</v>
      </c>
      <c r="H850" s="9" t="s">
        <v>12</v>
      </c>
    </row>
    <row r="851" spans="1:8" x14ac:dyDescent="0.25">
      <c r="A851" t="s">
        <v>1693</v>
      </c>
      <c r="B851" s="14" cm="1">
        <f t="array" ref="B851">_xll.GetLatestPrice(F851,,G851)</f>
        <v>430</v>
      </c>
      <c r="C851" s="1" cm="1">
        <f t="array" ref="C851">_xll.GetLatestPrice(F851,"Actual","AssessmentDate")</f>
        <v>45826.645833333336</v>
      </c>
      <c r="D851">
        <f t="shared" si="26"/>
        <v>2025</v>
      </c>
      <c r="E851">
        <f t="shared" si="27"/>
        <v>6</v>
      </c>
      <c r="F851" s="9" t="s">
        <v>1694</v>
      </c>
      <c r="G851" s="9" t="s">
        <v>11</v>
      </c>
      <c r="H851" s="9" t="s">
        <v>12</v>
      </c>
    </row>
    <row r="852" spans="1:8" x14ac:dyDescent="0.25">
      <c r="A852" t="s">
        <v>1695</v>
      </c>
      <c r="B852" s="14" cm="1">
        <f t="array" ref="B852">_xll.GetLatestPrice(F852,,G852)</f>
        <v>315</v>
      </c>
      <c r="C852" s="1" cm="1">
        <f t="array" ref="C852">_xll.GetLatestPrice(F852,"Actual","AssessmentDate")</f>
        <v>45826.645833333336</v>
      </c>
      <c r="D852">
        <f t="shared" si="26"/>
        <v>2025</v>
      </c>
      <c r="E852">
        <f t="shared" si="27"/>
        <v>6</v>
      </c>
      <c r="F852" s="9" t="s">
        <v>1696</v>
      </c>
      <c r="G852" s="9" t="s">
        <v>11</v>
      </c>
      <c r="H852" s="9" t="s">
        <v>12</v>
      </c>
    </row>
    <row r="853" spans="1:8" x14ac:dyDescent="0.25">
      <c r="A853" t="s">
        <v>1697</v>
      </c>
      <c r="B853" s="14" cm="1">
        <f t="array" ref="B853">_xll.GetLatestPrice(F853,,G853)</f>
        <v>350</v>
      </c>
      <c r="C853" s="1" cm="1">
        <f t="array" ref="C853">_xll.GetLatestPrice(F853,"Actual","AssessmentDate")</f>
        <v>45826.645833333336</v>
      </c>
      <c r="D853">
        <f t="shared" si="26"/>
        <v>2025</v>
      </c>
      <c r="E853">
        <f t="shared" si="27"/>
        <v>6</v>
      </c>
      <c r="F853" s="9" t="s">
        <v>1698</v>
      </c>
      <c r="G853" s="9" t="s">
        <v>11</v>
      </c>
      <c r="H853" s="9" t="s">
        <v>12</v>
      </c>
    </row>
    <row r="854" spans="1:8" x14ac:dyDescent="0.25">
      <c r="A854" t="s">
        <v>1699</v>
      </c>
      <c r="B854" s="14" cm="1">
        <f t="array" ref="B854">_xll.GetLatestPrice(F854,,G854)</f>
        <v>480</v>
      </c>
      <c r="C854" s="1" cm="1">
        <f t="array" ref="C854">_xll.GetLatestPrice(F854,"Actual","AssessmentDate")</f>
        <v>45826.645833333336</v>
      </c>
      <c r="D854">
        <f t="shared" si="26"/>
        <v>2025</v>
      </c>
      <c r="E854">
        <f t="shared" si="27"/>
        <v>6</v>
      </c>
      <c r="F854" s="9" t="s">
        <v>1700</v>
      </c>
      <c r="G854" s="9" t="s">
        <v>11</v>
      </c>
      <c r="H854" s="9" t="s">
        <v>12</v>
      </c>
    </row>
    <row r="855" spans="1:8" x14ac:dyDescent="0.25">
      <c r="A855" t="s">
        <v>1701</v>
      </c>
      <c r="B855" s="14" cm="1">
        <f t="array" ref="B855">_xll.GetLatestPrice(F855,,G855)</f>
        <v>320</v>
      </c>
      <c r="C855" s="1" cm="1">
        <f t="array" ref="C855">_xll.GetLatestPrice(F855,"Actual","AssessmentDate")</f>
        <v>45826.645833333336</v>
      </c>
      <c r="D855">
        <f t="shared" si="26"/>
        <v>2025</v>
      </c>
      <c r="E855">
        <f t="shared" si="27"/>
        <v>6</v>
      </c>
      <c r="F855" s="9" t="s">
        <v>1702</v>
      </c>
      <c r="G855" s="9" t="s">
        <v>11</v>
      </c>
      <c r="H855" s="9" t="s">
        <v>12</v>
      </c>
    </row>
    <row r="856" spans="1:8" x14ac:dyDescent="0.25">
      <c r="A856" t="s">
        <v>1703</v>
      </c>
      <c r="B856" s="14" cm="1">
        <f t="array" ref="B856">_xll.GetLatestPrice(F856,,G856)</f>
        <v>420</v>
      </c>
      <c r="C856" s="1" cm="1">
        <f t="array" ref="C856">_xll.GetLatestPrice(F856,"Actual","AssessmentDate")</f>
        <v>45826.645833333336</v>
      </c>
      <c r="D856">
        <f t="shared" si="26"/>
        <v>2025</v>
      </c>
      <c r="E856">
        <f t="shared" si="27"/>
        <v>6</v>
      </c>
      <c r="F856" s="9" t="s">
        <v>1704</v>
      </c>
      <c r="G856" s="9" t="s">
        <v>11</v>
      </c>
      <c r="H856" s="9" t="s">
        <v>12</v>
      </c>
    </row>
    <row r="857" spans="1:8" x14ac:dyDescent="0.25">
      <c r="A857" t="s">
        <v>1705</v>
      </c>
      <c r="B857" s="14" cm="1">
        <f t="array" ref="B857">_xll.GetLatestPrice(F857,,G857)</f>
        <v>850</v>
      </c>
      <c r="C857" s="1" cm="1">
        <f t="array" ref="C857">_xll.GetLatestPrice(F857,"Actual","AssessmentDate")</f>
        <v>45826.645833333336</v>
      </c>
      <c r="D857">
        <f t="shared" si="26"/>
        <v>2025</v>
      </c>
      <c r="E857">
        <f t="shared" si="27"/>
        <v>6</v>
      </c>
      <c r="F857" s="9" t="s">
        <v>1706</v>
      </c>
      <c r="G857" s="9" t="s">
        <v>11</v>
      </c>
      <c r="H857" s="9" t="s">
        <v>12</v>
      </c>
    </row>
    <row r="858" spans="1:8" x14ac:dyDescent="0.25">
      <c r="A858" t="s">
        <v>1707</v>
      </c>
      <c r="B858" s="14" cm="1">
        <f t="array" ref="B858">_xll.GetLatestPrice(F858,,G858)</f>
        <v>361</v>
      </c>
      <c r="C858" s="1" cm="1">
        <f t="array" ref="C858">_xll.GetLatestPrice(F858,"Actual","AssessmentDate")</f>
        <v>45826.648125</v>
      </c>
      <c r="D858">
        <f t="shared" si="26"/>
        <v>2025</v>
      </c>
      <c r="E858">
        <f t="shared" si="27"/>
        <v>6</v>
      </c>
      <c r="F858" s="9" t="s">
        <v>1708</v>
      </c>
      <c r="G858" s="9" t="s">
        <v>11</v>
      </c>
      <c r="H858" s="9" t="s">
        <v>12</v>
      </c>
    </row>
    <row r="859" spans="1:8" x14ac:dyDescent="0.25">
      <c r="A859" t="s">
        <v>1709</v>
      </c>
      <c r="B859" s="14" cm="1">
        <f t="array" ref="B859">_xll.GetLatestPrice(F859,,G859)</f>
        <v>372</v>
      </c>
      <c r="C859" s="1" cm="1">
        <f t="array" ref="C859">_xll.GetLatestPrice(F859,"Actual","AssessmentDate")</f>
        <v>45826.648125</v>
      </c>
      <c r="D859">
        <f t="shared" si="26"/>
        <v>2025</v>
      </c>
      <c r="E859">
        <f t="shared" si="27"/>
        <v>6</v>
      </c>
      <c r="F859" s="9" t="s">
        <v>1710</v>
      </c>
      <c r="G859" s="9" t="s">
        <v>11</v>
      </c>
      <c r="H859" s="9" t="s">
        <v>12</v>
      </c>
    </row>
    <row r="860" spans="1:8" x14ac:dyDescent="0.25">
      <c r="A860" t="s">
        <v>1711</v>
      </c>
      <c r="B860" s="14" cm="1">
        <f t="array" ref="B860">_xll.GetLatestPrice(F860,,G860)</f>
        <v>391</v>
      </c>
      <c r="C860" s="1" cm="1">
        <f t="array" ref="C860">_xll.GetLatestPrice(F860,"Actual","AssessmentDate")</f>
        <v>45826.648125</v>
      </c>
      <c r="D860">
        <f t="shared" si="26"/>
        <v>2025</v>
      </c>
      <c r="E860">
        <f t="shared" si="27"/>
        <v>6</v>
      </c>
      <c r="F860" s="9" t="s">
        <v>1712</v>
      </c>
      <c r="G860" s="9" t="s">
        <v>11</v>
      </c>
      <c r="H860" s="9" t="s">
        <v>12</v>
      </c>
    </row>
    <row r="861" spans="1:8" x14ac:dyDescent="0.25">
      <c r="A861" t="s">
        <v>1713</v>
      </c>
      <c r="B861" s="14" cm="1">
        <f t="array" ref="B861">_xll.GetLatestPrice(F861,,G861)</f>
        <v>392</v>
      </c>
      <c r="C861" s="1" cm="1">
        <f t="array" ref="C861">_xll.GetLatestPrice(F861,"Actual","AssessmentDate")</f>
        <v>45826.648125</v>
      </c>
      <c r="D861">
        <f t="shared" si="26"/>
        <v>2025</v>
      </c>
      <c r="E861">
        <f t="shared" si="27"/>
        <v>6</v>
      </c>
      <c r="F861" s="9" t="s">
        <v>1714</v>
      </c>
      <c r="G861" s="9" t="s">
        <v>11</v>
      </c>
      <c r="H861" s="9" t="s">
        <v>12</v>
      </c>
    </row>
    <row r="862" spans="1:8" x14ac:dyDescent="0.25">
      <c r="A862" t="s">
        <v>1715</v>
      </c>
      <c r="B862" s="14" cm="1">
        <f t="array" ref="B862">_xll.GetLatestPrice(F862,,G862)</f>
        <v>395</v>
      </c>
      <c r="C862" s="1" cm="1">
        <f t="array" ref="C862">_xll.GetLatestPrice(F862,"Actual","AssessmentDate")</f>
        <v>45826.648125</v>
      </c>
      <c r="D862">
        <f t="shared" si="26"/>
        <v>2025</v>
      </c>
      <c r="E862">
        <f t="shared" si="27"/>
        <v>6</v>
      </c>
      <c r="F862" s="9" t="s">
        <v>1716</v>
      </c>
      <c r="G862" s="9" t="s">
        <v>11</v>
      </c>
      <c r="H862" s="9" t="s">
        <v>12</v>
      </c>
    </row>
    <row r="863" spans="1:8" x14ac:dyDescent="0.25">
      <c r="A863" t="s">
        <v>1717</v>
      </c>
      <c r="B863" s="14" cm="1">
        <f t="array" ref="B863">_xll.GetLatestPrice(F863,,G863)</f>
        <v>415</v>
      </c>
      <c r="C863" s="1" cm="1">
        <f t="array" ref="C863">_xll.GetLatestPrice(F863,"Actual","AssessmentDate")</f>
        <v>45826.648125</v>
      </c>
      <c r="D863">
        <f t="shared" si="26"/>
        <v>2025</v>
      </c>
      <c r="E863">
        <f t="shared" si="27"/>
        <v>6</v>
      </c>
      <c r="F863" s="9" t="s">
        <v>1718</v>
      </c>
      <c r="G863" s="9" t="s">
        <v>11</v>
      </c>
      <c r="H863" s="9" t="s">
        <v>12</v>
      </c>
    </row>
    <row r="864" spans="1:8" x14ac:dyDescent="0.25">
      <c r="A864" t="s">
        <v>1719</v>
      </c>
      <c r="B864" s="14" cm="1">
        <f t="array" ref="B864">_xll.GetLatestPrice(F864,,G864)</f>
        <v>414</v>
      </c>
      <c r="C864" s="1" cm="1">
        <f t="array" ref="C864">_xll.GetLatestPrice(F864,"Actual","AssessmentDate")</f>
        <v>45826.648125</v>
      </c>
      <c r="D864">
        <f t="shared" si="26"/>
        <v>2025</v>
      </c>
      <c r="E864">
        <f t="shared" si="27"/>
        <v>6</v>
      </c>
      <c r="F864" s="9" t="s">
        <v>1720</v>
      </c>
      <c r="G864" s="9" t="s">
        <v>11</v>
      </c>
      <c r="H864" s="9" t="s">
        <v>12</v>
      </c>
    </row>
    <row r="865" spans="1:8" x14ac:dyDescent="0.25">
      <c r="A865" t="s">
        <v>1721</v>
      </c>
      <c r="B865" s="14" cm="1">
        <f t="array" ref="B865">_xll.GetLatestPrice(F865,,G865)</f>
        <v>532</v>
      </c>
      <c r="C865" s="1" cm="1">
        <f t="array" ref="C865">_xll.GetLatestPrice(F865,"Actual","AssessmentDate")</f>
        <v>45826.648125</v>
      </c>
      <c r="D865">
        <f t="shared" si="26"/>
        <v>2025</v>
      </c>
      <c r="E865">
        <f t="shared" si="27"/>
        <v>6</v>
      </c>
      <c r="F865" s="9" t="s">
        <v>1722</v>
      </c>
      <c r="G865" s="9" t="s">
        <v>11</v>
      </c>
      <c r="H865" s="9" t="s">
        <v>12</v>
      </c>
    </row>
    <row r="866" spans="1:8" x14ac:dyDescent="0.25">
      <c r="A866" t="s">
        <v>1723</v>
      </c>
      <c r="B866" s="14" cm="1">
        <f t="array" ref="B866">_xll.GetLatestPrice(F866,,G866)</f>
        <v>420</v>
      </c>
      <c r="C866" s="1" cm="1">
        <f t="array" ref="C866">_xll.GetLatestPrice(F866,"Actual","AssessmentDate")</f>
        <v>45826.645833333336</v>
      </c>
      <c r="D866">
        <f t="shared" si="26"/>
        <v>2025</v>
      </c>
      <c r="E866">
        <f t="shared" si="27"/>
        <v>6</v>
      </c>
      <c r="F866" s="9" t="s">
        <v>1724</v>
      </c>
      <c r="G866" s="9" t="s">
        <v>11</v>
      </c>
      <c r="H866" s="9" t="s">
        <v>12</v>
      </c>
    </row>
    <row r="867" spans="1:8" x14ac:dyDescent="0.25">
      <c r="A867" t="s">
        <v>1725</v>
      </c>
      <c r="B867" s="14" cm="1">
        <f t="array" ref="B867">_xll.GetLatestPrice(F867,,G867)</f>
        <v>420</v>
      </c>
      <c r="C867" s="1" cm="1">
        <f t="array" ref="C867">_xll.GetLatestPrice(F867,"Actual","AssessmentDate")</f>
        <v>45826.645833333336</v>
      </c>
      <c r="D867">
        <f t="shared" si="26"/>
        <v>2025</v>
      </c>
      <c r="E867">
        <f t="shared" si="27"/>
        <v>6</v>
      </c>
      <c r="F867" s="9" t="s">
        <v>1726</v>
      </c>
      <c r="G867" s="9" t="s">
        <v>11</v>
      </c>
      <c r="H867" s="9" t="s">
        <v>12</v>
      </c>
    </row>
    <row r="868" spans="1:8" x14ac:dyDescent="0.25">
      <c r="A868" t="s">
        <v>1727</v>
      </c>
      <c r="B868" s="14" cm="1">
        <f t="array" ref="B868">_xll.GetLatestPrice(F868,,G868)</f>
        <v>530</v>
      </c>
      <c r="C868" s="1" cm="1">
        <f t="array" ref="C868">_xll.GetLatestPrice(F868,"Actual","AssessmentDate")</f>
        <v>45826.645833333336</v>
      </c>
      <c r="D868">
        <f t="shared" si="26"/>
        <v>2025</v>
      </c>
      <c r="E868">
        <f t="shared" si="27"/>
        <v>6</v>
      </c>
      <c r="F868" s="9" t="s">
        <v>1728</v>
      </c>
      <c r="G868" s="9" t="s">
        <v>11</v>
      </c>
      <c r="H868" s="9" t="s">
        <v>12</v>
      </c>
    </row>
    <row r="869" spans="1:8" x14ac:dyDescent="0.25">
      <c r="A869" t="s">
        <v>1729</v>
      </c>
      <c r="B869" s="14" cm="1">
        <f t="array" ref="B869">_xll.GetLatestPrice(F869,,G869)</f>
        <v>720</v>
      </c>
      <c r="C869" s="1" cm="1">
        <f t="array" ref="C869">_xll.GetLatestPrice(F869,"Actual","AssessmentDate")</f>
        <v>45826.645833333336</v>
      </c>
      <c r="D869">
        <f t="shared" si="26"/>
        <v>2025</v>
      </c>
      <c r="E869">
        <f t="shared" si="27"/>
        <v>6</v>
      </c>
      <c r="F869" s="9" t="s">
        <v>1730</v>
      </c>
      <c r="G869" s="9" t="s">
        <v>11</v>
      </c>
      <c r="H869" s="9" t="s">
        <v>12</v>
      </c>
    </row>
    <row r="870" spans="1:8" x14ac:dyDescent="0.25">
      <c r="A870" t="s">
        <v>1731</v>
      </c>
      <c r="B870" s="14" cm="1">
        <f t="array" ref="B870">_xll.GetLatestPrice(F870,,G870)</f>
        <v>1280</v>
      </c>
      <c r="C870" s="1" cm="1">
        <f t="array" ref="C870">_xll.GetLatestPrice(F870,"Actual","AssessmentDate")</f>
        <v>45826.645833333336</v>
      </c>
      <c r="D870">
        <f t="shared" si="26"/>
        <v>2025</v>
      </c>
      <c r="E870">
        <f t="shared" si="27"/>
        <v>6</v>
      </c>
      <c r="F870" s="9" t="s">
        <v>1732</v>
      </c>
      <c r="G870" s="9" t="s">
        <v>11</v>
      </c>
      <c r="H870" s="9" t="s">
        <v>12</v>
      </c>
    </row>
    <row r="871" spans="1:8" x14ac:dyDescent="0.25">
      <c r="A871" t="s">
        <v>1733</v>
      </c>
      <c r="B871" s="14" cm="1">
        <f t="array" ref="B871">_xll.GetLatestPrice(F871,,G871)</f>
        <v>865</v>
      </c>
      <c r="C871" s="1" cm="1">
        <f t="array" ref="C871">_xll.GetLatestPrice(F871,"Actual","AssessmentDate")</f>
        <v>45826.645833333336</v>
      </c>
      <c r="D871">
        <f t="shared" si="26"/>
        <v>2025</v>
      </c>
      <c r="E871">
        <f t="shared" si="27"/>
        <v>6</v>
      </c>
      <c r="F871" s="9" t="s">
        <v>1734</v>
      </c>
      <c r="G871" s="9" t="s">
        <v>11</v>
      </c>
      <c r="H871" s="9" t="s">
        <v>12</v>
      </c>
    </row>
    <row r="872" spans="1:8" x14ac:dyDescent="0.25">
      <c r="A872" t="s">
        <v>1735</v>
      </c>
      <c r="B872" s="14" cm="1">
        <f t="array" ref="B872">_xll.GetLatestPrice(F872,,G872)</f>
        <v>1685</v>
      </c>
      <c r="C872" s="1" cm="1">
        <f t="array" ref="C872">_xll.GetLatestPrice(F872,"Actual","AssessmentDate")</f>
        <v>45826.645833333336</v>
      </c>
      <c r="D872">
        <f t="shared" si="26"/>
        <v>2025</v>
      </c>
      <c r="E872">
        <f t="shared" si="27"/>
        <v>6</v>
      </c>
      <c r="F872" s="9" t="s">
        <v>1736</v>
      </c>
      <c r="G872" s="9" t="s">
        <v>11</v>
      </c>
      <c r="H872" s="9" t="s">
        <v>12</v>
      </c>
    </row>
    <row r="873" spans="1:8" x14ac:dyDescent="0.25">
      <c r="A873" t="s">
        <v>1737</v>
      </c>
      <c r="B873" s="14" cm="1">
        <f t="array" ref="B873">_xll.GetLatestPrice(F873,,G873)</f>
        <v>739</v>
      </c>
      <c r="C873" s="1" cm="1">
        <f t="array" ref="C873">_xll.GetLatestPrice(F873,"Actual","AssessmentDate")</f>
        <v>45826.648125</v>
      </c>
      <c r="D873">
        <f t="shared" si="26"/>
        <v>2025</v>
      </c>
      <c r="E873">
        <f t="shared" si="27"/>
        <v>6</v>
      </c>
      <c r="F873" s="9" t="s">
        <v>1738</v>
      </c>
      <c r="G873" s="9" t="s">
        <v>11</v>
      </c>
      <c r="H873" s="9" t="s">
        <v>12</v>
      </c>
    </row>
    <row r="874" spans="1:8" x14ac:dyDescent="0.25">
      <c r="A874" t="s">
        <v>1739</v>
      </c>
      <c r="B874" s="14" cm="1">
        <f t="array" ref="B874">_xll.GetLatestPrice(F874,,G874)</f>
        <v>580</v>
      </c>
      <c r="C874" s="1" cm="1">
        <f t="array" ref="C874">_xll.GetLatestPrice(F874,"Actual","AssessmentDate")</f>
        <v>45826.645833333336</v>
      </c>
      <c r="D874">
        <f t="shared" si="26"/>
        <v>2025</v>
      </c>
      <c r="E874">
        <f t="shared" si="27"/>
        <v>6</v>
      </c>
      <c r="F874" s="9" t="s">
        <v>1740</v>
      </c>
      <c r="G874" s="9" t="s">
        <v>11</v>
      </c>
      <c r="H874" s="9" t="s">
        <v>12</v>
      </c>
    </row>
    <row r="875" spans="1:8" x14ac:dyDescent="0.25">
      <c r="A875" t="s">
        <v>1741</v>
      </c>
      <c r="B875" s="14" cm="1">
        <f t="array" ref="B875">_xll.GetLatestPrice(F875,,G875)</f>
        <v>505</v>
      </c>
      <c r="C875" s="1" cm="1">
        <f t="array" ref="C875">_xll.GetLatestPrice(F875,"Actual","AssessmentDate")</f>
        <v>45826.645833333336</v>
      </c>
      <c r="D875">
        <f t="shared" si="26"/>
        <v>2025</v>
      </c>
      <c r="E875">
        <f t="shared" si="27"/>
        <v>6</v>
      </c>
      <c r="F875" s="9" t="s">
        <v>1742</v>
      </c>
      <c r="G875" s="9" t="s">
        <v>11</v>
      </c>
      <c r="H875" s="9" t="s">
        <v>12</v>
      </c>
    </row>
    <row r="876" spans="1:8" x14ac:dyDescent="0.25">
      <c r="A876" t="s">
        <v>1743</v>
      </c>
      <c r="B876" s="14" cm="1">
        <f t="array" ref="B876">_xll.GetLatestPrice(F876,,G876)</f>
        <v>305</v>
      </c>
      <c r="C876" s="1" cm="1">
        <f t="array" ref="C876">_xll.GetLatestPrice(F876,"Actual","AssessmentDate")</f>
        <v>45826.645833333336</v>
      </c>
      <c r="D876">
        <f t="shared" si="26"/>
        <v>2025</v>
      </c>
      <c r="E876">
        <f t="shared" si="27"/>
        <v>6</v>
      </c>
      <c r="F876" s="9" t="s">
        <v>1744</v>
      </c>
      <c r="G876" s="9" t="s">
        <v>11</v>
      </c>
      <c r="H876" s="9" t="s">
        <v>12</v>
      </c>
    </row>
    <row r="877" spans="1:8" x14ac:dyDescent="0.25">
      <c r="A877" t="s">
        <v>1745</v>
      </c>
      <c r="B877" s="14" cm="1">
        <f t="array" ref="B877">_xll.GetLatestPrice(F877,,G877)</f>
        <v>315</v>
      </c>
      <c r="C877" s="1" cm="1">
        <f t="array" ref="C877">_xll.GetLatestPrice(F877,"Actual","AssessmentDate")</f>
        <v>45826.645833333336</v>
      </c>
      <c r="D877">
        <f t="shared" si="26"/>
        <v>2025</v>
      </c>
      <c r="E877">
        <f t="shared" si="27"/>
        <v>6</v>
      </c>
      <c r="F877" s="9" t="s">
        <v>1746</v>
      </c>
      <c r="G877" s="9" t="s">
        <v>11</v>
      </c>
      <c r="H877" s="9" t="s">
        <v>12</v>
      </c>
    </row>
    <row r="878" spans="1:8" x14ac:dyDescent="0.25">
      <c r="A878" t="s">
        <v>1747</v>
      </c>
      <c r="B878" s="14" cm="1">
        <f t="array" ref="B878">_xll.GetLatestPrice(F878,,G878)</f>
        <v>420</v>
      </c>
      <c r="C878" s="1" cm="1">
        <f t="array" ref="C878">_xll.GetLatestPrice(F878,"Actual","AssessmentDate")</f>
        <v>45826.645833333336</v>
      </c>
      <c r="D878">
        <f t="shared" si="26"/>
        <v>2025</v>
      </c>
      <c r="E878">
        <f t="shared" si="27"/>
        <v>6</v>
      </c>
      <c r="F878" s="9" t="s">
        <v>1748</v>
      </c>
      <c r="G878" s="9" t="s">
        <v>11</v>
      </c>
      <c r="H878" s="9" t="s">
        <v>12</v>
      </c>
    </row>
    <row r="879" spans="1:8" x14ac:dyDescent="0.25">
      <c r="A879" t="s">
        <v>1749</v>
      </c>
      <c r="B879" s="14" cm="1">
        <f t="array" ref="B879">_xll.GetLatestPrice(F879,,G879)</f>
        <v>445</v>
      </c>
      <c r="C879" s="1" cm="1">
        <f t="array" ref="C879">_xll.GetLatestPrice(F879,"Actual","AssessmentDate")</f>
        <v>45826.645833333336</v>
      </c>
      <c r="D879">
        <f t="shared" si="26"/>
        <v>2025</v>
      </c>
      <c r="E879">
        <f t="shared" si="27"/>
        <v>6</v>
      </c>
      <c r="F879" s="9" t="s">
        <v>1750</v>
      </c>
      <c r="G879" s="9" t="s">
        <v>11</v>
      </c>
      <c r="H879" s="9" t="s">
        <v>12</v>
      </c>
    </row>
    <row r="880" spans="1:8" x14ac:dyDescent="0.25">
      <c r="A880" t="s">
        <v>1751</v>
      </c>
      <c r="B880" s="14" cm="1">
        <f t="array" ref="B880">_xll.GetLatestPrice(F880,,G880)</f>
        <v>410</v>
      </c>
      <c r="C880" s="1" cm="1">
        <f t="array" ref="C880">_xll.GetLatestPrice(F880,"Actual","AssessmentDate")</f>
        <v>45826.649791666663</v>
      </c>
      <c r="D880">
        <f t="shared" si="26"/>
        <v>2025</v>
      </c>
      <c r="E880">
        <f t="shared" si="27"/>
        <v>6</v>
      </c>
      <c r="F880" s="9" t="s">
        <v>1752</v>
      </c>
      <c r="G880" s="9" t="s">
        <v>11</v>
      </c>
      <c r="H880" s="9" t="s">
        <v>12</v>
      </c>
    </row>
    <row r="881" spans="1:8" x14ac:dyDescent="0.25">
      <c r="A881" t="s">
        <v>1753</v>
      </c>
      <c r="B881" s="14" cm="1">
        <f t="array" ref="B881">_xll.GetLatestPrice(F881,,G881)</f>
        <v>1160</v>
      </c>
      <c r="C881" s="1" cm="1">
        <f t="array" ref="C881">_xll.GetLatestPrice(F881,"Actual","AssessmentDate")</f>
        <v>45826.645833333336</v>
      </c>
      <c r="D881">
        <f t="shared" si="26"/>
        <v>2025</v>
      </c>
      <c r="E881">
        <f t="shared" si="27"/>
        <v>6</v>
      </c>
      <c r="F881" s="9" t="s">
        <v>1754</v>
      </c>
      <c r="G881" s="9" t="s">
        <v>11</v>
      </c>
      <c r="H881" s="9" t="s">
        <v>12</v>
      </c>
    </row>
    <row r="882" spans="1:8" x14ac:dyDescent="0.25">
      <c r="A882" t="s">
        <v>1755</v>
      </c>
      <c r="B882" s="14" cm="1">
        <f t="array" ref="B882">_xll.GetLatestPrice(F882,,G882)</f>
        <v>1780</v>
      </c>
      <c r="C882" s="1" cm="1">
        <f t="array" ref="C882">_xll.GetLatestPrice(F882,"Actual","AssessmentDate")</f>
        <v>45826.645833333336</v>
      </c>
      <c r="D882">
        <f t="shared" si="26"/>
        <v>2025</v>
      </c>
      <c r="E882">
        <f t="shared" si="27"/>
        <v>6</v>
      </c>
      <c r="F882" s="9" t="s">
        <v>1756</v>
      </c>
      <c r="G882" s="9" t="s">
        <v>11</v>
      </c>
      <c r="H882" s="9" t="s">
        <v>12</v>
      </c>
    </row>
    <row r="883" spans="1:8" x14ac:dyDescent="0.25">
      <c r="A883" t="s">
        <v>1757</v>
      </c>
      <c r="B883" s="14" cm="1">
        <f t="array" ref="B883">_xll.GetLatestPrice(F883,,G883)</f>
        <v>2820</v>
      </c>
      <c r="C883" s="1" cm="1">
        <f t="array" ref="C883">_xll.GetLatestPrice(F883,"Actual","AssessmentDate")</f>
        <v>45826.645833333336</v>
      </c>
      <c r="D883">
        <f t="shared" si="26"/>
        <v>2025</v>
      </c>
      <c r="E883">
        <f t="shared" si="27"/>
        <v>6</v>
      </c>
      <c r="F883" s="9" t="s">
        <v>1758</v>
      </c>
      <c r="G883" s="9" t="s">
        <v>11</v>
      </c>
      <c r="H883" s="9" t="s">
        <v>12</v>
      </c>
    </row>
    <row r="884" spans="1:8" x14ac:dyDescent="0.25">
      <c r="A884" t="s">
        <v>1759</v>
      </c>
      <c r="B884" s="14" cm="1">
        <f t="array" ref="B884">_xll.GetLatestPrice(F884,,G884)</f>
        <v>2885</v>
      </c>
      <c r="C884" s="1" cm="1">
        <f t="array" ref="C884">_xll.GetLatestPrice(F884,"Actual","AssessmentDate")</f>
        <v>45826.645833333336</v>
      </c>
      <c r="D884">
        <f t="shared" si="26"/>
        <v>2025</v>
      </c>
      <c r="E884">
        <f t="shared" si="27"/>
        <v>6</v>
      </c>
      <c r="F884" s="9" t="s">
        <v>1760</v>
      </c>
      <c r="G884" s="9" t="s">
        <v>11</v>
      </c>
      <c r="H884" s="9" t="s">
        <v>12</v>
      </c>
    </row>
    <row r="885" spans="1:8" x14ac:dyDescent="0.25">
      <c r="A885" t="s">
        <v>1761</v>
      </c>
      <c r="B885" s="14" cm="1">
        <f t="array" ref="B885">_xll.GetLatestPrice(F885,,G885)</f>
        <v>3570</v>
      </c>
      <c r="C885" s="1" cm="1">
        <f t="array" ref="C885">_xll.GetLatestPrice(F885,"Actual","AssessmentDate")</f>
        <v>45826.645833333336</v>
      </c>
      <c r="D885">
        <f t="shared" si="26"/>
        <v>2025</v>
      </c>
      <c r="E885">
        <f t="shared" si="27"/>
        <v>6</v>
      </c>
      <c r="F885" s="9" t="s">
        <v>1762</v>
      </c>
      <c r="G885" s="9" t="s">
        <v>11</v>
      </c>
      <c r="H885" s="9" t="s">
        <v>12</v>
      </c>
    </row>
    <row r="886" spans="1:8" x14ac:dyDescent="0.25">
      <c r="A886" t="s">
        <v>1763</v>
      </c>
      <c r="B886" s="14" cm="1">
        <f t="array" ref="B886">_xll.GetLatestPrice(F886,,G886)</f>
        <v>395</v>
      </c>
      <c r="C886" s="1" cm="1">
        <f t="array" ref="C886">_xll.GetLatestPrice(F886,"Actual","AssessmentDate")</f>
        <v>45826.645833333336</v>
      </c>
      <c r="D886">
        <f t="shared" si="26"/>
        <v>2025</v>
      </c>
      <c r="E886">
        <f t="shared" si="27"/>
        <v>6</v>
      </c>
      <c r="F886" s="9" t="s">
        <v>1764</v>
      </c>
      <c r="G886" s="9" t="s">
        <v>11</v>
      </c>
      <c r="H886" s="9" t="s">
        <v>12</v>
      </c>
    </row>
    <row r="887" spans="1:8" x14ac:dyDescent="0.25">
      <c r="A887" t="s">
        <v>1765</v>
      </c>
      <c r="B887" s="14" cm="1">
        <f t="array" ref="B887">_xll.GetLatestPrice(F887,,G887)</f>
        <v>390</v>
      </c>
      <c r="C887" s="1" cm="1">
        <f t="array" ref="C887">_xll.GetLatestPrice(F887,"Actual","AssessmentDate")</f>
        <v>45826.645833333336</v>
      </c>
      <c r="D887">
        <f t="shared" si="26"/>
        <v>2025</v>
      </c>
      <c r="E887">
        <f t="shared" si="27"/>
        <v>6</v>
      </c>
      <c r="F887" s="9" t="s">
        <v>1766</v>
      </c>
      <c r="G887" s="9" t="s">
        <v>11</v>
      </c>
      <c r="H887" s="9" t="s">
        <v>12</v>
      </c>
    </row>
    <row r="888" spans="1:8" x14ac:dyDescent="0.25">
      <c r="A888" t="s">
        <v>1767</v>
      </c>
      <c r="B888" s="14" cm="1">
        <f t="array" ref="B888">_xll.GetLatestPrice(F888,,G888)</f>
        <v>380</v>
      </c>
      <c r="C888" s="1" cm="1">
        <f t="array" ref="C888">_xll.GetLatestPrice(F888,"Actual","AssessmentDate")</f>
        <v>45826.645833333336</v>
      </c>
      <c r="D888">
        <f t="shared" si="26"/>
        <v>2025</v>
      </c>
      <c r="E888">
        <f t="shared" si="27"/>
        <v>6</v>
      </c>
      <c r="F888" s="9" t="s">
        <v>1768</v>
      </c>
      <c r="G888" s="9" t="s">
        <v>11</v>
      </c>
      <c r="H888" s="9" t="s">
        <v>12</v>
      </c>
    </row>
    <row r="889" spans="1:8" x14ac:dyDescent="0.25">
      <c r="A889" t="s">
        <v>1769</v>
      </c>
      <c r="B889" s="14" cm="1">
        <f t="array" ref="B889">_xll.GetLatestPrice(F889,,G889)</f>
        <v>540</v>
      </c>
      <c r="C889" s="1" cm="1">
        <f t="array" ref="C889">_xll.GetLatestPrice(F889,"Actual","AssessmentDate")</f>
        <v>45826.648125</v>
      </c>
      <c r="D889">
        <f t="shared" si="26"/>
        <v>2025</v>
      </c>
      <c r="E889">
        <f t="shared" si="27"/>
        <v>6</v>
      </c>
      <c r="F889" s="9" t="s">
        <v>1770</v>
      </c>
      <c r="G889" s="9" t="s">
        <v>11</v>
      </c>
      <c r="H889" s="9" t="s">
        <v>12</v>
      </c>
    </row>
    <row r="890" spans="1:8" x14ac:dyDescent="0.25">
      <c r="A890" t="s">
        <v>1771</v>
      </c>
      <c r="B890" s="14" cm="1">
        <f t="array" ref="B890">_xll.GetLatestPrice(F890,,G890)</f>
        <v>501</v>
      </c>
      <c r="C890" s="1" cm="1">
        <f t="array" ref="C890">_xll.GetLatestPrice(F890,"Actual","AssessmentDate")</f>
        <v>45826.648125</v>
      </c>
      <c r="D890">
        <f t="shared" si="26"/>
        <v>2025</v>
      </c>
      <c r="E890">
        <f t="shared" si="27"/>
        <v>6</v>
      </c>
      <c r="F890" s="9" t="s">
        <v>1772</v>
      </c>
      <c r="G890" s="9" t="s">
        <v>11</v>
      </c>
      <c r="H890" s="9" t="s">
        <v>12</v>
      </c>
    </row>
    <row r="891" spans="1:8" x14ac:dyDescent="0.25">
      <c r="A891" t="s">
        <v>1773</v>
      </c>
      <c r="B891" s="14" cm="1">
        <f t="array" ref="B891">_xll.GetLatestPrice(F891,,G891)</f>
        <v>563</v>
      </c>
      <c r="C891" s="1" cm="1">
        <f t="array" ref="C891">_xll.GetLatestPrice(F891,"Actual","AssessmentDate")</f>
        <v>45826.648125</v>
      </c>
      <c r="D891">
        <f t="shared" si="26"/>
        <v>2025</v>
      </c>
      <c r="E891">
        <f t="shared" si="27"/>
        <v>6</v>
      </c>
      <c r="F891" s="9" t="s">
        <v>1774</v>
      </c>
      <c r="G891" s="9" t="s">
        <v>11</v>
      </c>
      <c r="H891" s="9" t="s">
        <v>12</v>
      </c>
    </row>
    <row r="892" spans="1:8" x14ac:dyDescent="0.25">
      <c r="A892" t="s">
        <v>1775</v>
      </c>
      <c r="B892" s="14" cm="1">
        <f t="array" ref="B892">_xll.GetLatestPrice(F892,,G892)</f>
        <v>525</v>
      </c>
      <c r="C892" s="1" cm="1">
        <f t="array" ref="C892">_xll.GetLatestPrice(F892,"Actual","AssessmentDate")</f>
        <v>45826.648125</v>
      </c>
      <c r="D892">
        <f t="shared" si="26"/>
        <v>2025</v>
      </c>
      <c r="E892">
        <f t="shared" si="27"/>
        <v>6</v>
      </c>
      <c r="F892" s="9" t="s">
        <v>1776</v>
      </c>
      <c r="G892" s="9" t="s">
        <v>11</v>
      </c>
      <c r="H892" s="9" t="s">
        <v>12</v>
      </c>
    </row>
    <row r="893" spans="1:8" x14ac:dyDescent="0.25">
      <c r="A893" t="s">
        <v>1777</v>
      </c>
      <c r="B893" s="14" cm="1">
        <f t="array" ref="B893">_xll.GetLatestPrice(F893,,G893)</f>
        <v>435</v>
      </c>
      <c r="C893" s="1" cm="1">
        <f t="array" ref="C893">_xll.GetLatestPrice(F893,"Actual","AssessmentDate")</f>
        <v>45826.645833333336</v>
      </c>
      <c r="D893">
        <f t="shared" si="26"/>
        <v>2025</v>
      </c>
      <c r="E893">
        <f t="shared" si="27"/>
        <v>6</v>
      </c>
      <c r="F893" s="9" t="s">
        <v>1778</v>
      </c>
      <c r="G893" s="9" t="s">
        <v>11</v>
      </c>
      <c r="H893" s="9" t="s">
        <v>12</v>
      </c>
    </row>
    <row r="894" spans="1:8" x14ac:dyDescent="0.25">
      <c r="A894" t="s">
        <v>1779</v>
      </c>
      <c r="B894" s="14" cm="1">
        <f t="array" ref="B894">_xll.GetLatestPrice(F894,,G894)</f>
        <v>450</v>
      </c>
      <c r="C894" s="1" cm="1">
        <f t="array" ref="C894">_xll.GetLatestPrice(F894,"Actual","AssessmentDate")</f>
        <v>45826.645833333336</v>
      </c>
      <c r="D894">
        <f t="shared" si="26"/>
        <v>2025</v>
      </c>
      <c r="E894">
        <f t="shared" si="27"/>
        <v>6</v>
      </c>
      <c r="F894" s="9" t="s">
        <v>1780</v>
      </c>
      <c r="G894" s="9" t="s">
        <v>11</v>
      </c>
      <c r="H894" s="9" t="s">
        <v>12</v>
      </c>
    </row>
    <row r="895" spans="1:8" x14ac:dyDescent="0.25">
      <c r="A895" t="s">
        <v>1781</v>
      </c>
      <c r="B895" s="14" cm="1">
        <f t="array" ref="B895">_xll.GetLatestPrice(F895,,G895)</f>
        <v>475</v>
      </c>
      <c r="C895" s="1" cm="1">
        <f t="array" ref="C895">_xll.GetLatestPrice(F895,"Actual","AssessmentDate")</f>
        <v>45826.645833333336</v>
      </c>
      <c r="D895">
        <f t="shared" si="26"/>
        <v>2025</v>
      </c>
      <c r="E895">
        <f t="shared" si="27"/>
        <v>6</v>
      </c>
      <c r="F895" s="9" t="s">
        <v>1782</v>
      </c>
      <c r="G895" s="9" t="s">
        <v>11</v>
      </c>
      <c r="H895" s="9" t="s">
        <v>12</v>
      </c>
    </row>
    <row r="896" spans="1:8" x14ac:dyDescent="0.25">
      <c r="A896" t="s">
        <v>1783</v>
      </c>
      <c r="B896" s="14" cm="1">
        <f t="array" ref="B896">_xll.GetLatestPrice(F896,,G896)</f>
        <v>490</v>
      </c>
      <c r="C896" s="1" cm="1">
        <f t="array" ref="C896">_xll.GetLatestPrice(F896,"Actual","AssessmentDate")</f>
        <v>45826.645833333336</v>
      </c>
      <c r="D896">
        <f t="shared" si="26"/>
        <v>2025</v>
      </c>
      <c r="E896">
        <f t="shared" si="27"/>
        <v>6</v>
      </c>
      <c r="F896" s="9" t="s">
        <v>1784</v>
      </c>
      <c r="G896" s="9" t="s">
        <v>11</v>
      </c>
      <c r="H896" s="9" t="s">
        <v>12</v>
      </c>
    </row>
    <row r="897" spans="1:8" x14ac:dyDescent="0.25">
      <c r="A897" t="s">
        <v>1785</v>
      </c>
      <c r="B897" s="14" cm="1">
        <f t="array" ref="B897">_xll.GetLatestPrice(F897,,G897)</f>
        <v>485</v>
      </c>
      <c r="C897" s="1" cm="1">
        <f t="array" ref="C897">_xll.GetLatestPrice(F897,"Actual","AssessmentDate")</f>
        <v>45826.645833333336</v>
      </c>
      <c r="D897">
        <f t="shared" si="26"/>
        <v>2025</v>
      </c>
      <c r="E897">
        <f t="shared" si="27"/>
        <v>6</v>
      </c>
      <c r="F897" s="9" t="s">
        <v>1786</v>
      </c>
      <c r="G897" s="9" t="s">
        <v>11</v>
      </c>
      <c r="H897" s="9" t="s">
        <v>12</v>
      </c>
    </row>
    <row r="898" spans="1:8" x14ac:dyDescent="0.25">
      <c r="A898" t="s">
        <v>1787</v>
      </c>
      <c r="B898" s="14" cm="1">
        <f t="array" ref="B898">_xll.GetLatestPrice(F898,,G898)</f>
        <v>660</v>
      </c>
      <c r="C898" s="1" cm="1">
        <f t="array" ref="C898">_xll.GetLatestPrice(F898,"Actual","AssessmentDate")</f>
        <v>45826.645833333336</v>
      </c>
      <c r="D898">
        <f t="shared" si="26"/>
        <v>2025</v>
      </c>
      <c r="E898">
        <f t="shared" si="27"/>
        <v>6</v>
      </c>
      <c r="F898" s="9" t="s">
        <v>1788</v>
      </c>
      <c r="G898" s="9" t="s">
        <v>11</v>
      </c>
      <c r="H898" s="9" t="s">
        <v>12</v>
      </c>
    </row>
    <row r="899" spans="1:8" x14ac:dyDescent="0.25">
      <c r="A899" t="s">
        <v>1789</v>
      </c>
      <c r="B899" s="14" cm="1">
        <f t="array" ref="B899">_xll.GetLatestPrice(F899,,G899)</f>
        <v>605</v>
      </c>
      <c r="C899" s="1" cm="1">
        <f t="array" ref="C899">_xll.GetLatestPrice(F899,"Actual","AssessmentDate")</f>
        <v>45826.645833333336</v>
      </c>
      <c r="D899">
        <f t="shared" ref="D899:D962" si="28">YEAR(C899)</f>
        <v>2025</v>
      </c>
      <c r="E899">
        <f t="shared" ref="E899:E962" si="29">MONTH(C899)</f>
        <v>6</v>
      </c>
      <c r="F899" s="9" t="s">
        <v>1790</v>
      </c>
      <c r="G899" s="9" t="s">
        <v>11</v>
      </c>
      <c r="H899" s="9" t="s">
        <v>12</v>
      </c>
    </row>
    <row r="900" spans="1:8" x14ac:dyDescent="0.25">
      <c r="A900" t="s">
        <v>1791</v>
      </c>
      <c r="B900" s="14" cm="1">
        <f t="array" ref="B900">_xll.GetLatestPrice(F900,,G900)</f>
        <v>570</v>
      </c>
      <c r="C900" s="1" cm="1">
        <f t="array" ref="C900">_xll.GetLatestPrice(F900,"Actual","AssessmentDate")</f>
        <v>45826.645833333336</v>
      </c>
      <c r="D900">
        <f t="shared" si="28"/>
        <v>2025</v>
      </c>
      <c r="E900">
        <f t="shared" si="29"/>
        <v>6</v>
      </c>
      <c r="F900" s="9" t="s">
        <v>1792</v>
      </c>
      <c r="G900" s="9" t="s">
        <v>11</v>
      </c>
      <c r="H900" s="9" t="s">
        <v>12</v>
      </c>
    </row>
    <row r="901" spans="1:8" x14ac:dyDescent="0.25">
      <c r="A901" t="s">
        <v>1793</v>
      </c>
      <c r="B901" s="14" cm="1">
        <f t="array" ref="B901">_xll.GetLatestPrice(F901,,G901)</f>
        <v>565</v>
      </c>
      <c r="C901" s="1" cm="1">
        <f t="array" ref="C901">_xll.GetLatestPrice(F901,"Actual","AssessmentDate")</f>
        <v>45826.645833333336</v>
      </c>
      <c r="D901">
        <f t="shared" si="28"/>
        <v>2025</v>
      </c>
      <c r="E901">
        <f t="shared" si="29"/>
        <v>6</v>
      </c>
      <c r="F901" s="9" t="s">
        <v>1794</v>
      </c>
      <c r="G901" s="9" t="s">
        <v>11</v>
      </c>
      <c r="H901" s="9" t="s">
        <v>12</v>
      </c>
    </row>
    <row r="902" spans="1:8" x14ac:dyDescent="0.25">
      <c r="A902" t="s">
        <v>1795</v>
      </c>
      <c r="B902" s="14" cm="1">
        <f t="array" ref="B902">_xll.GetLatestPrice(F902,,G902)</f>
        <v>465</v>
      </c>
      <c r="C902" s="1" cm="1">
        <f t="array" ref="C902">_xll.GetLatestPrice(F902,"Actual","AssessmentDate")</f>
        <v>45826.645833333336</v>
      </c>
      <c r="D902">
        <f t="shared" si="28"/>
        <v>2025</v>
      </c>
      <c r="E902">
        <f t="shared" si="29"/>
        <v>6</v>
      </c>
      <c r="F902" s="9" t="s">
        <v>1796</v>
      </c>
      <c r="G902" s="9" t="s">
        <v>11</v>
      </c>
      <c r="H902" s="9" t="s">
        <v>12</v>
      </c>
    </row>
    <row r="903" spans="1:8" x14ac:dyDescent="0.25">
      <c r="A903" t="s">
        <v>1797</v>
      </c>
      <c r="B903" s="14" cm="1">
        <f t="array" ref="B903">_xll.GetLatestPrice(F903,,G903)</f>
        <v>465</v>
      </c>
      <c r="C903" s="1" cm="1">
        <f t="array" ref="C903">_xll.GetLatestPrice(F903,"Actual","AssessmentDate")</f>
        <v>45826.645833333336</v>
      </c>
      <c r="D903">
        <f t="shared" si="28"/>
        <v>2025</v>
      </c>
      <c r="E903">
        <f t="shared" si="29"/>
        <v>6</v>
      </c>
      <c r="F903" s="9" t="s">
        <v>1798</v>
      </c>
      <c r="G903" s="9" t="s">
        <v>11</v>
      </c>
      <c r="H903" s="9" t="s">
        <v>12</v>
      </c>
    </row>
    <row r="904" spans="1:8" x14ac:dyDescent="0.25">
      <c r="A904" t="s">
        <v>1799</v>
      </c>
      <c r="B904" s="14" cm="1">
        <f t="array" ref="B904">_xll.GetLatestPrice(F904,,G904)</f>
        <v>465</v>
      </c>
      <c r="C904" s="1" cm="1">
        <f t="array" ref="C904">_xll.GetLatestPrice(F904,"Actual","AssessmentDate")</f>
        <v>45826.645833333336</v>
      </c>
      <c r="D904">
        <f t="shared" si="28"/>
        <v>2025</v>
      </c>
      <c r="E904">
        <f t="shared" si="29"/>
        <v>6</v>
      </c>
      <c r="F904" s="9" t="s">
        <v>1800</v>
      </c>
      <c r="G904" s="9" t="s">
        <v>11</v>
      </c>
      <c r="H904" s="9" t="s">
        <v>12</v>
      </c>
    </row>
    <row r="905" spans="1:8" x14ac:dyDescent="0.25">
      <c r="A905" t="s">
        <v>1801</v>
      </c>
      <c r="B905" s="14" cm="1">
        <f t="array" ref="B905">_xll.GetLatestPrice(F905,,G905)</f>
        <v>265</v>
      </c>
      <c r="C905" s="1" cm="1">
        <f t="array" ref="C905">_xll.GetLatestPrice(F905,"Actual","AssessmentDate")</f>
        <v>45826.645833333336</v>
      </c>
      <c r="D905">
        <f t="shared" si="28"/>
        <v>2025</v>
      </c>
      <c r="E905">
        <f t="shared" si="29"/>
        <v>6</v>
      </c>
      <c r="F905" s="9" t="s">
        <v>1802</v>
      </c>
      <c r="G905" s="9" t="s">
        <v>11</v>
      </c>
      <c r="H905" s="9" t="s">
        <v>12</v>
      </c>
    </row>
    <row r="906" spans="1:8" x14ac:dyDescent="0.25">
      <c r="A906" t="s">
        <v>1803</v>
      </c>
      <c r="B906" s="14" cm="1">
        <f t="array" ref="B906">_xll.GetLatestPrice(F906,,G906)</f>
        <v>250</v>
      </c>
      <c r="C906" s="1" cm="1">
        <f t="array" ref="C906">_xll.GetLatestPrice(F906,"Actual","AssessmentDate")</f>
        <v>45826.645833333336</v>
      </c>
      <c r="D906">
        <f t="shared" si="28"/>
        <v>2025</v>
      </c>
      <c r="E906">
        <f t="shared" si="29"/>
        <v>6</v>
      </c>
      <c r="F906" s="9" t="s">
        <v>1804</v>
      </c>
      <c r="G906" s="9" t="s">
        <v>11</v>
      </c>
      <c r="H906" s="9" t="s">
        <v>12</v>
      </c>
    </row>
    <row r="907" spans="1:8" x14ac:dyDescent="0.25">
      <c r="A907" t="s">
        <v>1805</v>
      </c>
      <c r="B907" s="14" cm="1">
        <f t="array" ref="B907">_xll.GetLatestPrice(F907,,G907)</f>
        <v>245</v>
      </c>
      <c r="C907" s="1" cm="1">
        <f t="array" ref="C907">_xll.GetLatestPrice(F907,"Actual","AssessmentDate")</f>
        <v>45826.645833333336</v>
      </c>
      <c r="D907">
        <f t="shared" si="28"/>
        <v>2025</v>
      </c>
      <c r="E907">
        <f t="shared" si="29"/>
        <v>6</v>
      </c>
      <c r="F907" s="9" t="s">
        <v>1806</v>
      </c>
      <c r="G907" s="9" t="s">
        <v>11</v>
      </c>
      <c r="H907" s="9" t="s">
        <v>12</v>
      </c>
    </row>
    <row r="908" spans="1:8" x14ac:dyDescent="0.25">
      <c r="A908" t="s">
        <v>1807</v>
      </c>
      <c r="B908" s="14" cm="1">
        <f t="array" ref="B908">_xll.GetLatestPrice(F908,,G908)</f>
        <v>240</v>
      </c>
      <c r="C908" s="1" cm="1">
        <f t="array" ref="C908">_xll.GetLatestPrice(F908,"Actual","AssessmentDate")</f>
        <v>45826.645833333336</v>
      </c>
      <c r="D908">
        <f t="shared" si="28"/>
        <v>2025</v>
      </c>
      <c r="E908">
        <f t="shared" si="29"/>
        <v>6</v>
      </c>
      <c r="F908" s="9" t="s">
        <v>1808</v>
      </c>
      <c r="G908" s="9" t="s">
        <v>11</v>
      </c>
      <c r="H908" s="9" t="s">
        <v>12</v>
      </c>
    </row>
    <row r="909" spans="1:8" x14ac:dyDescent="0.25">
      <c r="A909" t="s">
        <v>1809</v>
      </c>
      <c r="B909" s="14" cm="1">
        <f t="array" ref="B909">_xll.GetLatestPrice(F909,,G909)</f>
        <v>230</v>
      </c>
      <c r="C909" s="1" cm="1">
        <f t="array" ref="C909">_xll.GetLatestPrice(F909,"Actual","AssessmentDate")</f>
        <v>45826.645833333336</v>
      </c>
      <c r="D909">
        <f t="shared" si="28"/>
        <v>2025</v>
      </c>
      <c r="E909">
        <f t="shared" si="29"/>
        <v>6</v>
      </c>
      <c r="F909" s="9" t="s">
        <v>1810</v>
      </c>
      <c r="G909" s="9" t="s">
        <v>11</v>
      </c>
      <c r="H909" s="9" t="s">
        <v>12</v>
      </c>
    </row>
    <row r="910" spans="1:8" x14ac:dyDescent="0.25">
      <c r="A910" t="s">
        <v>1811</v>
      </c>
      <c r="B910" s="14" cm="1">
        <f t="array" ref="B910">_xll.GetLatestPrice(F910,,G910)</f>
        <v>585</v>
      </c>
      <c r="C910" s="1" cm="1">
        <f t="array" ref="C910">_xll.GetLatestPrice(F910,"Actual","AssessmentDate")</f>
        <v>45826.645833333336</v>
      </c>
      <c r="D910">
        <f t="shared" si="28"/>
        <v>2025</v>
      </c>
      <c r="E910">
        <f t="shared" si="29"/>
        <v>6</v>
      </c>
      <c r="F910" s="9" t="s">
        <v>1812</v>
      </c>
      <c r="G910" s="9" t="s">
        <v>11</v>
      </c>
      <c r="H910" s="9" t="s">
        <v>12</v>
      </c>
    </row>
    <row r="911" spans="1:8" x14ac:dyDescent="0.25">
      <c r="A911" t="s">
        <v>1813</v>
      </c>
      <c r="B911" s="14" cm="1">
        <f t="array" ref="B911">_xll.GetLatestPrice(F911,,G911)</f>
        <v>600</v>
      </c>
      <c r="C911" s="1" cm="1">
        <f t="array" ref="C911">_xll.GetLatestPrice(F911,"Actual","AssessmentDate")</f>
        <v>45826.645833333336</v>
      </c>
      <c r="D911">
        <f t="shared" si="28"/>
        <v>2025</v>
      </c>
      <c r="E911">
        <f t="shared" si="29"/>
        <v>6</v>
      </c>
      <c r="F911" s="9" t="s">
        <v>1814</v>
      </c>
      <c r="G911" s="9" t="s">
        <v>11</v>
      </c>
      <c r="H911" s="9" t="s">
        <v>12</v>
      </c>
    </row>
    <row r="912" spans="1:8" x14ac:dyDescent="0.25">
      <c r="A912" t="s">
        <v>1815</v>
      </c>
      <c r="B912" s="14" cm="1">
        <f t="array" ref="B912">_xll.GetLatestPrice(F912,,G912)</f>
        <v>585</v>
      </c>
      <c r="C912" s="1" cm="1">
        <f t="array" ref="C912">_xll.GetLatestPrice(F912,"Actual","AssessmentDate")</f>
        <v>45826.645833333336</v>
      </c>
      <c r="D912">
        <f t="shared" si="28"/>
        <v>2025</v>
      </c>
      <c r="E912">
        <f t="shared" si="29"/>
        <v>6</v>
      </c>
      <c r="F912" s="9" t="s">
        <v>1816</v>
      </c>
      <c r="G912" s="9" t="s">
        <v>11</v>
      </c>
      <c r="H912" s="9" t="s">
        <v>12</v>
      </c>
    </row>
    <row r="913" spans="1:8" x14ac:dyDescent="0.25">
      <c r="A913" t="s">
        <v>1817</v>
      </c>
      <c r="B913" s="14" cm="1">
        <f t="array" ref="B913">_xll.GetLatestPrice(F913,,G913)</f>
        <v>670</v>
      </c>
      <c r="C913" s="1" cm="1">
        <f t="array" ref="C913">_xll.GetLatestPrice(F913,"Actual","AssessmentDate")</f>
        <v>45826.645833333336</v>
      </c>
      <c r="D913">
        <f t="shared" si="28"/>
        <v>2025</v>
      </c>
      <c r="E913">
        <f t="shared" si="29"/>
        <v>6</v>
      </c>
      <c r="F913" s="9" t="s">
        <v>1818</v>
      </c>
      <c r="G913" s="9" t="s">
        <v>11</v>
      </c>
      <c r="H913" s="9" t="s">
        <v>12</v>
      </c>
    </row>
    <row r="914" spans="1:8" x14ac:dyDescent="0.25">
      <c r="A914" t="s">
        <v>1819</v>
      </c>
      <c r="B914" s="14" cm="1">
        <f t="array" ref="B914">_xll.GetLatestPrice(F914,,G914)</f>
        <v>520</v>
      </c>
      <c r="C914" s="1" cm="1">
        <f t="array" ref="C914">_xll.GetLatestPrice(F914,"Actual","AssessmentDate")</f>
        <v>45826.645833333336</v>
      </c>
      <c r="D914">
        <f t="shared" si="28"/>
        <v>2025</v>
      </c>
      <c r="E914">
        <f t="shared" si="29"/>
        <v>6</v>
      </c>
      <c r="F914" s="9" t="s">
        <v>1820</v>
      </c>
      <c r="G914" s="9" t="s">
        <v>11</v>
      </c>
      <c r="H914" s="9" t="s">
        <v>12</v>
      </c>
    </row>
    <row r="915" spans="1:8" x14ac:dyDescent="0.25">
      <c r="A915" t="s">
        <v>1821</v>
      </c>
      <c r="B915" s="14" cm="1">
        <f t="array" ref="B915">_xll.GetLatestPrice(F915,,G915)</f>
        <v>630</v>
      </c>
      <c r="C915" s="1" cm="1">
        <f t="array" ref="C915">_xll.GetLatestPrice(F915,"Actual","AssessmentDate")</f>
        <v>45826.645833333336</v>
      </c>
      <c r="D915">
        <f t="shared" si="28"/>
        <v>2025</v>
      </c>
      <c r="E915">
        <f t="shared" si="29"/>
        <v>6</v>
      </c>
      <c r="F915" s="9" t="s">
        <v>1822</v>
      </c>
      <c r="G915" s="9" t="s">
        <v>11</v>
      </c>
      <c r="H915" s="9" t="s">
        <v>12</v>
      </c>
    </row>
    <row r="916" spans="1:8" x14ac:dyDescent="0.25">
      <c r="A916" t="s">
        <v>1823</v>
      </c>
      <c r="B916" s="14" cm="1">
        <f t="array" ref="B916">_xll.GetLatestPrice(F916,,G916)</f>
        <v>555</v>
      </c>
      <c r="C916" s="1" cm="1">
        <f t="array" ref="C916">_xll.GetLatestPrice(F916,"Actual","AssessmentDate")</f>
        <v>45826.645833333336</v>
      </c>
      <c r="D916">
        <f t="shared" si="28"/>
        <v>2025</v>
      </c>
      <c r="E916">
        <f t="shared" si="29"/>
        <v>6</v>
      </c>
      <c r="F916" s="9" t="s">
        <v>1824</v>
      </c>
      <c r="G916" s="9" t="s">
        <v>11</v>
      </c>
      <c r="H916" s="9" t="s">
        <v>12</v>
      </c>
    </row>
    <row r="917" spans="1:8" x14ac:dyDescent="0.25">
      <c r="A917" t="s">
        <v>1825</v>
      </c>
      <c r="B917" s="14" cm="1">
        <f t="array" ref="B917">_xll.GetLatestPrice(F917,,G917)</f>
        <v>565</v>
      </c>
      <c r="C917" s="1" cm="1">
        <f t="array" ref="C917">_xll.GetLatestPrice(F917,"Actual","AssessmentDate")</f>
        <v>45826.645833333336</v>
      </c>
      <c r="D917">
        <f t="shared" si="28"/>
        <v>2025</v>
      </c>
      <c r="E917">
        <f t="shared" si="29"/>
        <v>6</v>
      </c>
      <c r="F917" s="9" t="s">
        <v>1826</v>
      </c>
      <c r="G917" s="9" t="s">
        <v>11</v>
      </c>
      <c r="H917" s="9" t="s">
        <v>12</v>
      </c>
    </row>
    <row r="918" spans="1:8" x14ac:dyDescent="0.25">
      <c r="A918" t="s">
        <v>1827</v>
      </c>
      <c r="B918" s="14" cm="1">
        <f t="array" ref="B918">_xll.GetLatestPrice(F918,,G918)</f>
        <v>655</v>
      </c>
      <c r="C918" s="1" cm="1">
        <f t="array" ref="C918">_xll.GetLatestPrice(F918,"Actual","AssessmentDate")</f>
        <v>45826.645833333336</v>
      </c>
      <c r="D918">
        <f t="shared" si="28"/>
        <v>2025</v>
      </c>
      <c r="E918">
        <f t="shared" si="29"/>
        <v>6</v>
      </c>
      <c r="F918" s="9" t="s">
        <v>1828</v>
      </c>
      <c r="G918" s="9" t="s">
        <v>11</v>
      </c>
      <c r="H918" s="9" t="s">
        <v>12</v>
      </c>
    </row>
    <row r="919" spans="1:8" x14ac:dyDescent="0.25">
      <c r="A919" t="s">
        <v>1829</v>
      </c>
      <c r="B919" s="14" cm="1">
        <f t="array" ref="B919">_xll.GetLatestPrice(F919,,G919)</f>
        <v>1900</v>
      </c>
      <c r="C919" s="1" cm="1">
        <f t="array" ref="C919">_xll.GetLatestPrice(F919,"Actual","AssessmentDate")</f>
        <v>45826.645833333336</v>
      </c>
      <c r="D919">
        <f t="shared" si="28"/>
        <v>2025</v>
      </c>
      <c r="E919">
        <f t="shared" si="29"/>
        <v>6</v>
      </c>
      <c r="F919" s="9" t="s">
        <v>1830</v>
      </c>
      <c r="G919" s="9" t="s">
        <v>11</v>
      </c>
      <c r="H919" s="9" t="s">
        <v>12</v>
      </c>
    </row>
    <row r="920" spans="1:8" x14ac:dyDescent="0.25">
      <c r="A920" t="s">
        <v>1831</v>
      </c>
      <c r="B920" s="14" cm="1">
        <f t="array" ref="B920">_xll.GetLatestPrice(F920,,G920)</f>
        <v>1800</v>
      </c>
      <c r="C920" s="1" cm="1">
        <f t="array" ref="C920">_xll.GetLatestPrice(F920,"Actual","AssessmentDate")</f>
        <v>45826.645833333336</v>
      </c>
      <c r="D920">
        <f t="shared" si="28"/>
        <v>2025</v>
      </c>
      <c r="E920">
        <f t="shared" si="29"/>
        <v>6</v>
      </c>
      <c r="F920" s="9" t="s">
        <v>1832</v>
      </c>
      <c r="G920" s="9" t="s">
        <v>11</v>
      </c>
      <c r="H920" s="9" t="s">
        <v>12</v>
      </c>
    </row>
    <row r="921" spans="1:8" x14ac:dyDescent="0.25">
      <c r="A921" t="s">
        <v>1833</v>
      </c>
      <c r="B921" s="14" cm="1">
        <f t="array" ref="B921">_xll.GetLatestPrice(F921,,G921)</f>
        <v>1600</v>
      </c>
      <c r="C921" s="1" cm="1">
        <f t="array" ref="C921">_xll.GetLatestPrice(F921,"Actual","AssessmentDate")</f>
        <v>45826.645833333336</v>
      </c>
      <c r="D921">
        <f t="shared" si="28"/>
        <v>2025</v>
      </c>
      <c r="E921">
        <f t="shared" si="29"/>
        <v>6</v>
      </c>
      <c r="F921" s="9" t="s">
        <v>1834</v>
      </c>
      <c r="G921" s="9" t="s">
        <v>11</v>
      </c>
      <c r="H921" s="9" t="s">
        <v>12</v>
      </c>
    </row>
    <row r="922" spans="1:8" x14ac:dyDescent="0.25">
      <c r="A922" t="s">
        <v>1835</v>
      </c>
      <c r="B922" s="14" cm="1">
        <f t="array" ref="B922">_xll.GetLatestPrice(F922,,G922)</f>
        <v>560</v>
      </c>
      <c r="C922" s="1" cm="1">
        <f t="array" ref="C922">_xll.GetLatestPrice(F922,"Actual","AssessmentDate")</f>
        <v>45826.645833333336</v>
      </c>
      <c r="D922">
        <f t="shared" si="28"/>
        <v>2025</v>
      </c>
      <c r="E922">
        <f t="shared" si="29"/>
        <v>6</v>
      </c>
      <c r="F922" s="9" t="s">
        <v>1836</v>
      </c>
      <c r="G922" s="9" t="s">
        <v>11</v>
      </c>
      <c r="H922" s="9" t="s">
        <v>12</v>
      </c>
    </row>
    <row r="923" spans="1:8" x14ac:dyDescent="0.25">
      <c r="A923" t="s">
        <v>1837</v>
      </c>
      <c r="B923" s="14" cm="1">
        <f t="array" ref="B923">_xll.GetLatestPrice(F923,,G923)</f>
        <v>615</v>
      </c>
      <c r="C923" s="1" cm="1">
        <f t="array" ref="C923">_xll.GetLatestPrice(F923,"Actual","AssessmentDate")</f>
        <v>45826.645833333336</v>
      </c>
      <c r="D923">
        <f t="shared" si="28"/>
        <v>2025</v>
      </c>
      <c r="E923">
        <f t="shared" si="29"/>
        <v>6</v>
      </c>
      <c r="F923" s="9" t="s">
        <v>1838</v>
      </c>
      <c r="G923" s="9" t="s">
        <v>11</v>
      </c>
      <c r="H923" s="9" t="s">
        <v>12</v>
      </c>
    </row>
    <row r="924" spans="1:8" x14ac:dyDescent="0.25">
      <c r="A924" t="s">
        <v>1839</v>
      </c>
      <c r="B924" s="14" cm="1">
        <f t="array" ref="B924">_xll.GetLatestPrice(F924,,G924)</f>
        <v>467</v>
      </c>
      <c r="C924" s="1" cm="1">
        <f t="array" ref="C924">_xll.GetLatestPrice(F924,"Actual","AssessmentDate")</f>
        <v>45826.645833333336</v>
      </c>
      <c r="D924">
        <f t="shared" si="28"/>
        <v>2025</v>
      </c>
      <c r="E924">
        <f t="shared" si="29"/>
        <v>6</v>
      </c>
      <c r="F924" s="9" t="s">
        <v>1840</v>
      </c>
      <c r="G924" s="9" t="s">
        <v>11</v>
      </c>
      <c r="H924" s="9" t="s">
        <v>12</v>
      </c>
    </row>
    <row r="925" spans="1:8" x14ac:dyDescent="0.25">
      <c r="A925" t="s">
        <v>1841</v>
      </c>
      <c r="B925" s="14" cm="1">
        <f t="array" ref="B925">_xll.GetLatestPrice(F925,,G925)</f>
        <v>420</v>
      </c>
      <c r="C925" s="1" cm="1">
        <f t="array" ref="C925">_xll.GetLatestPrice(F925,"Actual","AssessmentDate")</f>
        <v>45826.645833333336</v>
      </c>
      <c r="D925">
        <f t="shared" si="28"/>
        <v>2025</v>
      </c>
      <c r="E925">
        <f t="shared" si="29"/>
        <v>6</v>
      </c>
      <c r="F925" s="9" t="s">
        <v>1842</v>
      </c>
      <c r="G925" s="9" t="s">
        <v>11</v>
      </c>
      <c r="H925" s="9" t="s">
        <v>12</v>
      </c>
    </row>
    <row r="926" spans="1:8" x14ac:dyDescent="0.25">
      <c r="A926" t="s">
        <v>1843</v>
      </c>
      <c r="B926" s="14" cm="1">
        <f t="array" ref="B926">_xll.GetLatestPrice(F926,,G926)</f>
        <v>475</v>
      </c>
      <c r="C926" s="1" cm="1">
        <f t="array" ref="C926">_xll.GetLatestPrice(F926,"Actual","AssessmentDate")</f>
        <v>45826.645833333336</v>
      </c>
      <c r="D926">
        <f t="shared" si="28"/>
        <v>2025</v>
      </c>
      <c r="E926">
        <f t="shared" si="29"/>
        <v>6</v>
      </c>
      <c r="F926" s="9" t="s">
        <v>1844</v>
      </c>
      <c r="G926" s="9" t="s">
        <v>11</v>
      </c>
      <c r="H926" s="9" t="s">
        <v>12</v>
      </c>
    </row>
    <row r="927" spans="1:8" x14ac:dyDescent="0.25">
      <c r="A927" t="s">
        <v>1845</v>
      </c>
      <c r="B927" s="14" cm="1">
        <f t="array" ref="B927">_xll.GetLatestPrice(F927,,G927)</f>
        <v>475</v>
      </c>
      <c r="C927" s="1" cm="1">
        <f t="array" ref="C927">_xll.GetLatestPrice(F927,"Actual","AssessmentDate")</f>
        <v>45826.645833333336</v>
      </c>
      <c r="D927">
        <f t="shared" si="28"/>
        <v>2025</v>
      </c>
      <c r="E927">
        <f t="shared" si="29"/>
        <v>6</v>
      </c>
      <c r="F927" s="9" t="s">
        <v>1846</v>
      </c>
      <c r="G927" s="9" t="s">
        <v>11</v>
      </c>
      <c r="H927" s="9" t="s">
        <v>12</v>
      </c>
    </row>
    <row r="928" spans="1:8" x14ac:dyDescent="0.25">
      <c r="A928" t="s">
        <v>1847</v>
      </c>
      <c r="B928" s="14" cm="1">
        <f t="array" ref="B928">_xll.GetLatestPrice(F928,,G928)</f>
        <v>435</v>
      </c>
      <c r="C928" s="1" cm="1">
        <f t="array" ref="C928">_xll.GetLatestPrice(F928,"Actual","AssessmentDate")</f>
        <v>45826.645833333336</v>
      </c>
      <c r="D928">
        <f t="shared" si="28"/>
        <v>2025</v>
      </c>
      <c r="E928">
        <f t="shared" si="29"/>
        <v>6</v>
      </c>
      <c r="F928" s="9" t="s">
        <v>1848</v>
      </c>
      <c r="G928" s="9" t="s">
        <v>11</v>
      </c>
      <c r="H928" s="9" t="s">
        <v>12</v>
      </c>
    </row>
    <row r="929" spans="1:8" x14ac:dyDescent="0.25">
      <c r="A929" t="s">
        <v>1849</v>
      </c>
      <c r="B929" s="14" cm="1">
        <f t="array" ref="B929">_xll.GetLatestPrice(F929,,G929)</f>
        <v>480</v>
      </c>
      <c r="C929" s="1" cm="1">
        <f t="array" ref="C929">_xll.GetLatestPrice(F929,"Actual","AssessmentDate")</f>
        <v>45826.645833333336</v>
      </c>
      <c r="D929">
        <f t="shared" si="28"/>
        <v>2025</v>
      </c>
      <c r="E929">
        <f t="shared" si="29"/>
        <v>6</v>
      </c>
      <c r="F929" s="9" t="s">
        <v>1850</v>
      </c>
      <c r="G929" s="9" t="s">
        <v>11</v>
      </c>
      <c r="H929" s="9" t="s">
        <v>12</v>
      </c>
    </row>
    <row r="930" spans="1:8" x14ac:dyDescent="0.25">
      <c r="A930" t="s">
        <v>1851</v>
      </c>
      <c r="B930" s="14" cm="1">
        <f t="array" ref="B930">_xll.GetLatestPrice(F930,,G930)</f>
        <v>670</v>
      </c>
      <c r="C930" s="1" cm="1">
        <f t="array" ref="C930">_xll.GetLatestPrice(F930,"Actual","AssessmentDate")</f>
        <v>45826.645833333336</v>
      </c>
      <c r="D930">
        <f t="shared" si="28"/>
        <v>2025</v>
      </c>
      <c r="E930">
        <f t="shared" si="29"/>
        <v>6</v>
      </c>
      <c r="F930" s="9" t="s">
        <v>1852</v>
      </c>
      <c r="G930" s="9" t="s">
        <v>11</v>
      </c>
      <c r="H930" s="9" t="s">
        <v>12</v>
      </c>
    </row>
    <row r="931" spans="1:8" x14ac:dyDescent="0.25">
      <c r="A931" t="s">
        <v>1853</v>
      </c>
      <c r="B931" s="14" cm="1">
        <f t="array" ref="B931">_xll.GetLatestPrice(F931,,G931)</f>
        <v>640</v>
      </c>
      <c r="C931" s="1" cm="1">
        <f t="array" ref="C931">_xll.GetLatestPrice(F931,"Actual","AssessmentDate")</f>
        <v>45826.645833333336</v>
      </c>
      <c r="D931">
        <f t="shared" si="28"/>
        <v>2025</v>
      </c>
      <c r="E931">
        <f t="shared" si="29"/>
        <v>6</v>
      </c>
      <c r="F931" s="9" t="s">
        <v>1854</v>
      </c>
      <c r="G931" s="9" t="s">
        <v>11</v>
      </c>
      <c r="H931" s="9" t="s">
        <v>12</v>
      </c>
    </row>
    <row r="932" spans="1:8" x14ac:dyDescent="0.25">
      <c r="A932" t="s">
        <v>1855</v>
      </c>
      <c r="B932" s="14" cm="1">
        <f t="array" ref="B932">_xll.GetLatestPrice(F932,,G932)</f>
        <v>555</v>
      </c>
      <c r="C932" s="1" cm="1">
        <f t="array" ref="C932">_xll.GetLatestPrice(F932,"Actual","AssessmentDate")</f>
        <v>45826.645833333336</v>
      </c>
      <c r="D932">
        <f t="shared" si="28"/>
        <v>2025</v>
      </c>
      <c r="E932">
        <f t="shared" si="29"/>
        <v>6</v>
      </c>
      <c r="F932" s="9" t="s">
        <v>1856</v>
      </c>
      <c r="G932" s="9" t="s">
        <v>11</v>
      </c>
      <c r="H932" s="9" t="s">
        <v>12</v>
      </c>
    </row>
    <row r="933" spans="1:8" x14ac:dyDescent="0.25">
      <c r="A933" t="s">
        <v>1857</v>
      </c>
      <c r="B933" s="14" cm="1">
        <f t="array" ref="B933">_xll.GetLatestPrice(F933,,G933)</f>
        <v>470</v>
      </c>
      <c r="C933" s="1" cm="1">
        <f t="array" ref="C933">_xll.GetLatestPrice(F933,"Actual","AssessmentDate")</f>
        <v>45826.645833333336</v>
      </c>
      <c r="D933">
        <f t="shared" si="28"/>
        <v>2025</v>
      </c>
      <c r="E933">
        <f t="shared" si="29"/>
        <v>6</v>
      </c>
      <c r="F933" s="9" t="s">
        <v>1858</v>
      </c>
      <c r="G933" s="9" t="s">
        <v>11</v>
      </c>
      <c r="H933" s="9" t="s">
        <v>12</v>
      </c>
    </row>
    <row r="934" spans="1:8" x14ac:dyDescent="0.25">
      <c r="A934" t="s">
        <v>1859</v>
      </c>
      <c r="B934" s="14" cm="1">
        <f t="array" ref="B934">_xll.GetLatestPrice(F934,,G934)</f>
        <v>1060</v>
      </c>
      <c r="C934" s="1" cm="1">
        <f t="array" ref="C934">_xll.GetLatestPrice(F934,"Actual","AssessmentDate")</f>
        <v>45826.645833333336</v>
      </c>
      <c r="D934">
        <f t="shared" si="28"/>
        <v>2025</v>
      </c>
      <c r="E934">
        <f t="shared" si="29"/>
        <v>6</v>
      </c>
      <c r="F934" s="9" t="s">
        <v>1860</v>
      </c>
      <c r="G934" s="9" t="s">
        <v>11</v>
      </c>
      <c r="H934" s="9" t="s">
        <v>12</v>
      </c>
    </row>
    <row r="935" spans="1:8" x14ac:dyDescent="0.25">
      <c r="A935" t="s">
        <v>1861</v>
      </c>
      <c r="B935" s="14" cm="1">
        <f t="array" ref="B935">_xll.GetLatestPrice(F935,,G935)</f>
        <v>1050</v>
      </c>
      <c r="C935" s="1" cm="1">
        <f t="array" ref="C935">_xll.GetLatestPrice(F935,"Actual","AssessmentDate")</f>
        <v>45826.645833333336</v>
      </c>
      <c r="D935">
        <f t="shared" si="28"/>
        <v>2025</v>
      </c>
      <c r="E935">
        <f t="shared" si="29"/>
        <v>6</v>
      </c>
      <c r="F935" s="9" t="s">
        <v>1862</v>
      </c>
      <c r="G935" s="9" t="s">
        <v>11</v>
      </c>
      <c r="H935" s="9" t="s">
        <v>12</v>
      </c>
    </row>
    <row r="936" spans="1:8" x14ac:dyDescent="0.25">
      <c r="A936" t="s">
        <v>1863</v>
      </c>
      <c r="B936" s="14" cm="1">
        <f t="array" ref="B936">_xll.GetLatestPrice(F936,,G936)</f>
        <v>1150</v>
      </c>
      <c r="C936" s="1" cm="1">
        <f t="array" ref="C936">_xll.GetLatestPrice(F936,"Actual","AssessmentDate")</f>
        <v>45826.645833333336</v>
      </c>
      <c r="D936">
        <f t="shared" si="28"/>
        <v>2025</v>
      </c>
      <c r="E936">
        <f t="shared" si="29"/>
        <v>6</v>
      </c>
      <c r="F936" s="9" t="s">
        <v>1864</v>
      </c>
      <c r="G936" s="9" t="s">
        <v>11</v>
      </c>
      <c r="H936" s="9" t="s">
        <v>12</v>
      </c>
    </row>
    <row r="937" spans="1:8" x14ac:dyDescent="0.25">
      <c r="A937" t="s">
        <v>1865</v>
      </c>
      <c r="B937" s="14" cm="1">
        <f t="array" ref="B937">_xll.GetLatestPrice(F937,,G937)</f>
        <v>1090</v>
      </c>
      <c r="C937" s="1" cm="1">
        <f t="array" ref="C937">_xll.GetLatestPrice(F937,"Actual","AssessmentDate")</f>
        <v>45826.645833333336</v>
      </c>
      <c r="D937">
        <f t="shared" si="28"/>
        <v>2025</v>
      </c>
      <c r="E937">
        <f t="shared" si="29"/>
        <v>6</v>
      </c>
      <c r="F937" s="9" t="s">
        <v>1866</v>
      </c>
      <c r="G937" s="9" t="s">
        <v>11</v>
      </c>
      <c r="H937" s="9" t="s">
        <v>12</v>
      </c>
    </row>
    <row r="938" spans="1:8" x14ac:dyDescent="0.25">
      <c r="A938" t="s">
        <v>1867</v>
      </c>
      <c r="B938" s="14" cm="1">
        <f t="array" ref="B938">_xll.GetLatestPrice(F938,,G938)</f>
        <v>610</v>
      </c>
      <c r="C938" s="1" cm="1">
        <f t="array" ref="C938">_xll.GetLatestPrice(F938,"Actual","AssessmentDate")</f>
        <v>45826.645833333336</v>
      </c>
      <c r="D938">
        <f t="shared" si="28"/>
        <v>2025</v>
      </c>
      <c r="E938">
        <f t="shared" si="29"/>
        <v>6</v>
      </c>
      <c r="F938" s="9" t="s">
        <v>1868</v>
      </c>
      <c r="G938" s="9" t="s">
        <v>11</v>
      </c>
      <c r="H938" s="9" t="s">
        <v>12</v>
      </c>
    </row>
    <row r="939" spans="1:8" x14ac:dyDescent="0.25">
      <c r="A939" t="s">
        <v>1869</v>
      </c>
      <c r="B939" s="14" cm="1">
        <f t="array" ref="B939">_xll.GetLatestPrice(F939,,G939)</f>
        <v>635</v>
      </c>
      <c r="C939" s="1" cm="1">
        <f t="array" ref="C939">_xll.GetLatestPrice(F939,"Actual","AssessmentDate")</f>
        <v>45826.645833333336</v>
      </c>
      <c r="D939">
        <f t="shared" si="28"/>
        <v>2025</v>
      </c>
      <c r="E939">
        <f t="shared" si="29"/>
        <v>6</v>
      </c>
      <c r="F939" s="9" t="s">
        <v>1870</v>
      </c>
      <c r="G939" s="9" t="s">
        <v>11</v>
      </c>
      <c r="H939" s="9" t="s">
        <v>12</v>
      </c>
    </row>
    <row r="940" spans="1:8" x14ac:dyDescent="0.25">
      <c r="A940" t="s">
        <v>1871</v>
      </c>
      <c r="B940" s="14" cm="1">
        <f t="array" ref="B940">_xll.GetLatestPrice(F940,,G940)</f>
        <v>1275</v>
      </c>
      <c r="C940" s="1" cm="1">
        <f t="array" ref="C940">_xll.GetLatestPrice(F940,"Actual","AssessmentDate")</f>
        <v>45826.645833333336</v>
      </c>
      <c r="D940">
        <f t="shared" si="28"/>
        <v>2025</v>
      </c>
      <c r="E940">
        <f t="shared" si="29"/>
        <v>6</v>
      </c>
      <c r="F940" s="9" t="s">
        <v>1872</v>
      </c>
      <c r="G940" s="9" t="s">
        <v>11</v>
      </c>
      <c r="H940" s="9" t="s">
        <v>12</v>
      </c>
    </row>
    <row r="941" spans="1:8" x14ac:dyDescent="0.25">
      <c r="A941" t="s">
        <v>1873</v>
      </c>
      <c r="B941" s="14" cm="1">
        <f t="array" ref="B941">_xll.GetLatestPrice(F941,,G941)</f>
        <v>1255</v>
      </c>
      <c r="C941" s="1" cm="1">
        <f t="array" ref="C941">_xll.GetLatestPrice(F941,"Actual","AssessmentDate")</f>
        <v>45826.645833333336</v>
      </c>
      <c r="D941">
        <f t="shared" si="28"/>
        <v>2025</v>
      </c>
      <c r="E941">
        <f t="shared" si="29"/>
        <v>6</v>
      </c>
      <c r="F941" s="9" t="s">
        <v>1874</v>
      </c>
      <c r="G941" s="9" t="s">
        <v>11</v>
      </c>
      <c r="H941" s="9" t="s">
        <v>12</v>
      </c>
    </row>
    <row r="942" spans="1:8" x14ac:dyDescent="0.25">
      <c r="A942" t="s">
        <v>1875</v>
      </c>
      <c r="B942" s="14" cm="1">
        <f t="array" ref="B942">_xll.GetLatestPrice(F942,,G942)</f>
        <v>3025</v>
      </c>
      <c r="C942" s="1" cm="1">
        <f t="array" ref="C942">_xll.GetLatestPrice(F942,"Actual","AssessmentDate")</f>
        <v>45826.645833333336</v>
      </c>
      <c r="D942">
        <f t="shared" si="28"/>
        <v>2025</v>
      </c>
      <c r="E942">
        <f t="shared" si="29"/>
        <v>6</v>
      </c>
      <c r="F942" s="9" t="s">
        <v>1876</v>
      </c>
      <c r="G942" s="9" t="s">
        <v>11</v>
      </c>
      <c r="H942" s="9" t="s">
        <v>12</v>
      </c>
    </row>
    <row r="943" spans="1:8" x14ac:dyDescent="0.25">
      <c r="A943" t="s">
        <v>1877</v>
      </c>
      <c r="B943" s="14" cm="1">
        <f t="array" ref="B943">_xll.GetLatestPrice(F943,,G943)</f>
        <v>590</v>
      </c>
      <c r="C943" s="1" cm="1">
        <f t="array" ref="C943">_xll.GetLatestPrice(F943,"Actual","AssessmentDate")</f>
        <v>45826.645833333336</v>
      </c>
      <c r="D943">
        <f t="shared" si="28"/>
        <v>2025</v>
      </c>
      <c r="E943">
        <f t="shared" si="29"/>
        <v>6</v>
      </c>
      <c r="F943" s="9" t="s">
        <v>1878</v>
      </c>
      <c r="G943" s="9" t="s">
        <v>11</v>
      </c>
      <c r="H943" s="9" t="s">
        <v>12</v>
      </c>
    </row>
    <row r="944" spans="1:8" x14ac:dyDescent="0.25">
      <c r="A944" t="s">
        <v>1879</v>
      </c>
      <c r="B944" s="14" cm="1">
        <f t="array" ref="B944">_xll.GetLatestPrice(F944,,G944)</f>
        <v>565</v>
      </c>
      <c r="C944" s="1" cm="1">
        <f t="array" ref="C944">_xll.GetLatestPrice(F944,"Actual","AssessmentDate")</f>
        <v>45826.645833333336</v>
      </c>
      <c r="D944">
        <f t="shared" si="28"/>
        <v>2025</v>
      </c>
      <c r="E944">
        <f t="shared" si="29"/>
        <v>6</v>
      </c>
      <c r="F944" s="9" t="s">
        <v>1880</v>
      </c>
      <c r="G944" s="9" t="s">
        <v>11</v>
      </c>
      <c r="H944" s="9" t="s">
        <v>12</v>
      </c>
    </row>
    <row r="945" spans="1:8" x14ac:dyDescent="0.25">
      <c r="A945" t="s">
        <v>1881</v>
      </c>
      <c r="B945" s="14" cm="1">
        <f t="array" ref="B945">_xll.GetLatestPrice(F945,,G945)</f>
        <v>525</v>
      </c>
      <c r="C945" s="1" cm="1">
        <f t="array" ref="C945">_xll.GetLatestPrice(F945,"Actual","AssessmentDate")</f>
        <v>45826.645833333336</v>
      </c>
      <c r="D945">
        <f t="shared" si="28"/>
        <v>2025</v>
      </c>
      <c r="E945">
        <f t="shared" si="29"/>
        <v>6</v>
      </c>
      <c r="F945" s="9" t="s">
        <v>1882</v>
      </c>
      <c r="G945" s="9" t="s">
        <v>11</v>
      </c>
      <c r="H945" s="9" t="s">
        <v>12</v>
      </c>
    </row>
    <row r="946" spans="1:8" x14ac:dyDescent="0.25">
      <c r="A946" t="s">
        <v>1883</v>
      </c>
      <c r="B946" s="14" cm="1">
        <f t="array" ref="B946">_xll.GetLatestPrice(F946,,G946)</f>
        <v>585</v>
      </c>
      <c r="C946" s="1" cm="1">
        <f t="array" ref="C946">_xll.GetLatestPrice(F946,"Actual","AssessmentDate")</f>
        <v>45826.645833333336</v>
      </c>
      <c r="D946">
        <f t="shared" si="28"/>
        <v>2025</v>
      </c>
      <c r="E946">
        <f t="shared" si="29"/>
        <v>6</v>
      </c>
      <c r="F946" s="9" t="s">
        <v>1884</v>
      </c>
      <c r="G946" s="9" t="s">
        <v>11</v>
      </c>
      <c r="H946" s="9" t="s">
        <v>12</v>
      </c>
    </row>
    <row r="947" spans="1:8" x14ac:dyDescent="0.25">
      <c r="A947" t="s">
        <v>1885</v>
      </c>
      <c r="B947" s="14" cm="1">
        <f t="array" ref="B947">_xll.GetLatestPrice(F947,,G947)</f>
        <v>575</v>
      </c>
      <c r="C947" s="1" cm="1">
        <f t="array" ref="C947">_xll.GetLatestPrice(F947,"Actual","AssessmentDate")</f>
        <v>45826.645833333336</v>
      </c>
      <c r="D947">
        <f t="shared" si="28"/>
        <v>2025</v>
      </c>
      <c r="E947">
        <f t="shared" si="29"/>
        <v>6</v>
      </c>
      <c r="F947" s="9" t="s">
        <v>1886</v>
      </c>
      <c r="G947" s="9" t="s">
        <v>11</v>
      </c>
      <c r="H947" s="9" t="s">
        <v>12</v>
      </c>
    </row>
    <row r="948" spans="1:8" x14ac:dyDescent="0.25">
      <c r="A948" t="s">
        <v>1887</v>
      </c>
      <c r="B948" s="14" cm="1">
        <f t="array" ref="B948">_xll.GetLatestPrice(F948,,G948)</f>
        <v>520</v>
      </c>
      <c r="C948" s="1" cm="1">
        <f t="array" ref="C948">_xll.GetLatestPrice(F948,"Actual","AssessmentDate")</f>
        <v>45826.645833333336</v>
      </c>
      <c r="D948">
        <f t="shared" si="28"/>
        <v>2025</v>
      </c>
      <c r="E948">
        <f t="shared" si="29"/>
        <v>6</v>
      </c>
      <c r="F948" s="9" t="s">
        <v>1888</v>
      </c>
      <c r="G948" s="9" t="s">
        <v>11</v>
      </c>
      <c r="H948" s="9" t="s">
        <v>12</v>
      </c>
    </row>
    <row r="949" spans="1:8" x14ac:dyDescent="0.25">
      <c r="A949" t="s">
        <v>1889</v>
      </c>
      <c r="B949" s="14" cm="1">
        <f t="array" ref="B949">_xll.GetLatestPrice(F949,,G949)</f>
        <v>547</v>
      </c>
      <c r="C949" s="1" cm="1">
        <f t="array" ref="C949">_xll.GetLatestPrice(F949,"Actual","AssessmentDate")</f>
        <v>45826.648125</v>
      </c>
      <c r="D949">
        <f t="shared" si="28"/>
        <v>2025</v>
      </c>
      <c r="E949">
        <f t="shared" si="29"/>
        <v>6</v>
      </c>
      <c r="F949" s="9" t="s">
        <v>1890</v>
      </c>
      <c r="G949" s="9" t="s">
        <v>11</v>
      </c>
      <c r="H949" s="9" t="s">
        <v>12</v>
      </c>
    </row>
    <row r="950" spans="1:8" x14ac:dyDescent="0.25">
      <c r="A950" t="s">
        <v>1891</v>
      </c>
      <c r="B950" s="14" cm="1">
        <f t="array" ref="B950">_xll.GetLatestPrice(F950,,G950)</f>
        <v>570</v>
      </c>
      <c r="C950" s="1" cm="1">
        <f t="array" ref="C950">_xll.GetLatestPrice(F950,"Actual","AssessmentDate")</f>
        <v>45826.648125</v>
      </c>
      <c r="D950">
        <f t="shared" si="28"/>
        <v>2025</v>
      </c>
      <c r="E950">
        <f t="shared" si="29"/>
        <v>6</v>
      </c>
      <c r="F950" s="9" t="s">
        <v>1892</v>
      </c>
      <c r="G950" s="9" t="s">
        <v>11</v>
      </c>
      <c r="H950" s="9" t="s">
        <v>12</v>
      </c>
    </row>
    <row r="951" spans="1:8" x14ac:dyDescent="0.25">
      <c r="A951" t="s">
        <v>1893</v>
      </c>
      <c r="B951" s="14" cm="1">
        <f t="array" ref="B951">_xll.GetLatestPrice(F951,,G951)</f>
        <v>2400</v>
      </c>
      <c r="C951" s="1" cm="1">
        <f t="array" ref="C951">_xll.GetLatestPrice(F951,"Actual","AssessmentDate")</f>
        <v>45826.645833333336</v>
      </c>
      <c r="D951">
        <f t="shared" si="28"/>
        <v>2025</v>
      </c>
      <c r="E951">
        <f t="shared" si="29"/>
        <v>6</v>
      </c>
      <c r="F951" s="9" t="s">
        <v>1894</v>
      </c>
      <c r="G951" s="9" t="s">
        <v>11</v>
      </c>
      <c r="H951" s="9" t="s">
        <v>12</v>
      </c>
    </row>
    <row r="952" spans="1:8" x14ac:dyDescent="0.25">
      <c r="A952" t="s">
        <v>1895</v>
      </c>
      <c r="B952" s="14" cm="1">
        <f t="array" ref="B952">_xll.GetLatestPrice(F952,,G952)</f>
        <v>2300</v>
      </c>
      <c r="C952" s="1" cm="1">
        <f t="array" ref="C952">_xll.GetLatestPrice(F952,"Actual","AssessmentDate")</f>
        <v>45826.645833333336</v>
      </c>
      <c r="D952">
        <f t="shared" si="28"/>
        <v>2025</v>
      </c>
      <c r="E952">
        <f t="shared" si="29"/>
        <v>6</v>
      </c>
      <c r="F952" s="9" t="s">
        <v>1896</v>
      </c>
      <c r="G952" s="9" t="s">
        <v>11</v>
      </c>
      <c r="H952" s="9" t="s">
        <v>12</v>
      </c>
    </row>
    <row r="953" spans="1:8" x14ac:dyDescent="0.25">
      <c r="A953" t="s">
        <v>1897</v>
      </c>
      <c r="B953" s="14" cm="1">
        <f t="array" ref="B953">_xll.GetLatestPrice(F953,,G953)</f>
        <v>2300</v>
      </c>
      <c r="C953" s="1" cm="1">
        <f t="array" ref="C953">_xll.GetLatestPrice(F953,"Actual","AssessmentDate")</f>
        <v>45826.645833333336</v>
      </c>
      <c r="D953">
        <f t="shared" si="28"/>
        <v>2025</v>
      </c>
      <c r="E953">
        <f t="shared" si="29"/>
        <v>6</v>
      </c>
      <c r="F953" s="9" t="s">
        <v>1898</v>
      </c>
      <c r="G953" s="9" t="s">
        <v>11</v>
      </c>
      <c r="H953" s="9" t="s">
        <v>12</v>
      </c>
    </row>
    <row r="954" spans="1:8" x14ac:dyDescent="0.25">
      <c r="A954" t="s">
        <v>1899</v>
      </c>
      <c r="B954" s="14" cm="1">
        <f t="array" ref="B954">_xll.GetLatestPrice(F954,,G954)</f>
        <v>2300</v>
      </c>
      <c r="C954" s="1" cm="1">
        <f t="array" ref="C954">_xll.GetLatestPrice(F954,"Actual","AssessmentDate")</f>
        <v>45826.645833333336</v>
      </c>
      <c r="D954">
        <f t="shared" si="28"/>
        <v>2025</v>
      </c>
      <c r="E954">
        <f t="shared" si="29"/>
        <v>6</v>
      </c>
      <c r="F954" s="9" t="s">
        <v>1900</v>
      </c>
      <c r="G954" s="9" t="s">
        <v>11</v>
      </c>
      <c r="H954" s="9" t="s">
        <v>12</v>
      </c>
    </row>
    <row r="955" spans="1:8" x14ac:dyDescent="0.25">
      <c r="A955" t="s">
        <v>1901</v>
      </c>
      <c r="B955" s="14" cm="1">
        <f t="array" ref="B955">_xll.GetLatestPrice(F955,,G955)</f>
        <v>2300</v>
      </c>
      <c r="C955" s="1" cm="1">
        <f t="array" ref="C955">_xll.GetLatestPrice(F955,"Actual","AssessmentDate")</f>
        <v>45826.645833333336</v>
      </c>
      <c r="D955">
        <f t="shared" si="28"/>
        <v>2025</v>
      </c>
      <c r="E955">
        <f t="shared" si="29"/>
        <v>6</v>
      </c>
      <c r="F955" s="9" t="s">
        <v>1902</v>
      </c>
      <c r="G955" s="9" t="s">
        <v>11</v>
      </c>
      <c r="H955" s="9" t="s">
        <v>12</v>
      </c>
    </row>
    <row r="956" spans="1:8" x14ac:dyDescent="0.25">
      <c r="A956" t="s">
        <v>1903</v>
      </c>
      <c r="B956" s="14" cm="1">
        <f t="array" ref="B956">_xll.GetLatestPrice(F956,,G956)</f>
        <v>1900</v>
      </c>
      <c r="C956" s="1" cm="1">
        <f t="array" ref="C956">_xll.GetLatestPrice(F956,"Actual","AssessmentDate")</f>
        <v>45826.645833333336</v>
      </c>
      <c r="D956">
        <f t="shared" si="28"/>
        <v>2025</v>
      </c>
      <c r="E956">
        <f t="shared" si="29"/>
        <v>6</v>
      </c>
      <c r="F956" s="9" t="s">
        <v>1904</v>
      </c>
      <c r="G956" s="9" t="s">
        <v>11</v>
      </c>
      <c r="H956" s="9" t="s">
        <v>12</v>
      </c>
    </row>
    <row r="957" spans="1:8" x14ac:dyDescent="0.25">
      <c r="A957" t="s">
        <v>1905</v>
      </c>
      <c r="B957" s="14" cm="1">
        <f t="array" ref="B957">_xll.GetLatestPrice(F957,,G957)</f>
        <v>1700</v>
      </c>
      <c r="C957" s="1" cm="1">
        <f t="array" ref="C957">_xll.GetLatestPrice(F957,"Actual","AssessmentDate")</f>
        <v>45826.645833333336</v>
      </c>
      <c r="D957">
        <f t="shared" si="28"/>
        <v>2025</v>
      </c>
      <c r="E957">
        <f t="shared" si="29"/>
        <v>6</v>
      </c>
      <c r="F957" s="9" t="s">
        <v>1906</v>
      </c>
      <c r="G957" s="9" t="s">
        <v>11</v>
      </c>
      <c r="H957" s="9" t="s">
        <v>12</v>
      </c>
    </row>
    <row r="958" spans="1:8" x14ac:dyDescent="0.25">
      <c r="A958" t="s">
        <v>1907</v>
      </c>
      <c r="B958" s="14" cm="1">
        <f t="array" ref="B958">_xll.GetLatestPrice(F958,,G958)</f>
        <v>1700</v>
      </c>
      <c r="C958" s="1" cm="1">
        <f t="array" ref="C958">_xll.GetLatestPrice(F958,"Actual","AssessmentDate")</f>
        <v>45826.645833333336</v>
      </c>
      <c r="D958">
        <f t="shared" si="28"/>
        <v>2025</v>
      </c>
      <c r="E958">
        <f t="shared" si="29"/>
        <v>6</v>
      </c>
      <c r="F958" s="9" t="s">
        <v>1908</v>
      </c>
      <c r="G958" s="9" t="s">
        <v>11</v>
      </c>
      <c r="H958" s="9" t="s">
        <v>12</v>
      </c>
    </row>
    <row r="959" spans="1:8" x14ac:dyDescent="0.25">
      <c r="A959" t="s">
        <v>1909</v>
      </c>
      <c r="B959" s="14" cm="1">
        <f t="array" ref="B959">_xll.GetLatestPrice(F959,,G959)</f>
        <v>1700</v>
      </c>
      <c r="C959" s="1" cm="1">
        <f t="array" ref="C959">_xll.GetLatestPrice(F959,"Actual","AssessmentDate")</f>
        <v>45826.645833333336</v>
      </c>
      <c r="D959">
        <f t="shared" si="28"/>
        <v>2025</v>
      </c>
      <c r="E959">
        <f t="shared" si="29"/>
        <v>6</v>
      </c>
      <c r="F959" s="9" t="s">
        <v>1910</v>
      </c>
      <c r="G959" s="9" t="s">
        <v>11</v>
      </c>
      <c r="H959" s="9" t="s">
        <v>12</v>
      </c>
    </row>
    <row r="960" spans="1:8" x14ac:dyDescent="0.25">
      <c r="A960" t="s">
        <v>1911</v>
      </c>
      <c r="B960" s="14" cm="1">
        <f t="array" ref="B960">_xll.GetLatestPrice(F960,,G960)</f>
        <v>1700</v>
      </c>
      <c r="C960" s="1" cm="1">
        <f t="array" ref="C960">_xll.GetLatestPrice(F960,"Actual","AssessmentDate")</f>
        <v>45826.645833333336</v>
      </c>
      <c r="D960">
        <f t="shared" si="28"/>
        <v>2025</v>
      </c>
      <c r="E960">
        <f t="shared" si="29"/>
        <v>6</v>
      </c>
      <c r="F960" s="9" t="s">
        <v>1912</v>
      </c>
      <c r="G960" s="9" t="s">
        <v>11</v>
      </c>
      <c r="H960" s="9" t="s">
        <v>12</v>
      </c>
    </row>
    <row r="961" spans="1:8" x14ac:dyDescent="0.25">
      <c r="A961" t="s">
        <v>1913</v>
      </c>
      <c r="B961" s="14" cm="1">
        <f t="array" ref="B961">_xll.GetLatestPrice(F961,,G961)</f>
        <v>330</v>
      </c>
      <c r="C961" s="1" cm="1">
        <f t="array" ref="C961">_xll.GetLatestPrice(F961,"Actual","AssessmentDate")</f>
        <v>45826.645833333336</v>
      </c>
      <c r="D961">
        <f t="shared" si="28"/>
        <v>2025</v>
      </c>
      <c r="E961">
        <f t="shared" si="29"/>
        <v>6</v>
      </c>
      <c r="F961" s="9" t="s">
        <v>1914</v>
      </c>
      <c r="G961" s="9" t="s">
        <v>11</v>
      </c>
      <c r="H961" s="9" t="s">
        <v>12</v>
      </c>
    </row>
    <row r="962" spans="1:8" x14ac:dyDescent="0.25">
      <c r="A962" t="s">
        <v>1915</v>
      </c>
      <c r="B962" s="14" cm="1">
        <f t="array" ref="B962">_xll.GetLatestPrice(F962,,G962)</f>
        <v>225</v>
      </c>
      <c r="C962" s="1" cm="1">
        <f t="array" ref="C962">_xll.GetLatestPrice(F962,"Actual","AssessmentDate")</f>
        <v>45826.645833333336</v>
      </c>
      <c r="D962">
        <f t="shared" si="28"/>
        <v>2025</v>
      </c>
      <c r="E962">
        <f t="shared" si="29"/>
        <v>6</v>
      </c>
      <c r="F962" s="9" t="s">
        <v>1916</v>
      </c>
      <c r="G962" s="9" t="s">
        <v>11</v>
      </c>
      <c r="H962" s="9" t="s">
        <v>12</v>
      </c>
    </row>
    <row r="963" spans="1:8" x14ac:dyDescent="0.25">
      <c r="A963" t="s">
        <v>1917</v>
      </c>
      <c r="B963" s="14" cm="1">
        <f t="array" ref="B963">_xll.GetLatestPrice(F963,,G963)</f>
        <v>225</v>
      </c>
      <c r="C963" s="1" cm="1">
        <f t="array" ref="C963">_xll.GetLatestPrice(F963,"Actual","AssessmentDate")</f>
        <v>45826.645833333336</v>
      </c>
      <c r="D963">
        <f t="shared" ref="D963:D1026" si="30">YEAR(C963)</f>
        <v>2025</v>
      </c>
      <c r="E963">
        <f t="shared" ref="E963:E1026" si="31">MONTH(C963)</f>
        <v>6</v>
      </c>
      <c r="F963" s="9" t="s">
        <v>1918</v>
      </c>
      <c r="G963" s="9" t="s">
        <v>11</v>
      </c>
      <c r="H963" s="9" t="s">
        <v>12</v>
      </c>
    </row>
    <row r="964" spans="1:8" x14ac:dyDescent="0.25">
      <c r="A964" t="s">
        <v>1919</v>
      </c>
      <c r="B964" s="14" cm="1">
        <f t="array" ref="B964">_xll.GetLatestPrice(F964,,G964)</f>
        <v>225</v>
      </c>
      <c r="C964" s="1" cm="1">
        <f t="array" ref="C964">_xll.GetLatestPrice(F964,"Actual","AssessmentDate")</f>
        <v>45826.645833333336</v>
      </c>
      <c r="D964">
        <f t="shared" si="30"/>
        <v>2025</v>
      </c>
      <c r="E964">
        <f t="shared" si="31"/>
        <v>6</v>
      </c>
      <c r="F964" s="9" t="s">
        <v>1920</v>
      </c>
      <c r="G964" s="9" t="s">
        <v>11</v>
      </c>
      <c r="H964" s="9" t="s">
        <v>12</v>
      </c>
    </row>
    <row r="965" spans="1:8" x14ac:dyDescent="0.25">
      <c r="A965" t="s">
        <v>1921</v>
      </c>
      <c r="B965" s="14" cm="1">
        <f t="array" ref="B965">_xll.GetLatestPrice(F965,,G965)</f>
        <v>250</v>
      </c>
      <c r="C965" s="1" cm="1">
        <f t="array" ref="C965">_xll.GetLatestPrice(F965,"Actual","AssessmentDate")</f>
        <v>45826.645833333336</v>
      </c>
      <c r="D965">
        <f t="shared" si="30"/>
        <v>2025</v>
      </c>
      <c r="E965">
        <f t="shared" si="31"/>
        <v>6</v>
      </c>
      <c r="F965" s="9" t="s">
        <v>1922</v>
      </c>
      <c r="G965" s="9" t="s">
        <v>11</v>
      </c>
      <c r="H965" s="9" t="s">
        <v>12</v>
      </c>
    </row>
    <row r="966" spans="1:8" x14ac:dyDescent="0.25">
      <c r="A966" t="s">
        <v>1923</v>
      </c>
      <c r="B966" s="14" cm="1">
        <f t="array" ref="B966">_xll.GetLatestPrice(F966,,G966)</f>
        <v>585</v>
      </c>
      <c r="C966" s="1" cm="1">
        <f t="array" ref="C966">_xll.GetLatestPrice(F966,"Actual","AssessmentDate")</f>
        <v>45826.648125</v>
      </c>
      <c r="D966">
        <f t="shared" si="30"/>
        <v>2025</v>
      </c>
      <c r="E966">
        <f t="shared" si="31"/>
        <v>6</v>
      </c>
      <c r="F966" s="9" t="s">
        <v>1924</v>
      </c>
      <c r="G966" s="9" t="s">
        <v>11</v>
      </c>
      <c r="H966" s="9" t="s">
        <v>12</v>
      </c>
    </row>
    <row r="967" spans="1:8" x14ac:dyDescent="0.25">
      <c r="A967" t="s">
        <v>1925</v>
      </c>
      <c r="B967" s="14" cm="1">
        <f t="array" ref="B967">_xll.GetLatestPrice(F967,,G967)</f>
        <v>608</v>
      </c>
      <c r="C967" s="1" cm="1">
        <f t="array" ref="C967">_xll.GetLatestPrice(F967,"Actual","AssessmentDate")</f>
        <v>45826.648125</v>
      </c>
      <c r="D967">
        <f t="shared" si="30"/>
        <v>2025</v>
      </c>
      <c r="E967">
        <f t="shared" si="31"/>
        <v>6</v>
      </c>
      <c r="F967" s="9" t="s">
        <v>1926</v>
      </c>
      <c r="G967" s="9" t="s">
        <v>11</v>
      </c>
      <c r="H967" s="9" t="s">
        <v>12</v>
      </c>
    </row>
    <row r="968" spans="1:8" x14ac:dyDescent="0.25">
      <c r="A968" t="s">
        <v>1927</v>
      </c>
      <c r="B968" s="14" cm="1">
        <f t="array" ref="B968">_xll.GetLatestPrice(F968,,G968)</f>
        <v>1880</v>
      </c>
      <c r="C968" s="1" cm="1">
        <f t="array" ref="C968">_xll.GetLatestPrice(F968,"Actual","AssessmentDate")</f>
        <v>45826.645833333336</v>
      </c>
      <c r="D968">
        <f t="shared" si="30"/>
        <v>2025</v>
      </c>
      <c r="E968">
        <f t="shared" si="31"/>
        <v>6</v>
      </c>
      <c r="F968" s="9" t="s">
        <v>1928</v>
      </c>
      <c r="G968" s="9" t="s">
        <v>11</v>
      </c>
      <c r="H968" s="9" t="s">
        <v>12</v>
      </c>
    </row>
    <row r="969" spans="1:8" x14ac:dyDescent="0.25">
      <c r="A969" t="s">
        <v>1929</v>
      </c>
      <c r="B969" s="14" cm="1">
        <f t="array" ref="B969">_xll.GetLatestPrice(F969,,G969)</f>
        <v>1840</v>
      </c>
      <c r="C969" s="1" cm="1">
        <f t="array" ref="C969">_xll.GetLatestPrice(F969,"Actual","AssessmentDate")</f>
        <v>45826.645833333336</v>
      </c>
      <c r="D969">
        <f t="shared" si="30"/>
        <v>2025</v>
      </c>
      <c r="E969">
        <f t="shared" si="31"/>
        <v>6</v>
      </c>
      <c r="F969" s="9" t="s">
        <v>1930</v>
      </c>
      <c r="G969" s="9" t="s">
        <v>11</v>
      </c>
      <c r="H969" s="9" t="s">
        <v>12</v>
      </c>
    </row>
    <row r="970" spans="1:8" x14ac:dyDescent="0.25">
      <c r="A970" t="s">
        <v>1931</v>
      </c>
      <c r="B970" s="14" cm="1">
        <f t="array" ref="B970">_xll.GetLatestPrice(F970,,G970)</f>
        <v>1620</v>
      </c>
      <c r="C970" s="1" cm="1">
        <f t="array" ref="C970">_xll.GetLatestPrice(F970,"Actual","AssessmentDate")</f>
        <v>45826.645833333336</v>
      </c>
      <c r="D970">
        <f t="shared" si="30"/>
        <v>2025</v>
      </c>
      <c r="E970">
        <f t="shared" si="31"/>
        <v>6</v>
      </c>
      <c r="F970" s="9" t="s">
        <v>1932</v>
      </c>
      <c r="G970" s="9" t="s">
        <v>11</v>
      </c>
      <c r="H970" s="9" t="s">
        <v>12</v>
      </c>
    </row>
    <row r="971" spans="1:8" x14ac:dyDescent="0.25">
      <c r="A971" t="s">
        <v>1933</v>
      </c>
      <c r="B971" s="14" cm="1">
        <f t="array" ref="B971">_xll.GetLatestPrice(F971,,G971)</f>
        <v>560</v>
      </c>
      <c r="C971" s="1" cm="1">
        <f t="array" ref="C971">_xll.GetLatestPrice(F971,"Actual","AssessmentDate")</f>
        <v>45826.645833333336</v>
      </c>
      <c r="D971">
        <f t="shared" si="30"/>
        <v>2025</v>
      </c>
      <c r="E971">
        <f t="shared" si="31"/>
        <v>6</v>
      </c>
      <c r="F971" s="9" t="s">
        <v>1934</v>
      </c>
      <c r="G971" s="9" t="s">
        <v>11</v>
      </c>
      <c r="H971" s="9" t="s">
        <v>12</v>
      </c>
    </row>
    <row r="972" spans="1:8" x14ac:dyDescent="0.25">
      <c r="A972" t="s">
        <v>1935</v>
      </c>
      <c r="B972" s="14" cm="1">
        <f t="array" ref="B972">_xll.GetLatestPrice(F972,,G972)</f>
        <v>1785</v>
      </c>
      <c r="C972" s="1" cm="1">
        <f t="array" ref="C972">_xll.GetLatestPrice(F972,"Actual","AssessmentDate")</f>
        <v>45826.645833333336</v>
      </c>
      <c r="D972">
        <f t="shared" si="30"/>
        <v>2025</v>
      </c>
      <c r="E972">
        <f t="shared" si="31"/>
        <v>6</v>
      </c>
      <c r="F972" s="9" t="s">
        <v>1936</v>
      </c>
      <c r="G972" s="9" t="s">
        <v>11</v>
      </c>
      <c r="H972" s="9" t="s">
        <v>12</v>
      </c>
    </row>
    <row r="973" spans="1:8" x14ac:dyDescent="0.25">
      <c r="A973" t="s">
        <v>1937</v>
      </c>
      <c r="B973" s="14" cm="1">
        <f t="array" ref="B973">_xll.GetLatestPrice(F973,,G973)</f>
        <v>1840</v>
      </c>
      <c r="C973" s="1" cm="1">
        <f t="array" ref="C973">_xll.GetLatestPrice(F973,"Actual","AssessmentDate")</f>
        <v>45826.645833333336</v>
      </c>
      <c r="D973">
        <f t="shared" si="30"/>
        <v>2025</v>
      </c>
      <c r="E973">
        <f t="shared" si="31"/>
        <v>6</v>
      </c>
      <c r="F973" s="9" t="s">
        <v>1938</v>
      </c>
      <c r="G973" s="9" t="s">
        <v>11</v>
      </c>
      <c r="H973" s="9" t="s">
        <v>12</v>
      </c>
    </row>
    <row r="974" spans="1:8" x14ac:dyDescent="0.25">
      <c r="A974" t="s">
        <v>1939</v>
      </c>
      <c r="B974" s="14" cm="1">
        <f t="array" ref="B974">_xll.GetLatestPrice(F974,,G974)</f>
        <v>2540</v>
      </c>
      <c r="C974" s="1" cm="1">
        <f t="array" ref="C974">_xll.GetLatestPrice(F974,"Actual","AssessmentDate")</f>
        <v>45826.645833333336</v>
      </c>
      <c r="D974">
        <f t="shared" si="30"/>
        <v>2025</v>
      </c>
      <c r="E974">
        <f t="shared" si="31"/>
        <v>6</v>
      </c>
      <c r="F974" s="9" t="s">
        <v>1940</v>
      </c>
      <c r="G974" s="9" t="s">
        <v>11</v>
      </c>
      <c r="H974" s="9" t="s">
        <v>12</v>
      </c>
    </row>
    <row r="975" spans="1:8" x14ac:dyDescent="0.25">
      <c r="A975" t="s">
        <v>1941</v>
      </c>
      <c r="B975" s="14" cm="1">
        <f t="array" ref="B975">_xll.GetLatestPrice(F975,,G975)</f>
        <v>2805</v>
      </c>
      <c r="C975" s="1" cm="1">
        <f t="array" ref="C975">_xll.GetLatestPrice(F975,"Actual","AssessmentDate")</f>
        <v>45826.645833333336</v>
      </c>
      <c r="D975">
        <f t="shared" si="30"/>
        <v>2025</v>
      </c>
      <c r="E975">
        <f t="shared" si="31"/>
        <v>6</v>
      </c>
      <c r="F975" s="9" t="s">
        <v>1942</v>
      </c>
      <c r="G975" s="9" t="s">
        <v>11</v>
      </c>
      <c r="H975" s="9" t="s">
        <v>12</v>
      </c>
    </row>
    <row r="976" spans="1:8" x14ac:dyDescent="0.25">
      <c r="A976" t="s">
        <v>1943</v>
      </c>
      <c r="B976" s="14" cm="1">
        <f t="array" ref="B976">_xll.GetLatestPrice(F976,,G976)</f>
        <v>3110</v>
      </c>
      <c r="C976" s="1" cm="1">
        <f t="array" ref="C976">_xll.GetLatestPrice(F976,"Actual","AssessmentDate")</f>
        <v>45826.645833333336</v>
      </c>
      <c r="D976">
        <f t="shared" si="30"/>
        <v>2025</v>
      </c>
      <c r="E976">
        <f t="shared" si="31"/>
        <v>6</v>
      </c>
      <c r="F976" s="9" t="s">
        <v>1944</v>
      </c>
      <c r="G976" s="9" t="s">
        <v>11</v>
      </c>
      <c r="H976" s="9" t="s">
        <v>12</v>
      </c>
    </row>
    <row r="977" spans="1:9" x14ac:dyDescent="0.25">
      <c r="A977" t="s">
        <v>1945</v>
      </c>
      <c r="B977" s="14" cm="1">
        <f t="array" ref="B977">_xll.GetLatestPrice(F977,,G977)</f>
        <v>2885</v>
      </c>
      <c r="C977" s="1" cm="1">
        <f t="array" ref="C977">_xll.GetLatestPrice(F977,"Actual","AssessmentDate")</f>
        <v>45826.645833333336</v>
      </c>
      <c r="D977">
        <f t="shared" si="30"/>
        <v>2025</v>
      </c>
      <c r="E977">
        <f t="shared" si="31"/>
        <v>6</v>
      </c>
      <c r="F977" s="9" t="s">
        <v>1946</v>
      </c>
      <c r="G977" s="9" t="s">
        <v>11</v>
      </c>
      <c r="H977" s="9" t="s">
        <v>12</v>
      </c>
    </row>
    <row r="978" spans="1:9" x14ac:dyDescent="0.25">
      <c r="A978" t="s">
        <v>1947</v>
      </c>
      <c r="B978" s="14" cm="1">
        <f t="array" ref="B978">_xll.GetLatestPrice(F978,,G978)</f>
        <v>2735</v>
      </c>
      <c r="C978" s="1" cm="1">
        <f t="array" ref="C978">_xll.GetLatestPrice(F978,"Actual","AssessmentDate")</f>
        <v>45826.645833333336</v>
      </c>
      <c r="D978">
        <f t="shared" si="30"/>
        <v>2025</v>
      </c>
      <c r="E978">
        <f t="shared" si="31"/>
        <v>6</v>
      </c>
      <c r="F978" s="9" t="s">
        <v>1948</v>
      </c>
      <c r="G978" s="9" t="s">
        <v>11</v>
      </c>
      <c r="H978" s="9" t="s">
        <v>12</v>
      </c>
    </row>
    <row r="979" spans="1:9" x14ac:dyDescent="0.25">
      <c r="A979" t="s">
        <v>1949</v>
      </c>
      <c r="B979" s="14" cm="1">
        <f t="array" ref="B979">_xll.GetLatestPrice(F979,,G979)</f>
        <v>2770</v>
      </c>
      <c r="C979" s="1" cm="1">
        <f t="array" ref="C979">_xll.GetLatestPrice(F979,"Actual","AssessmentDate")</f>
        <v>45826.645833333336</v>
      </c>
      <c r="D979">
        <f t="shared" si="30"/>
        <v>2025</v>
      </c>
      <c r="E979">
        <f t="shared" si="31"/>
        <v>6</v>
      </c>
      <c r="F979" s="9" t="s">
        <v>1950</v>
      </c>
      <c r="G979" s="9" t="s">
        <v>11</v>
      </c>
      <c r="H979" s="9" t="s">
        <v>12</v>
      </c>
    </row>
    <row r="980" spans="1:9" x14ac:dyDescent="0.25">
      <c r="A980" t="s">
        <v>1951</v>
      </c>
      <c r="B980" s="14" cm="1">
        <f t="array" ref="B980">_xll.GetLatestPrice(F980,,G980)</f>
        <v>3030</v>
      </c>
      <c r="C980" s="1" cm="1">
        <f t="array" ref="C980">_xll.GetLatestPrice(F980,"Actual","AssessmentDate")</f>
        <v>45826.645833333336</v>
      </c>
      <c r="D980">
        <f t="shared" si="30"/>
        <v>2025</v>
      </c>
      <c r="E980">
        <f t="shared" si="31"/>
        <v>6</v>
      </c>
      <c r="F980" s="9" t="s">
        <v>1952</v>
      </c>
      <c r="G980" s="9" t="s">
        <v>11</v>
      </c>
      <c r="H980" s="9" t="s">
        <v>12</v>
      </c>
    </row>
    <row r="981" spans="1:9" x14ac:dyDescent="0.25">
      <c r="A981" t="s">
        <v>1953</v>
      </c>
      <c r="B981" s="14" cm="1">
        <f t="array" ref="B981">_xll.GetLatestPrice(F981,,G981)</f>
        <v>3530</v>
      </c>
      <c r="C981" s="1" cm="1">
        <f t="array" ref="C981">_xll.GetLatestPrice(F981,"Actual","AssessmentDate")</f>
        <v>45826.645833333336</v>
      </c>
      <c r="D981">
        <f t="shared" si="30"/>
        <v>2025</v>
      </c>
      <c r="E981">
        <f t="shared" si="31"/>
        <v>6</v>
      </c>
      <c r="F981" s="9" t="s">
        <v>1954</v>
      </c>
      <c r="G981" s="9" t="s">
        <v>11</v>
      </c>
      <c r="H981" s="9" t="s">
        <v>12</v>
      </c>
    </row>
    <row r="982" spans="1:9" x14ac:dyDescent="0.25">
      <c r="A982" t="s">
        <v>1955</v>
      </c>
      <c r="B982" s="14" cm="1">
        <f t="array" ref="B982">_xll.GetLatestPrice(F982,,G982)</f>
        <v>3630</v>
      </c>
      <c r="C982" s="1" cm="1">
        <f t="array" ref="C982">_xll.GetLatestPrice(F982,"Actual","AssessmentDate")</f>
        <v>45826.645833333336</v>
      </c>
      <c r="D982">
        <f t="shared" si="30"/>
        <v>2025</v>
      </c>
      <c r="E982">
        <f t="shared" si="31"/>
        <v>6</v>
      </c>
      <c r="F982" s="9" t="s">
        <v>1956</v>
      </c>
      <c r="G982" s="9" t="s">
        <v>11</v>
      </c>
      <c r="H982" s="9" t="s">
        <v>12</v>
      </c>
    </row>
    <row r="983" spans="1:9" x14ac:dyDescent="0.25">
      <c r="A983" t="s">
        <v>1957</v>
      </c>
      <c r="B983" s="14" cm="1">
        <f t="array" ref="B983">_xll.GetLatestPrice(F983,,G983)</f>
        <v>424</v>
      </c>
      <c r="C983" s="1" cm="1">
        <f t="array" ref="C983">_xll.GetLatestPrice(F983,"Actual","AssessmentDate")</f>
        <v>45826.652615740742</v>
      </c>
      <c r="D983">
        <f t="shared" si="30"/>
        <v>2025</v>
      </c>
      <c r="E983">
        <f t="shared" si="31"/>
        <v>6</v>
      </c>
      <c r="F983" s="9" t="s">
        <v>1958</v>
      </c>
      <c r="G983" s="9" t="s">
        <v>11</v>
      </c>
      <c r="H983" s="9" t="s">
        <v>12</v>
      </c>
    </row>
    <row r="984" spans="1:9" ht="19.5" customHeight="1" x14ac:dyDescent="0.25">
      <c r="A984" t="s">
        <v>1959</v>
      </c>
      <c r="B984" s="14" cm="1">
        <f t="array" ref="B984">_xll.GetPrice(F984,,G984,_xll.GetPrice(F984,"Actual","AssessmentDate",C984-5))</f>
        <v>428</v>
      </c>
      <c r="C984" s="1" cm="1">
        <f t="array" ref="C984">_xll.GetLatestPrice(F984,"Actual","AssessmentDate")</f>
        <v>45826.652615740742</v>
      </c>
      <c r="D984">
        <f t="shared" si="30"/>
        <v>2025</v>
      </c>
      <c r="E984">
        <f t="shared" si="31"/>
        <v>6</v>
      </c>
      <c r="F984" s="9" t="s">
        <v>1958</v>
      </c>
      <c r="G984" s="9" t="s">
        <v>11</v>
      </c>
      <c r="H984" s="9" t="s">
        <v>1960</v>
      </c>
      <c r="I984" s="1" cm="1">
        <f t="array" ref="I984">_xll.GetPrice(F984,"Actual","AssessmentDate",C984-5)</f>
        <v>45820.651226851849</v>
      </c>
    </row>
    <row r="985" spans="1:9" x14ac:dyDescent="0.25">
      <c r="A985" t="s">
        <v>1961</v>
      </c>
      <c r="B985" s="14" cm="1">
        <f t="array" ref="B985">_xll.GetPrice(F985,,G985,_xll.GetPrice(F985,"Actual","AssessmentDate",IF(_xll.GetPrice(F985,"Actual","PreliminaryPrice",EDATE(C985,-12)),_xll.GetPrice(F985,"Actual","AssessmentDate",EDATE(C985,-12))-1,_xll.GetPrice(F985,"Actual","AssessmentDate",EDATE(C985,-12)))))</f>
        <v>380</v>
      </c>
      <c r="C985" s="1" cm="1">
        <f t="array" ref="C985">_xll.GetLatestPrice(F985,"Actual","AssessmentDate")</f>
        <v>45826.652615740742</v>
      </c>
      <c r="D985">
        <f t="shared" si="30"/>
        <v>2025</v>
      </c>
      <c r="E985">
        <f t="shared" si="31"/>
        <v>6</v>
      </c>
      <c r="F985" s="9" t="s">
        <v>1958</v>
      </c>
      <c r="G985" s="9" t="s">
        <v>11</v>
      </c>
      <c r="H985" s="9" t="s">
        <v>1962</v>
      </c>
      <c r="I985" s="1" cm="1">
        <f t="array" ref="I985">_xll.GetPrice(F985,"Actual","AssessmentDate",IF(_xll.GetPrice(F985,"Actual","PreliminaryPrice",EDATE(C985,-12)),_xll.GetPrice(F985,"Actual","AssessmentDate",EDATE(C985,-12))-1,_xll.GetPrice(F985,"Actual","AssessmentDate",EDATE(C985,-12))))</f>
        <v>45456.654918981483</v>
      </c>
    </row>
    <row r="986" spans="1:9" x14ac:dyDescent="0.25">
      <c r="A986" t="s">
        <v>1963</v>
      </c>
      <c r="B986" s="14" cm="1">
        <f t="array" ref="B986">_xll.GetLatestPrice(F986,,G986)</f>
        <v>473</v>
      </c>
      <c r="C986" s="1" cm="1">
        <f t="array" ref="C986">_xll.GetLatestPrice(F986,"Actual","AssessmentDate")</f>
        <v>45826.645833333336</v>
      </c>
      <c r="D986">
        <f t="shared" si="30"/>
        <v>2025</v>
      </c>
      <c r="E986">
        <f t="shared" si="31"/>
        <v>6</v>
      </c>
      <c r="F986" s="9" t="s">
        <v>1964</v>
      </c>
      <c r="G986" s="9" t="s">
        <v>11</v>
      </c>
      <c r="H986" s="9" t="s">
        <v>12</v>
      </c>
    </row>
    <row r="987" spans="1:9" x14ac:dyDescent="0.25">
      <c r="A987" t="s">
        <v>1965</v>
      </c>
      <c r="B987" s="14" cm="1">
        <f t="array" ref="B987">_xll.GetLatestPrice(F987,,G987)</f>
        <v>393</v>
      </c>
      <c r="C987" s="1" cm="1">
        <f t="array" ref="C987">_xll.GetLatestPrice(F987,"Actual","AssessmentDate")</f>
        <v>45826.645833333336</v>
      </c>
      <c r="D987">
        <f t="shared" si="30"/>
        <v>2025</v>
      </c>
      <c r="E987">
        <f t="shared" si="31"/>
        <v>6</v>
      </c>
      <c r="F987" s="9" t="s">
        <v>1966</v>
      </c>
      <c r="G987" s="9" t="s">
        <v>11</v>
      </c>
      <c r="H987" s="9" t="s">
        <v>12</v>
      </c>
    </row>
    <row r="988" spans="1:9" x14ac:dyDescent="0.25">
      <c r="A988" t="s">
        <v>1967</v>
      </c>
      <c r="B988" s="14" cm="1">
        <f t="array" ref="B988">_xll.GetLatestPrice(F988,,G988)</f>
        <v>375</v>
      </c>
      <c r="C988" s="1" cm="1">
        <f t="array" ref="C988">_xll.GetLatestPrice(F988,"Actual","AssessmentDate")</f>
        <v>45826.645833333336</v>
      </c>
      <c r="D988">
        <f t="shared" si="30"/>
        <v>2025</v>
      </c>
      <c r="E988">
        <f t="shared" si="31"/>
        <v>6</v>
      </c>
      <c r="F988" s="9" t="s">
        <v>1968</v>
      </c>
      <c r="G988" s="9" t="s">
        <v>11</v>
      </c>
      <c r="H988" s="9" t="s">
        <v>12</v>
      </c>
    </row>
    <row r="989" spans="1:9" x14ac:dyDescent="0.25">
      <c r="A989" t="s">
        <v>1969</v>
      </c>
      <c r="B989" s="14" cm="1">
        <f t="array" ref="B989">_xll.GetLatestPrice(F989,,G989)</f>
        <v>440</v>
      </c>
      <c r="C989" s="1" cm="1">
        <f t="array" ref="C989">_xll.GetLatestPrice(F989,"Actual","AssessmentDate")</f>
        <v>45826.645833333336</v>
      </c>
      <c r="D989">
        <f t="shared" si="30"/>
        <v>2025</v>
      </c>
      <c r="E989">
        <f t="shared" si="31"/>
        <v>6</v>
      </c>
      <c r="F989" s="9" t="s">
        <v>1970</v>
      </c>
      <c r="G989" s="9" t="s">
        <v>11</v>
      </c>
      <c r="H989" s="9" t="s">
        <v>12</v>
      </c>
    </row>
    <row r="990" spans="1:9" x14ac:dyDescent="0.25">
      <c r="A990" t="s">
        <v>1971</v>
      </c>
      <c r="B990" s="14" cm="1">
        <f t="array" ref="B990">_xll.GetLatestPrice(F990,,G990)</f>
        <v>585</v>
      </c>
      <c r="C990" s="1" cm="1">
        <f t="array" ref="C990">_xll.GetLatestPrice(F990,"Actual","AssessmentDate")</f>
        <v>45826.645833333336</v>
      </c>
      <c r="D990">
        <f t="shared" si="30"/>
        <v>2025</v>
      </c>
      <c r="E990">
        <f t="shared" si="31"/>
        <v>6</v>
      </c>
      <c r="F990" s="9" t="s">
        <v>1972</v>
      </c>
      <c r="G990" s="9" t="s">
        <v>11</v>
      </c>
      <c r="H990" s="9" t="s">
        <v>12</v>
      </c>
    </row>
    <row r="991" spans="1:9" x14ac:dyDescent="0.25">
      <c r="A991" t="s">
        <v>1973</v>
      </c>
      <c r="B991" s="14" cm="1">
        <f t="array" ref="B991">_xll.GetLatestPrice(F991,,G991)</f>
        <v>245</v>
      </c>
      <c r="C991" s="1" cm="1">
        <f t="array" ref="C991">_xll.GetLatestPrice(F991,"Actual","AssessmentDate")</f>
        <v>45826.645833333336</v>
      </c>
      <c r="D991">
        <f t="shared" si="30"/>
        <v>2025</v>
      </c>
      <c r="E991">
        <f t="shared" si="31"/>
        <v>6</v>
      </c>
      <c r="F991" s="9" t="s">
        <v>1974</v>
      </c>
      <c r="G991" s="9" t="s">
        <v>11</v>
      </c>
      <c r="H991" s="9" t="s">
        <v>12</v>
      </c>
    </row>
    <row r="992" spans="1:9" x14ac:dyDescent="0.25">
      <c r="A992" t="s">
        <v>1975</v>
      </c>
      <c r="B992" s="14" cm="1">
        <f t="array" ref="B992">_xll.GetLatestPrice(F992,,G992)</f>
        <v>260</v>
      </c>
      <c r="C992" s="1" cm="1">
        <f t="array" ref="C992">_xll.GetLatestPrice(F992,"Actual","AssessmentDate")</f>
        <v>45826.645833333336</v>
      </c>
      <c r="D992">
        <f t="shared" si="30"/>
        <v>2025</v>
      </c>
      <c r="E992">
        <f t="shared" si="31"/>
        <v>6</v>
      </c>
      <c r="F992" s="9" t="s">
        <v>1976</v>
      </c>
      <c r="G992" s="9" t="s">
        <v>11</v>
      </c>
      <c r="H992" s="9" t="s">
        <v>12</v>
      </c>
    </row>
    <row r="993" spans="1:8" x14ac:dyDescent="0.25">
      <c r="A993" t="s">
        <v>1977</v>
      </c>
      <c r="B993" s="14" cm="1">
        <f t="array" ref="B993">_xll.GetLatestPrice(F993,,G993)</f>
        <v>265</v>
      </c>
      <c r="C993" s="1" cm="1">
        <f t="array" ref="C993">_xll.GetLatestPrice(F993,"Actual","AssessmentDate")</f>
        <v>45826.645833333336</v>
      </c>
      <c r="D993">
        <f t="shared" si="30"/>
        <v>2025</v>
      </c>
      <c r="E993">
        <f t="shared" si="31"/>
        <v>6</v>
      </c>
      <c r="F993" s="9" t="s">
        <v>1978</v>
      </c>
      <c r="G993" s="9" t="s">
        <v>11</v>
      </c>
      <c r="H993" s="9" t="s">
        <v>12</v>
      </c>
    </row>
    <row r="994" spans="1:8" x14ac:dyDescent="0.25">
      <c r="A994" t="s">
        <v>1979</v>
      </c>
      <c r="B994" s="14" cm="1">
        <f t="array" ref="B994">_xll.GetLatestPrice(F994,,G994)</f>
        <v>260</v>
      </c>
      <c r="C994" s="1" cm="1">
        <f t="array" ref="C994">_xll.GetLatestPrice(F994,"Actual","AssessmentDate")</f>
        <v>45826.645833333336</v>
      </c>
      <c r="D994">
        <f t="shared" si="30"/>
        <v>2025</v>
      </c>
      <c r="E994">
        <f t="shared" si="31"/>
        <v>6</v>
      </c>
      <c r="F994" s="9" t="s">
        <v>1980</v>
      </c>
      <c r="G994" s="9" t="s">
        <v>11</v>
      </c>
      <c r="H994" s="9" t="s">
        <v>12</v>
      </c>
    </row>
    <row r="995" spans="1:8" x14ac:dyDescent="0.25">
      <c r="A995" t="s">
        <v>1981</v>
      </c>
      <c r="B995" s="14" cm="1">
        <f t="array" ref="B995">_xll.GetLatestPrice(F995,,G995)</f>
        <v>435</v>
      </c>
      <c r="C995" s="1" cm="1">
        <f t="array" ref="C995">_xll.GetLatestPrice(F995,"Actual","AssessmentDate")</f>
        <v>45826.645833333336</v>
      </c>
      <c r="D995">
        <f t="shared" si="30"/>
        <v>2025</v>
      </c>
      <c r="E995">
        <f t="shared" si="31"/>
        <v>6</v>
      </c>
      <c r="F995" s="9" t="s">
        <v>1982</v>
      </c>
      <c r="G995" s="9" t="s">
        <v>11</v>
      </c>
      <c r="H995" s="9" t="s">
        <v>12</v>
      </c>
    </row>
    <row r="996" spans="1:8" x14ac:dyDescent="0.25">
      <c r="A996" t="s">
        <v>1983</v>
      </c>
      <c r="B996" s="14" cm="1">
        <f t="array" ref="B996">_xll.GetLatestPrice(F996,,G996)</f>
        <v>363</v>
      </c>
      <c r="C996" s="1" cm="1">
        <f t="array" ref="C996">_xll.GetLatestPrice(F996,"Actual","AssessmentDate")</f>
        <v>45826.645833333336</v>
      </c>
      <c r="D996">
        <f t="shared" si="30"/>
        <v>2025</v>
      </c>
      <c r="E996">
        <f t="shared" si="31"/>
        <v>6</v>
      </c>
      <c r="F996" s="9" t="s">
        <v>1984</v>
      </c>
      <c r="G996" s="9" t="s">
        <v>11</v>
      </c>
      <c r="H996" s="9" t="s">
        <v>12</v>
      </c>
    </row>
    <row r="997" spans="1:8" x14ac:dyDescent="0.25">
      <c r="A997" t="s">
        <v>1985</v>
      </c>
      <c r="B997" s="14" cm="1">
        <f t="array" ref="B997">_xll.GetLatestPrice(F997,,G997)</f>
        <v>428</v>
      </c>
      <c r="C997" s="1" cm="1">
        <f t="array" ref="C997">_xll.GetLatestPrice(F997,"Actual","AssessmentDate")</f>
        <v>45826.645833333336</v>
      </c>
      <c r="D997">
        <f t="shared" si="30"/>
        <v>2025</v>
      </c>
      <c r="E997">
        <f t="shared" si="31"/>
        <v>6</v>
      </c>
      <c r="F997" s="9" t="s">
        <v>1986</v>
      </c>
      <c r="G997" s="9" t="s">
        <v>11</v>
      </c>
      <c r="H997" s="9" t="s">
        <v>12</v>
      </c>
    </row>
    <row r="998" spans="1:8" x14ac:dyDescent="0.25">
      <c r="A998" t="s">
        <v>1987</v>
      </c>
      <c r="B998" s="14" cm="1">
        <f t="array" ref="B998">_xll.GetLatestPrice(F998,,G998)</f>
        <v>385</v>
      </c>
      <c r="C998" s="1" cm="1">
        <f t="array" ref="C998">_xll.GetLatestPrice(F998,"Actual","AssessmentDate")</f>
        <v>45826.645833333336</v>
      </c>
      <c r="D998">
        <f t="shared" si="30"/>
        <v>2025</v>
      </c>
      <c r="E998">
        <f t="shared" si="31"/>
        <v>6</v>
      </c>
      <c r="F998" s="9" t="s">
        <v>1988</v>
      </c>
      <c r="G998" s="9" t="s">
        <v>11</v>
      </c>
      <c r="H998" s="9" t="s">
        <v>12</v>
      </c>
    </row>
    <row r="999" spans="1:8" x14ac:dyDescent="0.25">
      <c r="A999" t="s">
        <v>1989</v>
      </c>
      <c r="B999" s="14" cm="1">
        <f t="array" ref="B999">_xll.GetLatestPrice(F999,,G999)</f>
        <v>420</v>
      </c>
      <c r="C999" s="1" cm="1">
        <f t="array" ref="C999">_xll.GetLatestPrice(F999,"Actual","AssessmentDate")</f>
        <v>45826.645833333336</v>
      </c>
      <c r="D999">
        <f t="shared" si="30"/>
        <v>2025</v>
      </c>
      <c r="E999">
        <f t="shared" si="31"/>
        <v>6</v>
      </c>
      <c r="F999" s="9" t="s">
        <v>1990</v>
      </c>
      <c r="G999" s="9" t="s">
        <v>11</v>
      </c>
      <c r="H999" s="9" t="s">
        <v>12</v>
      </c>
    </row>
    <row r="1000" spans="1:8" x14ac:dyDescent="0.25">
      <c r="A1000" t="s">
        <v>1991</v>
      </c>
      <c r="B1000" s="14" cm="1">
        <f t="array" ref="B1000">_xll.GetLatestPrice(F1000,,G1000)</f>
        <v>355</v>
      </c>
      <c r="C1000" s="1" cm="1">
        <f t="array" ref="C1000">_xll.GetLatestPrice(F1000,"Actual","AssessmentDate")</f>
        <v>45826.645833333336</v>
      </c>
      <c r="D1000">
        <f t="shared" si="30"/>
        <v>2025</v>
      </c>
      <c r="E1000">
        <f t="shared" si="31"/>
        <v>6</v>
      </c>
      <c r="F1000" s="9" t="s">
        <v>1992</v>
      </c>
      <c r="G1000" s="9" t="s">
        <v>11</v>
      </c>
      <c r="H1000" s="9" t="s">
        <v>12</v>
      </c>
    </row>
    <row r="1001" spans="1:8" x14ac:dyDescent="0.25">
      <c r="A1001" t="s">
        <v>1993</v>
      </c>
      <c r="B1001" s="14" cm="1">
        <f t="array" ref="B1001">_xll.GetLatestPrice(F1001,,G1001)</f>
        <v>325</v>
      </c>
      <c r="C1001" s="1" cm="1">
        <f t="array" ref="C1001">_xll.GetLatestPrice(F1001,"Actual","AssessmentDate")</f>
        <v>45826.645833333336</v>
      </c>
      <c r="D1001">
        <f t="shared" si="30"/>
        <v>2025</v>
      </c>
      <c r="E1001">
        <f t="shared" si="31"/>
        <v>6</v>
      </c>
      <c r="F1001" s="9" t="s">
        <v>1994</v>
      </c>
      <c r="G1001" s="9" t="s">
        <v>11</v>
      </c>
      <c r="H1001" s="9" t="s">
        <v>12</v>
      </c>
    </row>
    <row r="1002" spans="1:8" x14ac:dyDescent="0.25">
      <c r="A1002" t="s">
        <v>1995</v>
      </c>
      <c r="B1002" s="14" cm="1">
        <f t="array" ref="B1002">_xll.GetLatestPrice(F1002,,G1002)</f>
        <v>308</v>
      </c>
      <c r="C1002" s="1" cm="1">
        <f t="array" ref="C1002">_xll.GetLatestPrice(F1002,"Actual","AssessmentDate")</f>
        <v>45826.645833333336</v>
      </c>
      <c r="D1002">
        <f t="shared" si="30"/>
        <v>2025</v>
      </c>
      <c r="E1002">
        <f t="shared" si="31"/>
        <v>6</v>
      </c>
      <c r="F1002" s="9" t="s">
        <v>1996</v>
      </c>
      <c r="G1002" s="9" t="s">
        <v>11</v>
      </c>
      <c r="H1002" s="9" t="s">
        <v>12</v>
      </c>
    </row>
    <row r="1003" spans="1:8" x14ac:dyDescent="0.25">
      <c r="A1003" t="s">
        <v>1997</v>
      </c>
      <c r="B1003" s="14" cm="1">
        <f t="array" ref="B1003">_xll.GetLatestPrice(F1003,,G1003)</f>
        <v>338</v>
      </c>
      <c r="C1003" s="1" cm="1">
        <f t="array" ref="C1003">_xll.GetLatestPrice(F1003,"Actual","AssessmentDate")</f>
        <v>45826.645833333336</v>
      </c>
      <c r="D1003">
        <f t="shared" si="30"/>
        <v>2025</v>
      </c>
      <c r="E1003">
        <f t="shared" si="31"/>
        <v>6</v>
      </c>
      <c r="F1003" s="9" t="s">
        <v>1998</v>
      </c>
      <c r="G1003" s="9" t="s">
        <v>11</v>
      </c>
      <c r="H1003" s="9" t="s">
        <v>12</v>
      </c>
    </row>
    <row r="1004" spans="1:8" x14ac:dyDescent="0.25">
      <c r="A1004" t="s">
        <v>1999</v>
      </c>
      <c r="B1004" s="14" cm="1">
        <f t="array" ref="B1004">_xll.GetLatestPrice(F1004,,G1004)</f>
        <v>375</v>
      </c>
      <c r="C1004" s="1" cm="1">
        <f t="array" ref="C1004">_xll.GetLatestPrice(F1004,"Actual","AssessmentDate")</f>
        <v>45826.645833333336</v>
      </c>
      <c r="D1004">
        <f t="shared" si="30"/>
        <v>2025</v>
      </c>
      <c r="E1004">
        <f t="shared" si="31"/>
        <v>6</v>
      </c>
      <c r="F1004" s="9" t="s">
        <v>2000</v>
      </c>
      <c r="G1004" s="9" t="s">
        <v>11</v>
      </c>
      <c r="H1004" s="9" t="s">
        <v>12</v>
      </c>
    </row>
    <row r="1005" spans="1:8" x14ac:dyDescent="0.25">
      <c r="A1005" t="s">
        <v>2001</v>
      </c>
      <c r="B1005" s="14" cm="1">
        <f t="array" ref="B1005">_xll.GetLatestPrice(F1005,,G1005)</f>
        <v>358</v>
      </c>
      <c r="C1005" s="1" cm="1">
        <f t="array" ref="C1005">_xll.GetLatestPrice(F1005,"Actual","AssessmentDate")</f>
        <v>45826.645833333336</v>
      </c>
      <c r="D1005">
        <f t="shared" si="30"/>
        <v>2025</v>
      </c>
      <c r="E1005">
        <f t="shared" si="31"/>
        <v>6</v>
      </c>
      <c r="F1005" s="9" t="s">
        <v>2002</v>
      </c>
      <c r="G1005" s="9" t="s">
        <v>11</v>
      </c>
      <c r="H1005" s="9" t="s">
        <v>12</v>
      </c>
    </row>
    <row r="1006" spans="1:8" x14ac:dyDescent="0.25">
      <c r="A1006" t="s">
        <v>2003</v>
      </c>
      <c r="B1006" s="14" cm="1">
        <f t="array" ref="B1006">_xll.GetLatestPrice(F1006,,G1006)</f>
        <v>393</v>
      </c>
      <c r="C1006" s="1" cm="1">
        <f t="array" ref="C1006">_xll.GetLatestPrice(F1006,"Actual","AssessmentDate")</f>
        <v>45826.645833333336</v>
      </c>
      <c r="D1006">
        <f t="shared" si="30"/>
        <v>2025</v>
      </c>
      <c r="E1006">
        <f t="shared" si="31"/>
        <v>6</v>
      </c>
      <c r="F1006" s="9" t="s">
        <v>2004</v>
      </c>
      <c r="G1006" s="9" t="s">
        <v>11</v>
      </c>
      <c r="H1006" s="9" t="s">
        <v>12</v>
      </c>
    </row>
    <row r="1007" spans="1:8" x14ac:dyDescent="0.25">
      <c r="A1007" t="s">
        <v>2005</v>
      </c>
      <c r="B1007" s="14" cm="1">
        <f t="array" ref="B1007">_xll.GetLatestPrice(F1007,,G1007)</f>
        <v>400</v>
      </c>
      <c r="C1007" s="1" cm="1">
        <f t="array" ref="C1007">_xll.GetLatestPrice(F1007,"Actual","AssessmentDate")</f>
        <v>45826.645833333336</v>
      </c>
      <c r="D1007">
        <f t="shared" si="30"/>
        <v>2025</v>
      </c>
      <c r="E1007">
        <f t="shared" si="31"/>
        <v>6</v>
      </c>
      <c r="F1007" s="9" t="s">
        <v>2006</v>
      </c>
      <c r="G1007" s="9" t="s">
        <v>11</v>
      </c>
      <c r="H1007" s="9" t="s">
        <v>12</v>
      </c>
    </row>
    <row r="1008" spans="1:8" x14ac:dyDescent="0.25">
      <c r="A1008" t="s">
        <v>2007</v>
      </c>
      <c r="B1008" s="14" cm="1">
        <f t="array" ref="B1008">_xll.GetLatestPrice(F1008,,G1008)</f>
        <v>495</v>
      </c>
      <c r="C1008" s="1" cm="1">
        <f t="array" ref="C1008">_xll.GetLatestPrice(F1008,"Actual","AssessmentDate")</f>
        <v>45826.645833333336</v>
      </c>
      <c r="D1008">
        <f t="shared" si="30"/>
        <v>2025</v>
      </c>
      <c r="E1008">
        <f t="shared" si="31"/>
        <v>6</v>
      </c>
      <c r="F1008" s="9" t="s">
        <v>2008</v>
      </c>
      <c r="G1008" s="9" t="s">
        <v>11</v>
      </c>
      <c r="H1008" s="9" t="s">
        <v>12</v>
      </c>
    </row>
    <row r="1009" spans="1:8" x14ac:dyDescent="0.25">
      <c r="A1009" t="s">
        <v>2009</v>
      </c>
      <c r="B1009" s="14" cm="1">
        <f t="array" ref="B1009">_xll.GetLatestPrice(F1009,,G1009)</f>
        <v>465</v>
      </c>
      <c r="C1009" s="1" cm="1">
        <f t="array" ref="C1009">_xll.GetLatestPrice(F1009,"Actual","AssessmentDate")</f>
        <v>45826.645833333336</v>
      </c>
      <c r="D1009">
        <f t="shared" si="30"/>
        <v>2025</v>
      </c>
      <c r="E1009">
        <f t="shared" si="31"/>
        <v>6</v>
      </c>
      <c r="F1009" s="9" t="s">
        <v>2010</v>
      </c>
      <c r="G1009" s="9" t="s">
        <v>11</v>
      </c>
      <c r="H1009" s="9" t="s">
        <v>12</v>
      </c>
    </row>
    <row r="1010" spans="1:8" x14ac:dyDescent="0.25">
      <c r="A1010" t="s">
        <v>2011</v>
      </c>
      <c r="B1010" s="14" cm="1">
        <f t="array" ref="B1010">_xll.GetLatestPrice(F1010,,G1010)</f>
        <v>420</v>
      </c>
      <c r="C1010" s="1" cm="1">
        <f t="array" ref="C1010">_xll.GetLatestPrice(F1010,"Actual","AssessmentDate")</f>
        <v>45826.645833333336</v>
      </c>
      <c r="D1010">
        <f t="shared" si="30"/>
        <v>2025</v>
      </c>
      <c r="E1010">
        <f t="shared" si="31"/>
        <v>6</v>
      </c>
      <c r="F1010" s="9" t="s">
        <v>2012</v>
      </c>
      <c r="G1010" s="9" t="s">
        <v>11</v>
      </c>
      <c r="H1010" s="9" t="s">
        <v>12</v>
      </c>
    </row>
    <row r="1011" spans="1:8" x14ac:dyDescent="0.25">
      <c r="A1011" t="s">
        <v>2013</v>
      </c>
      <c r="B1011" s="14" cm="1">
        <f t="array" ref="B1011">_xll.GetLatestPrice(F1011,,G1011)</f>
        <v>385</v>
      </c>
      <c r="C1011" s="1" cm="1">
        <f t="array" ref="C1011">_xll.GetLatestPrice(F1011,"Actual","AssessmentDate")</f>
        <v>45826.645833333336</v>
      </c>
      <c r="D1011">
        <f t="shared" si="30"/>
        <v>2025</v>
      </c>
      <c r="E1011">
        <f t="shared" si="31"/>
        <v>6</v>
      </c>
      <c r="F1011" s="9" t="s">
        <v>2014</v>
      </c>
      <c r="G1011" s="9" t="s">
        <v>11</v>
      </c>
      <c r="H1011" s="9" t="s">
        <v>12</v>
      </c>
    </row>
    <row r="1012" spans="1:8" x14ac:dyDescent="0.25">
      <c r="A1012" t="s">
        <v>2015</v>
      </c>
      <c r="B1012" s="14" cm="1">
        <f t="array" ref="B1012">_xll.GetLatestPrice(F1012,,G1012)</f>
        <v>420</v>
      </c>
      <c r="C1012" s="1" cm="1">
        <f t="array" ref="C1012">_xll.GetLatestPrice(F1012,"Actual","AssessmentDate")</f>
        <v>45826.645833333336</v>
      </c>
      <c r="D1012">
        <f t="shared" si="30"/>
        <v>2025</v>
      </c>
      <c r="E1012">
        <f t="shared" si="31"/>
        <v>6</v>
      </c>
      <c r="F1012" s="9" t="s">
        <v>2016</v>
      </c>
      <c r="G1012" s="9" t="s">
        <v>11</v>
      </c>
      <c r="H1012" s="9" t="s">
        <v>12</v>
      </c>
    </row>
    <row r="1013" spans="1:8" x14ac:dyDescent="0.25">
      <c r="A1013" t="s">
        <v>2017</v>
      </c>
      <c r="B1013" s="14" cm="1">
        <f t="array" ref="B1013">_xll.GetLatestPrice(F1013,,G1013)</f>
        <v>528</v>
      </c>
      <c r="C1013" s="1" cm="1">
        <f t="array" ref="C1013">_xll.GetLatestPrice(F1013,"Actual","AssessmentDate")</f>
        <v>45826.645833333336</v>
      </c>
      <c r="D1013">
        <f t="shared" si="30"/>
        <v>2025</v>
      </c>
      <c r="E1013">
        <f t="shared" si="31"/>
        <v>6</v>
      </c>
      <c r="F1013" s="9" t="s">
        <v>2018</v>
      </c>
      <c r="G1013" s="9" t="s">
        <v>11</v>
      </c>
      <c r="H1013" s="9" t="s">
        <v>12</v>
      </c>
    </row>
    <row r="1014" spans="1:8" x14ac:dyDescent="0.25">
      <c r="A1014" t="s">
        <v>2019</v>
      </c>
      <c r="B1014" s="14" cm="1">
        <f t="array" ref="B1014">_xll.GetLatestPrice(F1014,,G1014)</f>
        <v>560</v>
      </c>
      <c r="C1014" s="1" cm="1">
        <f t="array" ref="C1014">_xll.GetLatestPrice(F1014,"Actual","AssessmentDate")</f>
        <v>45826.645833333336</v>
      </c>
      <c r="D1014">
        <f t="shared" si="30"/>
        <v>2025</v>
      </c>
      <c r="E1014">
        <f t="shared" si="31"/>
        <v>6</v>
      </c>
      <c r="F1014" s="9" t="s">
        <v>2020</v>
      </c>
      <c r="G1014" s="9" t="s">
        <v>11</v>
      </c>
      <c r="H1014" s="9" t="s">
        <v>12</v>
      </c>
    </row>
    <row r="1015" spans="1:8" x14ac:dyDescent="0.25">
      <c r="A1015" t="s">
        <v>2021</v>
      </c>
      <c r="B1015" s="14" cm="1">
        <f t="array" ref="B1015">_xll.GetLatestPrice(F1015,,G1015)</f>
        <v>450</v>
      </c>
      <c r="C1015" s="1" cm="1">
        <f t="array" ref="C1015">_xll.GetLatestPrice(F1015,"Actual","AssessmentDate")</f>
        <v>45826.645833333336</v>
      </c>
      <c r="D1015">
        <f t="shared" si="30"/>
        <v>2025</v>
      </c>
      <c r="E1015">
        <f t="shared" si="31"/>
        <v>6</v>
      </c>
      <c r="F1015" s="9" t="s">
        <v>2022</v>
      </c>
      <c r="G1015" s="9" t="s">
        <v>11</v>
      </c>
      <c r="H1015" s="9" t="s">
        <v>12</v>
      </c>
    </row>
    <row r="1016" spans="1:8" x14ac:dyDescent="0.25">
      <c r="A1016" t="s">
        <v>2023</v>
      </c>
      <c r="B1016" s="14" cm="1">
        <f t="array" ref="B1016">_xll.GetLatestPrice(F1016,,G1016)</f>
        <v>353</v>
      </c>
      <c r="C1016" s="1" cm="1">
        <f t="array" ref="C1016">_xll.GetLatestPrice(F1016,"Actual","AssessmentDate")</f>
        <v>45826.645833333336</v>
      </c>
      <c r="D1016">
        <f t="shared" si="30"/>
        <v>2025</v>
      </c>
      <c r="E1016">
        <f t="shared" si="31"/>
        <v>6</v>
      </c>
      <c r="F1016" s="9" t="s">
        <v>2024</v>
      </c>
      <c r="G1016" s="9" t="s">
        <v>11</v>
      </c>
      <c r="H1016" s="9" t="s">
        <v>12</v>
      </c>
    </row>
    <row r="1017" spans="1:8" x14ac:dyDescent="0.25">
      <c r="A1017" t="s">
        <v>2025</v>
      </c>
      <c r="B1017" s="14" cm="1">
        <f t="array" ref="B1017">_xll.GetLatestPrice(F1017,,G1017)</f>
        <v>310</v>
      </c>
      <c r="C1017" s="1" cm="1">
        <f t="array" ref="C1017">_xll.GetLatestPrice(F1017,"Actual","AssessmentDate")</f>
        <v>45826.645833333336</v>
      </c>
      <c r="D1017">
        <f t="shared" si="30"/>
        <v>2025</v>
      </c>
      <c r="E1017">
        <f t="shared" si="31"/>
        <v>6</v>
      </c>
      <c r="F1017" s="9" t="s">
        <v>2026</v>
      </c>
      <c r="G1017" s="9" t="s">
        <v>11</v>
      </c>
      <c r="H1017" s="9" t="s">
        <v>12</v>
      </c>
    </row>
    <row r="1018" spans="1:8" x14ac:dyDescent="0.25">
      <c r="A1018" t="s">
        <v>2027</v>
      </c>
      <c r="B1018" s="14" cm="1">
        <f t="array" ref="B1018">_xll.GetLatestPrice(F1018,,G1018)</f>
        <v>445</v>
      </c>
      <c r="C1018" s="1" cm="1">
        <f t="array" ref="C1018">_xll.GetLatestPrice(F1018,"Actual","AssessmentDate")</f>
        <v>45826.645833333336</v>
      </c>
      <c r="D1018">
        <f t="shared" si="30"/>
        <v>2025</v>
      </c>
      <c r="E1018">
        <f t="shared" si="31"/>
        <v>6</v>
      </c>
      <c r="F1018" s="9" t="s">
        <v>2028</v>
      </c>
      <c r="G1018" s="9" t="s">
        <v>11</v>
      </c>
      <c r="H1018" s="9" t="s">
        <v>12</v>
      </c>
    </row>
    <row r="1019" spans="1:8" x14ac:dyDescent="0.25">
      <c r="A1019" t="s">
        <v>2029</v>
      </c>
      <c r="B1019" s="14" cm="1">
        <f t="array" ref="B1019">_xll.GetLatestPrice(F1019,,G1019)</f>
        <v>460</v>
      </c>
      <c r="C1019" s="1" cm="1">
        <f t="array" ref="C1019">_xll.GetLatestPrice(F1019,"Actual","AssessmentDate")</f>
        <v>45826.645833333336</v>
      </c>
      <c r="D1019">
        <f t="shared" si="30"/>
        <v>2025</v>
      </c>
      <c r="E1019">
        <f t="shared" si="31"/>
        <v>6</v>
      </c>
      <c r="F1019" s="9" t="s">
        <v>2030</v>
      </c>
      <c r="G1019" s="9" t="s">
        <v>11</v>
      </c>
      <c r="H1019" s="9" t="s">
        <v>12</v>
      </c>
    </row>
    <row r="1020" spans="1:8" x14ac:dyDescent="0.25">
      <c r="A1020" t="s">
        <v>2031</v>
      </c>
      <c r="B1020" s="14" cm="1">
        <f t="array" ref="B1020">_xll.GetLatestPrice(F1020,,G1020)</f>
        <v>570</v>
      </c>
      <c r="C1020" s="1" cm="1">
        <f t="array" ref="C1020">_xll.GetLatestPrice(F1020,"Actual","AssessmentDate")</f>
        <v>45826.645833333336</v>
      </c>
      <c r="D1020">
        <f t="shared" si="30"/>
        <v>2025</v>
      </c>
      <c r="E1020">
        <f t="shared" si="31"/>
        <v>6</v>
      </c>
      <c r="F1020" s="9" t="s">
        <v>2032</v>
      </c>
      <c r="G1020" s="9" t="s">
        <v>11</v>
      </c>
      <c r="H1020" s="9" t="s">
        <v>12</v>
      </c>
    </row>
    <row r="1021" spans="1:8" x14ac:dyDescent="0.25">
      <c r="A1021" t="s">
        <v>2033</v>
      </c>
      <c r="B1021" s="14" cm="1">
        <f t="array" ref="B1021">_xll.GetLatestPrice(F1021,,G1021)</f>
        <v>440</v>
      </c>
      <c r="C1021" s="1" cm="1">
        <f t="array" ref="C1021">_xll.GetLatestPrice(F1021,"Actual","AssessmentDate")</f>
        <v>45826.645833333336</v>
      </c>
      <c r="D1021">
        <f t="shared" si="30"/>
        <v>2025</v>
      </c>
      <c r="E1021">
        <f t="shared" si="31"/>
        <v>6</v>
      </c>
      <c r="F1021" s="9" t="s">
        <v>2034</v>
      </c>
      <c r="G1021" s="9" t="s">
        <v>11</v>
      </c>
      <c r="H1021" s="9" t="s">
        <v>12</v>
      </c>
    </row>
    <row r="1022" spans="1:8" x14ac:dyDescent="0.25">
      <c r="A1022" t="s">
        <v>2035</v>
      </c>
      <c r="B1022" s="14" cm="1">
        <f t="array" ref="B1022">_xll.GetLatestPrice(F1022,,G1022)</f>
        <v>400</v>
      </c>
      <c r="C1022" s="1" cm="1">
        <f t="array" ref="C1022">_xll.GetLatestPrice(F1022,"Actual","AssessmentDate")</f>
        <v>45826.645833333336</v>
      </c>
      <c r="D1022">
        <f t="shared" si="30"/>
        <v>2025</v>
      </c>
      <c r="E1022">
        <f t="shared" si="31"/>
        <v>6</v>
      </c>
      <c r="F1022" s="9" t="s">
        <v>2036</v>
      </c>
      <c r="G1022" s="9" t="s">
        <v>11</v>
      </c>
      <c r="H1022" s="9" t="s">
        <v>12</v>
      </c>
    </row>
    <row r="1023" spans="1:8" x14ac:dyDescent="0.25">
      <c r="A1023" t="s">
        <v>2037</v>
      </c>
      <c r="B1023" s="14" cm="1">
        <f t="array" ref="B1023">_xll.GetLatestPrice(F1023,,G1023)</f>
        <v>385</v>
      </c>
      <c r="C1023" s="1" cm="1">
        <f t="array" ref="C1023">_xll.GetLatestPrice(F1023,"Actual","AssessmentDate")</f>
        <v>45826.645833333336</v>
      </c>
      <c r="D1023">
        <f t="shared" si="30"/>
        <v>2025</v>
      </c>
      <c r="E1023">
        <f t="shared" si="31"/>
        <v>6</v>
      </c>
      <c r="F1023" s="9" t="s">
        <v>2038</v>
      </c>
      <c r="G1023" s="9" t="s">
        <v>11</v>
      </c>
      <c r="H1023" s="9" t="s">
        <v>12</v>
      </c>
    </row>
    <row r="1024" spans="1:8" x14ac:dyDescent="0.25">
      <c r="A1024" t="s">
        <v>2039</v>
      </c>
      <c r="B1024" s="14" cm="1">
        <f t="array" ref="B1024">_xll.GetLatestPrice(F1024,,G1024)</f>
        <v>720</v>
      </c>
      <c r="C1024" s="1" cm="1">
        <f t="array" ref="C1024">_xll.GetLatestPrice(F1024,"Actual","AssessmentDate")</f>
        <v>45826.645833333336</v>
      </c>
      <c r="D1024">
        <f t="shared" si="30"/>
        <v>2025</v>
      </c>
      <c r="E1024">
        <f t="shared" si="31"/>
        <v>6</v>
      </c>
      <c r="F1024" s="9" t="s">
        <v>2040</v>
      </c>
      <c r="G1024" s="9" t="s">
        <v>11</v>
      </c>
      <c r="H1024" s="9" t="s">
        <v>12</v>
      </c>
    </row>
    <row r="1025" spans="1:8" x14ac:dyDescent="0.25">
      <c r="A1025" t="s">
        <v>2041</v>
      </c>
      <c r="B1025" s="14" cm="1">
        <f t="array" ref="B1025">_xll.GetLatestPrice(F1025,,G1025)</f>
        <v>482</v>
      </c>
      <c r="C1025" s="1" cm="1">
        <f t="array" ref="C1025">_xll.GetLatestPrice(F1025,"Actual","AssessmentDate")</f>
        <v>45826.645833333336</v>
      </c>
      <c r="D1025">
        <f t="shared" si="30"/>
        <v>2025</v>
      </c>
      <c r="E1025">
        <f t="shared" si="31"/>
        <v>6</v>
      </c>
      <c r="F1025" s="9" t="s">
        <v>2042</v>
      </c>
      <c r="G1025" s="9" t="s">
        <v>11</v>
      </c>
      <c r="H1025" s="9" t="s">
        <v>12</v>
      </c>
    </row>
    <row r="1026" spans="1:8" x14ac:dyDescent="0.25">
      <c r="A1026" t="s">
        <v>2043</v>
      </c>
      <c r="B1026" s="14" cm="1">
        <f t="array" ref="B1026">_xll.GetLatestPrice(F1026,,G1026)</f>
        <v>440</v>
      </c>
      <c r="C1026" s="1" cm="1">
        <f t="array" ref="C1026">_xll.GetLatestPrice(F1026,"Actual","AssessmentDate")</f>
        <v>45826.645833333336</v>
      </c>
      <c r="D1026">
        <f t="shared" si="30"/>
        <v>2025</v>
      </c>
      <c r="E1026">
        <f t="shared" si="31"/>
        <v>6</v>
      </c>
      <c r="F1026" s="9" t="s">
        <v>2044</v>
      </c>
      <c r="G1026" s="9" t="s">
        <v>11</v>
      </c>
      <c r="H1026" s="9" t="s">
        <v>12</v>
      </c>
    </row>
    <row r="1027" spans="1:8" x14ac:dyDescent="0.25">
      <c r="A1027" t="s">
        <v>2045</v>
      </c>
      <c r="B1027" s="14" cm="1">
        <f t="array" ref="B1027">_xll.GetLatestPrice(F1027,,G1027)</f>
        <v>390</v>
      </c>
      <c r="C1027" s="1" cm="1">
        <f t="array" ref="C1027">_xll.GetLatestPrice(F1027,"Actual","AssessmentDate")</f>
        <v>45826.645833333336</v>
      </c>
      <c r="D1027">
        <f t="shared" ref="D1027:D1090" si="32">YEAR(C1027)</f>
        <v>2025</v>
      </c>
      <c r="E1027">
        <f t="shared" ref="E1027:E1090" si="33">MONTH(C1027)</f>
        <v>6</v>
      </c>
      <c r="F1027" s="9" t="s">
        <v>2046</v>
      </c>
      <c r="G1027" s="9" t="s">
        <v>11</v>
      </c>
      <c r="H1027" s="9" t="s">
        <v>12</v>
      </c>
    </row>
    <row r="1028" spans="1:8" x14ac:dyDescent="0.25">
      <c r="A1028" t="s">
        <v>2047</v>
      </c>
      <c r="B1028" s="14" cm="1">
        <f t="array" ref="B1028">_xll.GetLatestPrice(F1028,,G1028)</f>
        <v>405</v>
      </c>
      <c r="C1028" s="1" cm="1">
        <f t="array" ref="C1028">_xll.GetLatestPrice(F1028,"Actual","AssessmentDate")</f>
        <v>45826.645833333336</v>
      </c>
      <c r="D1028">
        <f t="shared" si="32"/>
        <v>2025</v>
      </c>
      <c r="E1028">
        <f t="shared" si="33"/>
        <v>6</v>
      </c>
      <c r="F1028" s="9" t="s">
        <v>2048</v>
      </c>
      <c r="G1028" s="9" t="s">
        <v>11</v>
      </c>
      <c r="H1028" s="9" t="s">
        <v>12</v>
      </c>
    </row>
    <row r="1029" spans="1:8" x14ac:dyDescent="0.25">
      <c r="A1029" t="s">
        <v>2049</v>
      </c>
      <c r="B1029" s="14" cm="1">
        <f t="array" ref="B1029">_xll.GetLatestPrice(F1029,,G1029)</f>
        <v>560</v>
      </c>
      <c r="C1029" s="1" cm="1">
        <f t="array" ref="C1029">_xll.GetLatestPrice(F1029,"Actual","AssessmentDate")</f>
        <v>45826.645833333336</v>
      </c>
      <c r="D1029">
        <f t="shared" si="32"/>
        <v>2025</v>
      </c>
      <c r="E1029">
        <f t="shared" si="33"/>
        <v>6</v>
      </c>
      <c r="F1029" s="9" t="s">
        <v>2050</v>
      </c>
      <c r="G1029" s="9" t="s">
        <v>11</v>
      </c>
      <c r="H1029" s="9" t="s">
        <v>12</v>
      </c>
    </row>
    <row r="1030" spans="1:8" x14ac:dyDescent="0.25">
      <c r="A1030" t="s">
        <v>2051</v>
      </c>
      <c r="B1030" s="14" cm="1">
        <f t="array" ref="B1030">_xll.GetLatestPrice(F1030,,G1030)</f>
        <v>505</v>
      </c>
      <c r="C1030" s="1" cm="1">
        <f t="array" ref="C1030">_xll.GetLatestPrice(F1030,"Actual","AssessmentDate")</f>
        <v>45826.645833333336</v>
      </c>
      <c r="D1030">
        <f t="shared" si="32"/>
        <v>2025</v>
      </c>
      <c r="E1030">
        <f t="shared" si="33"/>
        <v>6</v>
      </c>
      <c r="F1030" s="9" t="s">
        <v>2052</v>
      </c>
      <c r="G1030" s="9" t="s">
        <v>11</v>
      </c>
      <c r="H1030" s="9" t="s">
        <v>12</v>
      </c>
    </row>
    <row r="1031" spans="1:8" x14ac:dyDescent="0.25">
      <c r="A1031" t="s">
        <v>2053</v>
      </c>
      <c r="B1031" s="14" cm="1">
        <f t="array" ref="B1031">_xll.GetLatestPrice(F1031,,G1031)</f>
        <v>440</v>
      </c>
      <c r="C1031" s="1" cm="1">
        <f t="array" ref="C1031">_xll.GetLatestPrice(F1031,"Actual","AssessmentDate")</f>
        <v>45826.645833333336</v>
      </c>
      <c r="D1031">
        <f t="shared" si="32"/>
        <v>2025</v>
      </c>
      <c r="E1031">
        <f t="shared" si="33"/>
        <v>6</v>
      </c>
      <c r="F1031" s="9" t="s">
        <v>2054</v>
      </c>
      <c r="G1031" s="9" t="s">
        <v>11</v>
      </c>
      <c r="H1031" s="9" t="s">
        <v>12</v>
      </c>
    </row>
    <row r="1032" spans="1:8" x14ac:dyDescent="0.25">
      <c r="A1032" t="s">
        <v>2055</v>
      </c>
      <c r="B1032" s="14" cm="1">
        <f t="array" ref="B1032">_xll.GetLatestPrice(F1032,,G1032)</f>
        <v>430</v>
      </c>
      <c r="C1032" s="1" cm="1">
        <f t="array" ref="C1032">_xll.GetLatestPrice(F1032,"Actual","AssessmentDate")</f>
        <v>45826.645833333336</v>
      </c>
      <c r="D1032">
        <f t="shared" si="32"/>
        <v>2025</v>
      </c>
      <c r="E1032">
        <f t="shared" si="33"/>
        <v>6</v>
      </c>
      <c r="F1032" s="9" t="s">
        <v>2056</v>
      </c>
      <c r="G1032" s="9" t="s">
        <v>11</v>
      </c>
      <c r="H1032" s="9" t="s">
        <v>12</v>
      </c>
    </row>
    <row r="1033" spans="1:8" x14ac:dyDescent="0.25">
      <c r="A1033" t="s">
        <v>2057</v>
      </c>
      <c r="B1033" s="14" cm="1">
        <f t="array" ref="B1033">_xll.GetLatestPrice(F1033,,G1033)</f>
        <v>425</v>
      </c>
      <c r="C1033" s="1" cm="1">
        <f t="array" ref="C1033">_xll.GetLatestPrice(F1033,"Actual","AssessmentDate")</f>
        <v>45826.645833333336</v>
      </c>
      <c r="D1033">
        <f t="shared" si="32"/>
        <v>2025</v>
      </c>
      <c r="E1033">
        <f t="shared" si="33"/>
        <v>6</v>
      </c>
      <c r="F1033" s="9" t="s">
        <v>2058</v>
      </c>
      <c r="G1033" s="9" t="s">
        <v>11</v>
      </c>
      <c r="H1033" s="9" t="s">
        <v>12</v>
      </c>
    </row>
    <row r="1034" spans="1:8" x14ac:dyDescent="0.25">
      <c r="A1034" t="s">
        <v>2059</v>
      </c>
      <c r="B1034" s="14" cm="1">
        <f t="array" ref="B1034">_xll.GetLatestPrice(F1034,,G1034)</f>
        <v>655</v>
      </c>
      <c r="C1034" s="1" cm="1">
        <f t="array" ref="C1034">_xll.GetLatestPrice(F1034,"Actual","AssessmentDate")</f>
        <v>45826.645833333336</v>
      </c>
      <c r="D1034">
        <f t="shared" si="32"/>
        <v>2025</v>
      </c>
      <c r="E1034">
        <f t="shared" si="33"/>
        <v>6</v>
      </c>
      <c r="F1034" s="9" t="s">
        <v>2060</v>
      </c>
      <c r="G1034" s="9" t="s">
        <v>11</v>
      </c>
      <c r="H1034" s="9" t="s">
        <v>12</v>
      </c>
    </row>
    <row r="1035" spans="1:8" x14ac:dyDescent="0.25">
      <c r="A1035" t="s">
        <v>2061</v>
      </c>
      <c r="B1035" s="14" cm="1">
        <f t="array" ref="B1035">_xll.GetLatestPrice(F1035,,G1035)</f>
        <v>608</v>
      </c>
      <c r="C1035" s="1" cm="1">
        <f t="array" ref="C1035">_xll.GetLatestPrice(F1035,"Actual","AssessmentDate")</f>
        <v>45826.648125</v>
      </c>
      <c r="D1035">
        <f t="shared" si="32"/>
        <v>2025</v>
      </c>
      <c r="E1035">
        <f t="shared" si="33"/>
        <v>6</v>
      </c>
      <c r="F1035" s="9" t="s">
        <v>1926</v>
      </c>
      <c r="G1035" s="9" t="s">
        <v>11</v>
      </c>
      <c r="H1035" s="9" t="s">
        <v>12</v>
      </c>
    </row>
    <row r="1036" spans="1:8" x14ac:dyDescent="0.25">
      <c r="A1036" t="s">
        <v>2062</v>
      </c>
      <c r="B1036" s="14" cm="1">
        <f t="array" ref="B1036">_xll.GetLatestPrice(F1036,,G1036)</f>
        <v>609</v>
      </c>
      <c r="C1036" s="1" cm="1">
        <f t="array" ref="C1036">_xll.GetLatestPrice(F1036,"Actual","AssessmentDate")</f>
        <v>45826.649791666663</v>
      </c>
      <c r="D1036">
        <f t="shared" si="32"/>
        <v>2025</v>
      </c>
      <c r="E1036">
        <f t="shared" si="33"/>
        <v>6</v>
      </c>
      <c r="F1036" s="9" t="s">
        <v>2063</v>
      </c>
      <c r="G1036" s="9" t="s">
        <v>11</v>
      </c>
      <c r="H1036" s="9" t="s">
        <v>12</v>
      </c>
    </row>
    <row r="1037" spans="1:8" x14ac:dyDescent="0.25">
      <c r="A1037" t="s">
        <v>2064</v>
      </c>
      <c r="B1037" s="14" cm="1">
        <f t="array" ref="B1037">_xll.GetLatestPrice(F1037,,G1037)</f>
        <v>585</v>
      </c>
      <c r="C1037" s="1" cm="1">
        <f t="array" ref="C1037">_xll.GetLatestPrice(F1037,"Actual","AssessmentDate")</f>
        <v>45826.648125</v>
      </c>
      <c r="D1037">
        <f t="shared" si="32"/>
        <v>2025</v>
      </c>
      <c r="E1037">
        <f t="shared" si="33"/>
        <v>6</v>
      </c>
      <c r="F1037" s="9" t="s">
        <v>1924</v>
      </c>
      <c r="G1037" s="9" t="s">
        <v>11</v>
      </c>
      <c r="H1037" s="9" t="s">
        <v>12</v>
      </c>
    </row>
    <row r="1038" spans="1:8" x14ac:dyDescent="0.25">
      <c r="A1038" t="s">
        <v>2065</v>
      </c>
      <c r="B1038" s="14" cm="1">
        <f t="array" ref="B1038">_xll.GetLatestPrice(F1038,,G1038)</f>
        <v>591</v>
      </c>
      <c r="C1038" s="1" cm="1">
        <f t="array" ref="C1038">_xll.GetLatestPrice(F1038,"Actual","AssessmentDate")</f>
        <v>45826.649791666663</v>
      </c>
      <c r="D1038">
        <f t="shared" si="32"/>
        <v>2025</v>
      </c>
      <c r="E1038">
        <f t="shared" si="33"/>
        <v>6</v>
      </c>
      <c r="F1038" s="9" t="s">
        <v>2066</v>
      </c>
      <c r="G1038" s="9" t="s">
        <v>11</v>
      </c>
      <c r="H1038" s="9" t="s">
        <v>12</v>
      </c>
    </row>
    <row r="1039" spans="1:8" x14ac:dyDescent="0.25">
      <c r="A1039" t="s">
        <v>2067</v>
      </c>
      <c r="B1039" s="14" cm="1">
        <f t="array" ref="B1039">_xll.GetLatestPrice(F1039,,G1039)</f>
        <v>574</v>
      </c>
      <c r="C1039" s="1" cm="1">
        <f t="array" ref="C1039">_xll.GetLatestPrice(F1039,"Actual","AssessmentDate")</f>
        <v>45826.649791666663</v>
      </c>
      <c r="D1039">
        <f t="shared" si="32"/>
        <v>2025</v>
      </c>
      <c r="E1039">
        <f t="shared" si="33"/>
        <v>6</v>
      </c>
      <c r="F1039" s="9" t="s">
        <v>2068</v>
      </c>
      <c r="G1039" s="9" t="s">
        <v>11</v>
      </c>
      <c r="H1039" s="9" t="s">
        <v>12</v>
      </c>
    </row>
    <row r="1040" spans="1:8" x14ac:dyDescent="0.25">
      <c r="A1040" t="s">
        <v>2069</v>
      </c>
      <c r="B1040" s="14" cm="1">
        <f t="array" ref="B1040">_xll.GetLatestPrice(F1040,,G1040)</f>
        <v>617</v>
      </c>
      <c r="C1040" s="1" cm="1">
        <f t="array" ref="C1040">_xll.GetLatestPrice(F1040,"Actual","AssessmentDate")</f>
        <v>45826.649791666663</v>
      </c>
      <c r="D1040">
        <f t="shared" si="32"/>
        <v>2025</v>
      </c>
      <c r="E1040">
        <f t="shared" si="33"/>
        <v>6</v>
      </c>
      <c r="F1040" s="9" t="s">
        <v>2070</v>
      </c>
      <c r="G1040" s="9" t="s">
        <v>11</v>
      </c>
      <c r="H1040" s="9" t="s">
        <v>12</v>
      </c>
    </row>
    <row r="1041" spans="1:8" x14ac:dyDescent="0.25">
      <c r="A1041" t="s">
        <v>2071</v>
      </c>
      <c r="B1041" s="14" cm="1">
        <f t="array" ref="B1041">_xll.GetLatestPrice(F1041,,G1041)</f>
        <v>613</v>
      </c>
      <c r="C1041" s="1" cm="1">
        <f t="array" ref="C1041">_xll.GetLatestPrice(F1041,"Actual","AssessmentDate")</f>
        <v>45826.649791666663</v>
      </c>
      <c r="D1041">
        <f t="shared" si="32"/>
        <v>2025</v>
      </c>
      <c r="E1041">
        <f t="shared" si="33"/>
        <v>6</v>
      </c>
      <c r="F1041" s="9" t="s">
        <v>2072</v>
      </c>
      <c r="G1041" s="9" t="s">
        <v>11</v>
      </c>
      <c r="H1041" s="9" t="s">
        <v>12</v>
      </c>
    </row>
    <row r="1042" spans="1:8" x14ac:dyDescent="0.25">
      <c r="A1042" t="s">
        <v>2073</v>
      </c>
      <c r="B1042" s="14" cm="1">
        <f t="array" ref="B1042">_xll.GetLatestPrice(F1042,,G1042)</f>
        <v>527</v>
      </c>
      <c r="C1042" s="1" cm="1">
        <f t="array" ref="C1042">_xll.GetLatestPrice(F1042,"Actual","AssessmentDate")</f>
        <v>45826.645833333336</v>
      </c>
      <c r="D1042">
        <f t="shared" si="32"/>
        <v>2025</v>
      </c>
      <c r="E1042">
        <f t="shared" si="33"/>
        <v>6</v>
      </c>
      <c r="F1042" s="9" t="s">
        <v>2074</v>
      </c>
      <c r="G1042" s="9" t="s">
        <v>11</v>
      </c>
      <c r="H1042" s="9" t="s">
        <v>12</v>
      </c>
    </row>
    <row r="1043" spans="1:8" x14ac:dyDescent="0.25">
      <c r="A1043" t="s">
        <v>2075</v>
      </c>
      <c r="B1043" s="14" cm="1">
        <f t="array" ref="B1043">_xll.GetLatestPrice(F1043,,G1043)</f>
        <v>575</v>
      </c>
      <c r="C1043" s="1" cm="1">
        <f t="array" ref="C1043">_xll.GetLatestPrice(F1043,"Actual","AssessmentDate")</f>
        <v>45826.649791666663</v>
      </c>
      <c r="D1043">
        <f t="shared" si="32"/>
        <v>2025</v>
      </c>
      <c r="E1043">
        <f t="shared" si="33"/>
        <v>6</v>
      </c>
      <c r="F1043" s="9" t="s">
        <v>2076</v>
      </c>
      <c r="G1043" s="9" t="s">
        <v>11</v>
      </c>
      <c r="H1043" s="9" t="s">
        <v>12</v>
      </c>
    </row>
    <row r="1044" spans="1:8" x14ac:dyDescent="0.25">
      <c r="A1044" t="s">
        <v>2077</v>
      </c>
      <c r="B1044" s="14" cm="1">
        <f t="array" ref="B1044">_xll.GetLatestPrice(F1044,,G1044)</f>
        <v>553</v>
      </c>
      <c r="C1044" s="1" cm="1">
        <f t="array" ref="C1044">_xll.GetLatestPrice(F1044,"Actual","AssessmentDate")</f>
        <v>45826.649791666663</v>
      </c>
      <c r="D1044">
        <f t="shared" si="32"/>
        <v>2025</v>
      </c>
      <c r="E1044">
        <f t="shared" si="33"/>
        <v>6</v>
      </c>
      <c r="F1044" s="9" t="s">
        <v>2078</v>
      </c>
      <c r="G1044" s="9" t="s">
        <v>11</v>
      </c>
      <c r="H1044" s="9" t="s">
        <v>12</v>
      </c>
    </row>
    <row r="1045" spans="1:8" x14ac:dyDescent="0.25">
      <c r="A1045" t="s">
        <v>2079</v>
      </c>
      <c r="B1045" s="14" cm="1">
        <f t="array" ref="B1045">_xll.GetLatestPrice(F1045,,G1045)</f>
        <v>465</v>
      </c>
      <c r="C1045" s="1" cm="1">
        <f t="array" ref="C1045">_xll.GetLatestPrice(F1045,"Actual","AssessmentDate")</f>
        <v>45826.649791666663</v>
      </c>
      <c r="D1045">
        <f t="shared" si="32"/>
        <v>2025</v>
      </c>
      <c r="E1045">
        <f t="shared" si="33"/>
        <v>6</v>
      </c>
      <c r="F1045" s="9" t="s">
        <v>2080</v>
      </c>
      <c r="G1045" s="9" t="s">
        <v>11</v>
      </c>
      <c r="H1045" s="9" t="s">
        <v>12</v>
      </c>
    </row>
    <row r="1046" spans="1:8" x14ac:dyDescent="0.25">
      <c r="A1046" t="s">
        <v>2081</v>
      </c>
      <c r="B1046" s="14" cm="1">
        <f t="array" ref="B1046">_xll.GetLatestPrice(F1046,,G1046)</f>
        <v>880</v>
      </c>
      <c r="C1046" s="1" cm="1">
        <f t="array" ref="C1046">_xll.GetLatestPrice(F1046,"Actual","AssessmentDate")</f>
        <v>45825.44425925926</v>
      </c>
      <c r="D1046">
        <f t="shared" si="32"/>
        <v>2025</v>
      </c>
      <c r="E1046">
        <f t="shared" si="33"/>
        <v>6</v>
      </c>
      <c r="F1046" s="9" t="s">
        <v>2082</v>
      </c>
      <c r="G1046" s="9" t="s">
        <v>11</v>
      </c>
      <c r="H1046" s="9" t="s">
        <v>12</v>
      </c>
    </row>
    <row r="1047" spans="1:8" x14ac:dyDescent="0.25">
      <c r="A1047" t="s">
        <v>2083</v>
      </c>
      <c r="B1047" s="14" cm="1">
        <f t="array" ref="B1047">_xll.GetLatestPrice(F1047,,G1047)</f>
        <v>985</v>
      </c>
      <c r="C1047" s="1" cm="1">
        <f t="array" ref="C1047">_xll.GetLatestPrice(F1047,"Actual","AssessmentDate")</f>
        <v>45825.44425925926</v>
      </c>
      <c r="D1047">
        <f t="shared" si="32"/>
        <v>2025</v>
      </c>
      <c r="E1047">
        <f t="shared" si="33"/>
        <v>6</v>
      </c>
      <c r="F1047" s="9" t="s">
        <v>2084</v>
      </c>
      <c r="G1047" s="9" t="s">
        <v>11</v>
      </c>
      <c r="H1047" s="9" t="s">
        <v>12</v>
      </c>
    </row>
    <row r="1048" spans="1:8" x14ac:dyDescent="0.25">
      <c r="A1048" t="s">
        <v>2085</v>
      </c>
      <c r="B1048" s="14" cm="1">
        <f t="array" ref="B1048">_xll.GetLatestPrice(F1048,,G1048)</f>
        <v>1165</v>
      </c>
      <c r="C1048" s="1" cm="1">
        <f t="array" ref="C1048">_xll.GetLatestPrice(F1048,"Actual","AssessmentDate")</f>
        <v>45825.44425925926</v>
      </c>
      <c r="D1048">
        <f t="shared" si="32"/>
        <v>2025</v>
      </c>
      <c r="E1048">
        <f t="shared" si="33"/>
        <v>6</v>
      </c>
      <c r="F1048" s="9" t="s">
        <v>2086</v>
      </c>
      <c r="G1048" s="9" t="s">
        <v>11</v>
      </c>
      <c r="H1048" s="9" t="s">
        <v>12</v>
      </c>
    </row>
    <row r="1049" spans="1:8" x14ac:dyDescent="0.25">
      <c r="A1049" t="s">
        <v>2087</v>
      </c>
      <c r="B1049" s="14" cm="1">
        <f t="array" ref="B1049">_xll.GetLatestPrice(F1049,,G1049)</f>
        <v>495</v>
      </c>
      <c r="C1049" s="1" cm="1">
        <f t="array" ref="C1049">_xll.GetLatestPrice(F1049,"Actual","AssessmentDate")</f>
        <v>45826.645833333336</v>
      </c>
      <c r="D1049">
        <f t="shared" si="32"/>
        <v>2025</v>
      </c>
      <c r="E1049">
        <f t="shared" si="33"/>
        <v>6</v>
      </c>
      <c r="F1049" s="9" t="s">
        <v>2088</v>
      </c>
      <c r="G1049" s="9" t="s">
        <v>11</v>
      </c>
      <c r="H1049" s="9" t="s">
        <v>12</v>
      </c>
    </row>
    <row r="1050" spans="1:8" x14ac:dyDescent="0.25">
      <c r="A1050" t="s">
        <v>2089</v>
      </c>
      <c r="B1050" s="14" cm="1">
        <f t="array" ref="B1050">_xll.GetLatestPrice(F1050,,G1050)</f>
        <v>515</v>
      </c>
      <c r="C1050" s="1" cm="1">
        <f t="array" ref="C1050">_xll.GetLatestPrice(F1050,"Actual","AssessmentDate")</f>
        <v>45826.645833333336</v>
      </c>
      <c r="D1050">
        <f t="shared" si="32"/>
        <v>2025</v>
      </c>
      <c r="E1050">
        <f t="shared" si="33"/>
        <v>6</v>
      </c>
      <c r="F1050" s="9" t="s">
        <v>2090</v>
      </c>
      <c r="G1050" s="9" t="s">
        <v>11</v>
      </c>
      <c r="H1050" s="9" t="s">
        <v>12</v>
      </c>
    </row>
    <row r="1051" spans="1:8" x14ac:dyDescent="0.25">
      <c r="A1051" t="s">
        <v>2091</v>
      </c>
      <c r="B1051" s="14" cm="1">
        <f t="array" ref="B1051">_xll.GetLatestPrice(F1051,,G1051)</f>
        <v>480</v>
      </c>
      <c r="C1051" s="1" cm="1">
        <f t="array" ref="C1051">_xll.GetLatestPrice(F1051,"Actual","AssessmentDate")</f>
        <v>45826.645833333336</v>
      </c>
      <c r="D1051">
        <f t="shared" si="32"/>
        <v>2025</v>
      </c>
      <c r="E1051">
        <f t="shared" si="33"/>
        <v>6</v>
      </c>
      <c r="F1051" s="9" t="s">
        <v>2092</v>
      </c>
      <c r="G1051" s="9" t="s">
        <v>11</v>
      </c>
      <c r="H1051" s="9" t="s">
        <v>12</v>
      </c>
    </row>
    <row r="1052" spans="1:8" x14ac:dyDescent="0.25">
      <c r="A1052" t="s">
        <v>2093</v>
      </c>
      <c r="B1052" s="14" cm="1">
        <f t="array" ref="B1052">_xll.GetLatestPrice(F1052,,G1052)</f>
        <v>385</v>
      </c>
      <c r="C1052" s="1" cm="1">
        <f t="array" ref="C1052">_xll.GetLatestPrice(F1052,"Actual","AssessmentDate")</f>
        <v>45826.645833333336</v>
      </c>
      <c r="D1052">
        <f t="shared" si="32"/>
        <v>2025</v>
      </c>
      <c r="E1052">
        <f t="shared" si="33"/>
        <v>6</v>
      </c>
      <c r="F1052" s="9" t="s">
        <v>2094</v>
      </c>
      <c r="G1052" s="9" t="s">
        <v>11</v>
      </c>
      <c r="H1052" s="9" t="s">
        <v>12</v>
      </c>
    </row>
    <row r="1053" spans="1:8" x14ac:dyDescent="0.25">
      <c r="A1053" t="s">
        <v>2095</v>
      </c>
      <c r="B1053" s="14" cm="1">
        <f t="array" ref="B1053">_xll.GetLatestPrice(F1053,,G1053)</f>
        <v>275</v>
      </c>
      <c r="C1053" s="1" cm="1">
        <f t="array" ref="C1053">_xll.GetLatestPrice(F1053,"Actual","AssessmentDate")</f>
        <v>45826.645833333336</v>
      </c>
      <c r="D1053">
        <f t="shared" si="32"/>
        <v>2025</v>
      </c>
      <c r="E1053">
        <f t="shared" si="33"/>
        <v>6</v>
      </c>
      <c r="F1053" s="9" t="s">
        <v>2096</v>
      </c>
      <c r="G1053" s="9" t="s">
        <v>11</v>
      </c>
      <c r="H1053" s="9" t="s">
        <v>12</v>
      </c>
    </row>
    <row r="1054" spans="1:8" x14ac:dyDescent="0.25">
      <c r="A1054" t="s">
        <v>2097</v>
      </c>
      <c r="B1054" s="14" cm="1">
        <f t="array" ref="B1054">_xll.GetLatestPrice(F1054,,G1054)</f>
        <v>60</v>
      </c>
      <c r="C1054" s="1" cm="1">
        <f t="array" ref="C1054">_xll.GetLatestPrice(F1054,"Actual","AssessmentDate")</f>
        <v>45812.700972222221</v>
      </c>
      <c r="D1054">
        <f t="shared" si="32"/>
        <v>2025</v>
      </c>
      <c r="E1054">
        <f t="shared" si="33"/>
        <v>6</v>
      </c>
      <c r="F1054" s="9" t="s">
        <v>2098</v>
      </c>
      <c r="G1054" s="9" t="s">
        <v>11</v>
      </c>
      <c r="H1054" s="9" t="s">
        <v>12</v>
      </c>
    </row>
    <row r="1055" spans="1:8" x14ac:dyDescent="0.25">
      <c r="A1055" t="s">
        <v>2099</v>
      </c>
      <c r="B1055" s="14" cm="1">
        <f t="array" ref="B1055">_xll.GetLatestPrice(F1055,,G1055)</f>
        <v>400</v>
      </c>
      <c r="C1055" s="1" cm="1">
        <f t="array" ref="C1055">_xll.GetLatestPrice(F1055,"Actual","AssessmentDate")</f>
        <v>45826.649791666663</v>
      </c>
      <c r="D1055">
        <f t="shared" si="32"/>
        <v>2025</v>
      </c>
      <c r="E1055">
        <f t="shared" si="33"/>
        <v>6</v>
      </c>
      <c r="F1055" s="9" t="s">
        <v>2100</v>
      </c>
      <c r="G1055" s="9" t="s">
        <v>11</v>
      </c>
      <c r="H1055" s="9" t="s">
        <v>12</v>
      </c>
    </row>
    <row r="1056" spans="1:8" x14ac:dyDescent="0.25">
      <c r="A1056" t="s">
        <v>2101</v>
      </c>
      <c r="B1056" s="14" cm="1">
        <f t="array" ref="B1056">_xll.GetLatestPrice(F1056,,G1056)</f>
        <v>595</v>
      </c>
      <c r="C1056" s="1" cm="1">
        <f t="array" ref="C1056">_xll.GetLatestPrice(F1056,"Actual","AssessmentDate")</f>
        <v>45826.649791666663</v>
      </c>
      <c r="D1056">
        <f t="shared" si="32"/>
        <v>2025</v>
      </c>
      <c r="E1056">
        <f t="shared" si="33"/>
        <v>6</v>
      </c>
      <c r="F1056" s="9" t="s">
        <v>2102</v>
      </c>
      <c r="G1056" s="9" t="s">
        <v>11</v>
      </c>
      <c r="H1056" s="9" t="s">
        <v>12</v>
      </c>
    </row>
    <row r="1057" spans="1:8" x14ac:dyDescent="0.25">
      <c r="A1057" t="s">
        <v>2103</v>
      </c>
      <c r="B1057" s="14" cm="1">
        <f t="array" ref="B1057">_xll.GetLatestPrice(F1057,,G1057)</f>
        <v>613</v>
      </c>
      <c r="C1057" s="1" cm="1">
        <f t="array" ref="C1057">_xll.GetLatestPrice(F1057,"Actual","AssessmentDate")</f>
        <v>45826.649791666663</v>
      </c>
      <c r="D1057">
        <f t="shared" si="32"/>
        <v>2025</v>
      </c>
      <c r="E1057">
        <f t="shared" si="33"/>
        <v>6</v>
      </c>
      <c r="F1057" s="9" t="s">
        <v>2104</v>
      </c>
      <c r="G1057" s="9" t="s">
        <v>11</v>
      </c>
      <c r="H1057" s="9" t="s">
        <v>12</v>
      </c>
    </row>
    <row r="1058" spans="1:8" x14ac:dyDescent="0.25">
      <c r="A1058" t="s">
        <v>2105</v>
      </c>
      <c r="B1058" s="14" cm="1">
        <f t="array" ref="B1058">_xll.GetLatestPrice(F1058,,G1058)</f>
        <v>615</v>
      </c>
      <c r="C1058" s="1" cm="1">
        <f t="array" ref="C1058">_xll.GetLatestPrice(F1058,"Actual","AssessmentDate")</f>
        <v>45826.649791666663</v>
      </c>
      <c r="D1058">
        <f t="shared" si="32"/>
        <v>2025</v>
      </c>
      <c r="E1058">
        <f t="shared" si="33"/>
        <v>6</v>
      </c>
      <c r="F1058" s="9" t="s">
        <v>2106</v>
      </c>
      <c r="G1058" s="9" t="s">
        <v>11</v>
      </c>
      <c r="H1058" s="9" t="s">
        <v>12</v>
      </c>
    </row>
    <row r="1059" spans="1:8" x14ac:dyDescent="0.25">
      <c r="A1059" t="s">
        <v>2107</v>
      </c>
      <c r="B1059" s="14" cm="1">
        <f t="array" ref="B1059">_xll.GetLatestPrice(F1059,,G1059)</f>
        <v>605</v>
      </c>
      <c r="C1059" s="1" cm="1">
        <f t="array" ref="C1059">_xll.GetLatestPrice(F1059,"Actual","AssessmentDate")</f>
        <v>45826.649791666663</v>
      </c>
      <c r="D1059">
        <f t="shared" si="32"/>
        <v>2025</v>
      </c>
      <c r="E1059">
        <f t="shared" si="33"/>
        <v>6</v>
      </c>
      <c r="F1059" s="9" t="s">
        <v>2108</v>
      </c>
      <c r="G1059" s="9" t="s">
        <v>11</v>
      </c>
      <c r="H1059" s="9" t="s">
        <v>12</v>
      </c>
    </row>
    <row r="1060" spans="1:8" x14ac:dyDescent="0.25">
      <c r="A1060" t="s">
        <v>2109</v>
      </c>
      <c r="B1060" s="14" cm="1">
        <f t="array" ref="B1060">_xll.GetLatestPrice(F1060,,G1060)</f>
        <v>606</v>
      </c>
      <c r="C1060" s="1" cm="1">
        <f t="array" ref="C1060">_xll.GetLatestPrice(F1060,"Actual","AssessmentDate")</f>
        <v>45826.649791666663</v>
      </c>
      <c r="D1060">
        <f t="shared" si="32"/>
        <v>2025</v>
      </c>
      <c r="E1060">
        <f t="shared" si="33"/>
        <v>6</v>
      </c>
      <c r="F1060" s="9" t="s">
        <v>2110</v>
      </c>
      <c r="G1060" s="9" t="s">
        <v>11</v>
      </c>
      <c r="H1060" s="9" t="s">
        <v>12</v>
      </c>
    </row>
    <row r="1061" spans="1:8" x14ac:dyDescent="0.25">
      <c r="A1061" t="s">
        <v>2111</v>
      </c>
      <c r="B1061" s="14" cm="1">
        <f t="array" ref="B1061">_xll.GetLatestPrice(F1061,,G1061)</f>
        <v>594</v>
      </c>
      <c r="C1061" s="1" cm="1">
        <f t="array" ref="C1061">_xll.GetLatestPrice(F1061,"Actual","AssessmentDate")</f>
        <v>45826.649791666663</v>
      </c>
      <c r="D1061">
        <f t="shared" si="32"/>
        <v>2025</v>
      </c>
      <c r="E1061">
        <f t="shared" si="33"/>
        <v>6</v>
      </c>
      <c r="F1061" s="9" t="s">
        <v>2112</v>
      </c>
      <c r="G1061" s="9" t="s">
        <v>11</v>
      </c>
      <c r="H1061" s="9" t="s">
        <v>12</v>
      </c>
    </row>
    <row r="1062" spans="1:8" x14ac:dyDescent="0.25">
      <c r="A1062" t="s">
        <v>2113</v>
      </c>
      <c r="B1062" s="14" cm="1">
        <f t="array" ref="B1062">_xll.GetLatestPrice(F1062,,G1062)</f>
        <v>575</v>
      </c>
      <c r="C1062" s="1" cm="1">
        <f t="array" ref="C1062">_xll.GetLatestPrice(F1062,"Actual","AssessmentDate")</f>
        <v>45826.649791666663</v>
      </c>
      <c r="D1062">
        <f t="shared" si="32"/>
        <v>2025</v>
      </c>
      <c r="E1062">
        <f t="shared" si="33"/>
        <v>6</v>
      </c>
      <c r="F1062" s="9" t="s">
        <v>2114</v>
      </c>
      <c r="G1062" s="9" t="s">
        <v>11</v>
      </c>
      <c r="H1062" s="9" t="s">
        <v>12</v>
      </c>
    </row>
    <row r="1063" spans="1:8" x14ac:dyDescent="0.25">
      <c r="A1063" t="s">
        <v>2115</v>
      </c>
      <c r="B1063" s="14" cm="1">
        <f t="array" ref="B1063">_xll.GetLatestPrice(F1063,,G1063)</f>
        <v>591</v>
      </c>
      <c r="C1063" s="1" cm="1">
        <f t="array" ref="C1063">_xll.GetLatestPrice(F1063,"Actual","AssessmentDate")</f>
        <v>45826.649791666663</v>
      </c>
      <c r="D1063">
        <f t="shared" si="32"/>
        <v>2025</v>
      </c>
      <c r="E1063">
        <f t="shared" si="33"/>
        <v>6</v>
      </c>
      <c r="F1063" s="9" t="s">
        <v>2116</v>
      </c>
      <c r="G1063" s="9" t="s">
        <v>11</v>
      </c>
      <c r="H1063" s="9" t="s">
        <v>12</v>
      </c>
    </row>
    <row r="1064" spans="1:8" x14ac:dyDescent="0.25">
      <c r="A1064" t="s">
        <v>2117</v>
      </c>
      <c r="B1064" s="14" cm="1">
        <f t="array" ref="B1064">_xll.GetLatestPrice(F1064,,G1064)</f>
        <v>590</v>
      </c>
      <c r="C1064" s="1" cm="1">
        <f t="array" ref="C1064">_xll.GetLatestPrice(F1064,"Actual","AssessmentDate")</f>
        <v>45826.649791666663</v>
      </c>
      <c r="D1064">
        <f t="shared" si="32"/>
        <v>2025</v>
      </c>
      <c r="E1064">
        <f t="shared" si="33"/>
        <v>6</v>
      </c>
      <c r="F1064" s="9" t="s">
        <v>2118</v>
      </c>
      <c r="G1064" s="9" t="s">
        <v>11</v>
      </c>
      <c r="H1064" s="9" t="s">
        <v>12</v>
      </c>
    </row>
    <row r="1065" spans="1:8" x14ac:dyDescent="0.25">
      <c r="A1065" t="s">
        <v>2119</v>
      </c>
      <c r="B1065" s="14" cm="1">
        <f t="array" ref="B1065">_xll.GetLatestPrice(F1065,,G1065)</f>
        <v>345</v>
      </c>
      <c r="C1065" s="1" cm="1">
        <f t="array" ref="C1065">_xll.GetLatestPrice(F1065,"Actual","AssessmentDate")</f>
        <v>45826.649791666663</v>
      </c>
      <c r="D1065">
        <f t="shared" si="32"/>
        <v>2025</v>
      </c>
      <c r="E1065">
        <f t="shared" si="33"/>
        <v>6</v>
      </c>
      <c r="F1065" s="9" t="s">
        <v>2120</v>
      </c>
      <c r="G1065" s="9" t="s">
        <v>11</v>
      </c>
      <c r="H1065" s="9" t="s">
        <v>12</v>
      </c>
    </row>
    <row r="1066" spans="1:8" x14ac:dyDescent="0.25">
      <c r="A1066" t="s">
        <v>2121</v>
      </c>
      <c r="B1066" s="14" cm="1">
        <f t="array" ref="B1066">_xll.GetLatestPrice(F1066,,G1066)</f>
        <v>577</v>
      </c>
      <c r="C1066" s="1" cm="1">
        <f t="array" ref="C1066">_xll.GetLatestPrice(F1066,"Actual","AssessmentDate")</f>
        <v>45826.649791666663</v>
      </c>
      <c r="D1066">
        <f t="shared" si="32"/>
        <v>2025</v>
      </c>
      <c r="E1066">
        <f t="shared" si="33"/>
        <v>6</v>
      </c>
      <c r="F1066" s="9" t="s">
        <v>2122</v>
      </c>
      <c r="G1066" s="9" t="s">
        <v>11</v>
      </c>
      <c r="H1066" s="9" t="s">
        <v>12</v>
      </c>
    </row>
    <row r="1067" spans="1:8" x14ac:dyDescent="0.25">
      <c r="A1067" t="s">
        <v>2123</v>
      </c>
      <c r="B1067" s="14" cm="1">
        <f t="array" ref="B1067">_xll.GetLatestPrice(F1067,,G1067)</f>
        <v>597</v>
      </c>
      <c r="C1067" s="1" cm="1">
        <f t="array" ref="C1067">_xll.GetLatestPrice(F1067,"Actual","AssessmentDate")</f>
        <v>45826.649791666663</v>
      </c>
      <c r="D1067">
        <f t="shared" si="32"/>
        <v>2025</v>
      </c>
      <c r="E1067">
        <f t="shared" si="33"/>
        <v>6</v>
      </c>
      <c r="F1067" s="9" t="s">
        <v>2124</v>
      </c>
      <c r="G1067" s="9" t="s">
        <v>11</v>
      </c>
      <c r="H1067" s="9" t="s">
        <v>12</v>
      </c>
    </row>
    <row r="1068" spans="1:8" x14ac:dyDescent="0.25">
      <c r="A1068" t="s">
        <v>2125</v>
      </c>
      <c r="B1068" s="14" cm="1">
        <f t="array" ref="B1068">_xll.GetLatestPrice(F1068,,G1068)</f>
        <v>598</v>
      </c>
      <c r="C1068" s="1" cm="1">
        <f t="array" ref="C1068">_xll.GetLatestPrice(F1068,"Actual","AssessmentDate")</f>
        <v>45826.649791666663</v>
      </c>
      <c r="D1068">
        <f t="shared" si="32"/>
        <v>2025</v>
      </c>
      <c r="E1068">
        <f t="shared" si="33"/>
        <v>6</v>
      </c>
      <c r="F1068" s="9" t="s">
        <v>2126</v>
      </c>
      <c r="G1068" s="9" t="s">
        <v>11</v>
      </c>
      <c r="H1068" s="9" t="s">
        <v>12</v>
      </c>
    </row>
    <row r="1069" spans="1:8" x14ac:dyDescent="0.25">
      <c r="A1069" t="s">
        <v>2127</v>
      </c>
      <c r="B1069" s="14" cm="1">
        <f t="array" ref="B1069">_xll.GetLatestPrice(F1069,,G1069)</f>
        <v>588</v>
      </c>
      <c r="C1069" s="1" cm="1">
        <f t="array" ref="C1069">_xll.GetLatestPrice(F1069,"Actual","AssessmentDate")</f>
        <v>45826.649791666663</v>
      </c>
      <c r="D1069">
        <f t="shared" si="32"/>
        <v>2025</v>
      </c>
      <c r="E1069">
        <f t="shared" si="33"/>
        <v>6</v>
      </c>
      <c r="F1069" s="9" t="s">
        <v>2128</v>
      </c>
      <c r="G1069" s="9" t="s">
        <v>11</v>
      </c>
      <c r="H1069" s="9" t="s">
        <v>12</v>
      </c>
    </row>
    <row r="1070" spans="1:8" x14ac:dyDescent="0.25">
      <c r="A1070" t="s">
        <v>2129</v>
      </c>
      <c r="B1070" s="14" cm="1">
        <f t="array" ref="B1070">_xll.GetLatestPrice(F1070,,G1070)</f>
        <v>588</v>
      </c>
      <c r="C1070" s="1" cm="1">
        <f t="array" ref="C1070">_xll.GetLatestPrice(F1070,"Actual","AssessmentDate")</f>
        <v>45826.649791666663</v>
      </c>
      <c r="D1070">
        <f t="shared" si="32"/>
        <v>2025</v>
      </c>
      <c r="E1070">
        <f t="shared" si="33"/>
        <v>6</v>
      </c>
      <c r="F1070" s="9" t="s">
        <v>2130</v>
      </c>
      <c r="G1070" s="9" t="s">
        <v>11</v>
      </c>
      <c r="H1070" s="9" t="s">
        <v>12</v>
      </c>
    </row>
    <row r="1071" spans="1:8" x14ac:dyDescent="0.25">
      <c r="A1071" t="s">
        <v>2131</v>
      </c>
      <c r="B1071" s="14" cm="1">
        <f t="array" ref="B1071">_xll.GetLatestPrice(F1071,,G1071)</f>
        <v>575</v>
      </c>
      <c r="C1071" s="1" cm="1">
        <f t="array" ref="C1071">_xll.GetLatestPrice(F1071,"Actual","AssessmentDate")</f>
        <v>45826.649791666663</v>
      </c>
      <c r="D1071">
        <f t="shared" si="32"/>
        <v>2025</v>
      </c>
      <c r="E1071">
        <f t="shared" si="33"/>
        <v>6</v>
      </c>
      <c r="F1071" s="9" t="s">
        <v>2132</v>
      </c>
      <c r="G1071" s="9" t="s">
        <v>11</v>
      </c>
      <c r="H1071" s="9" t="s">
        <v>12</v>
      </c>
    </row>
    <row r="1072" spans="1:8" x14ac:dyDescent="0.25">
      <c r="A1072" t="s">
        <v>2133</v>
      </c>
      <c r="B1072" s="14" cm="1">
        <f t="array" ref="B1072">_xll.GetLatestPrice(F1072,,G1072)</f>
        <v>555</v>
      </c>
      <c r="C1072" s="1" cm="1">
        <f t="array" ref="C1072">_xll.GetLatestPrice(F1072,"Actual","AssessmentDate")</f>
        <v>45826.649791666663</v>
      </c>
      <c r="D1072">
        <f t="shared" si="32"/>
        <v>2025</v>
      </c>
      <c r="E1072">
        <f t="shared" si="33"/>
        <v>6</v>
      </c>
      <c r="F1072" s="9" t="s">
        <v>2134</v>
      </c>
      <c r="G1072" s="9" t="s">
        <v>11</v>
      </c>
      <c r="H1072" s="9" t="s">
        <v>12</v>
      </c>
    </row>
    <row r="1073" spans="1:8" x14ac:dyDescent="0.25">
      <c r="A1073" t="s">
        <v>2135</v>
      </c>
      <c r="B1073" s="14" cm="1">
        <f t="array" ref="B1073">_xll.GetLatestPrice(F1073,,G1073)</f>
        <v>572</v>
      </c>
      <c r="C1073" s="1" cm="1">
        <f t="array" ref="C1073">_xll.GetLatestPrice(F1073,"Actual","AssessmentDate")</f>
        <v>45826.649791666663</v>
      </c>
      <c r="D1073">
        <f t="shared" si="32"/>
        <v>2025</v>
      </c>
      <c r="E1073">
        <f t="shared" si="33"/>
        <v>6</v>
      </c>
      <c r="F1073" s="9" t="s">
        <v>2136</v>
      </c>
      <c r="G1073" s="9" t="s">
        <v>11</v>
      </c>
      <c r="H1073" s="9" t="s">
        <v>12</v>
      </c>
    </row>
    <row r="1074" spans="1:8" x14ac:dyDescent="0.25">
      <c r="A1074" t="s">
        <v>2137</v>
      </c>
      <c r="B1074" s="14" cm="1">
        <f t="array" ref="B1074">_xll.GetLatestPrice(F1074,,G1074)</f>
        <v>571</v>
      </c>
      <c r="C1074" s="1" cm="1">
        <f t="array" ref="C1074">_xll.GetLatestPrice(F1074,"Actual","AssessmentDate")</f>
        <v>45826.649791666663</v>
      </c>
      <c r="D1074">
        <f t="shared" si="32"/>
        <v>2025</v>
      </c>
      <c r="E1074">
        <f t="shared" si="33"/>
        <v>6</v>
      </c>
      <c r="F1074" s="9" t="s">
        <v>2138</v>
      </c>
      <c r="G1074" s="9" t="s">
        <v>11</v>
      </c>
      <c r="H1074" s="9" t="s">
        <v>12</v>
      </c>
    </row>
    <row r="1075" spans="1:8" x14ac:dyDescent="0.25">
      <c r="A1075" t="s">
        <v>2139</v>
      </c>
      <c r="B1075" s="14" cm="1">
        <f t="array" ref="B1075">_xll.GetLatestPrice(F1075,,G1075)</f>
        <v>422</v>
      </c>
      <c r="C1075" s="1" cm="1">
        <f t="array" ref="C1075">_xll.GetLatestPrice(F1075,"Actual","AssessmentDate")</f>
        <v>45826.649791666663</v>
      </c>
      <c r="D1075">
        <f t="shared" si="32"/>
        <v>2025</v>
      </c>
      <c r="E1075">
        <f t="shared" si="33"/>
        <v>6</v>
      </c>
      <c r="F1075" s="9" t="s">
        <v>2140</v>
      </c>
      <c r="G1075" s="9" t="s">
        <v>11</v>
      </c>
      <c r="H1075" s="9" t="s">
        <v>12</v>
      </c>
    </row>
    <row r="1076" spans="1:8" x14ac:dyDescent="0.25">
      <c r="A1076" t="s">
        <v>2141</v>
      </c>
      <c r="B1076" s="14" cm="1">
        <f t="array" ref="B1076">_xll.GetLatestPrice(F1076,,G1076)</f>
        <v>485</v>
      </c>
      <c r="C1076" s="1" cm="1">
        <f t="array" ref="C1076">_xll.GetLatestPrice(F1076,"Actual","AssessmentDate")</f>
        <v>45826.649791666663</v>
      </c>
      <c r="D1076">
        <f t="shared" si="32"/>
        <v>2025</v>
      </c>
      <c r="E1076">
        <f t="shared" si="33"/>
        <v>6</v>
      </c>
      <c r="F1076" s="9" t="s">
        <v>2142</v>
      </c>
      <c r="G1076" s="9" t="s">
        <v>11</v>
      </c>
      <c r="H1076" s="9" t="s">
        <v>12</v>
      </c>
    </row>
    <row r="1077" spans="1:8" x14ac:dyDescent="0.25">
      <c r="A1077" t="s">
        <v>2143</v>
      </c>
      <c r="B1077" s="14" cm="1">
        <f t="array" ref="B1077">_xll.GetLatestPrice(F1077,,G1077)</f>
        <v>503</v>
      </c>
      <c r="C1077" s="1" cm="1">
        <f t="array" ref="C1077">_xll.GetLatestPrice(F1077,"Actual","AssessmentDate")</f>
        <v>45826.649791666663</v>
      </c>
      <c r="D1077">
        <f t="shared" si="32"/>
        <v>2025</v>
      </c>
      <c r="E1077">
        <f t="shared" si="33"/>
        <v>6</v>
      </c>
      <c r="F1077" s="9" t="s">
        <v>2144</v>
      </c>
      <c r="G1077" s="9" t="s">
        <v>11</v>
      </c>
      <c r="H1077" s="9" t="s">
        <v>12</v>
      </c>
    </row>
    <row r="1078" spans="1:8" x14ac:dyDescent="0.25">
      <c r="A1078" t="s">
        <v>2145</v>
      </c>
      <c r="B1078" s="14" cm="1">
        <f t="array" ref="B1078">_xll.GetLatestPrice(F1078,,G1078)</f>
        <v>505</v>
      </c>
      <c r="C1078" s="1" cm="1">
        <f t="array" ref="C1078">_xll.GetLatestPrice(F1078,"Actual","AssessmentDate")</f>
        <v>45826.649791666663</v>
      </c>
      <c r="D1078">
        <f t="shared" si="32"/>
        <v>2025</v>
      </c>
      <c r="E1078">
        <f t="shared" si="33"/>
        <v>6</v>
      </c>
      <c r="F1078" s="9" t="s">
        <v>2146</v>
      </c>
      <c r="G1078" s="9" t="s">
        <v>11</v>
      </c>
      <c r="H1078" s="9" t="s">
        <v>12</v>
      </c>
    </row>
    <row r="1079" spans="1:8" x14ac:dyDescent="0.25">
      <c r="A1079" t="s">
        <v>2147</v>
      </c>
      <c r="B1079" s="14" cm="1">
        <f t="array" ref="B1079">_xll.GetLatestPrice(F1079,,G1079)</f>
        <v>495</v>
      </c>
      <c r="C1079" s="1" cm="1">
        <f t="array" ref="C1079">_xll.GetLatestPrice(F1079,"Actual","AssessmentDate")</f>
        <v>45826.649791666663</v>
      </c>
      <c r="D1079">
        <f t="shared" si="32"/>
        <v>2025</v>
      </c>
      <c r="E1079">
        <f t="shared" si="33"/>
        <v>6</v>
      </c>
      <c r="F1079" s="9" t="s">
        <v>2148</v>
      </c>
      <c r="G1079" s="9" t="s">
        <v>11</v>
      </c>
      <c r="H1079" s="9" t="s">
        <v>12</v>
      </c>
    </row>
    <row r="1080" spans="1:8" x14ac:dyDescent="0.25">
      <c r="A1080" t="s">
        <v>2149</v>
      </c>
      <c r="B1080" s="14" cm="1">
        <f t="array" ref="B1080">_xll.GetLatestPrice(F1080,,G1080)</f>
        <v>496</v>
      </c>
      <c r="C1080" s="1" cm="1">
        <f t="array" ref="C1080">_xll.GetLatestPrice(F1080,"Actual","AssessmentDate")</f>
        <v>45826.649791666663</v>
      </c>
      <c r="D1080">
        <f t="shared" si="32"/>
        <v>2025</v>
      </c>
      <c r="E1080">
        <f t="shared" si="33"/>
        <v>6</v>
      </c>
      <c r="F1080" s="9" t="s">
        <v>2150</v>
      </c>
      <c r="G1080" s="9" t="s">
        <v>11</v>
      </c>
      <c r="H1080" s="9" t="s">
        <v>12</v>
      </c>
    </row>
    <row r="1081" spans="1:8" x14ac:dyDescent="0.25">
      <c r="A1081" t="s">
        <v>2151</v>
      </c>
      <c r="B1081" s="14" cm="1">
        <f t="array" ref="B1081">_xll.GetLatestPrice(F1081,,G1081)</f>
        <v>484</v>
      </c>
      <c r="C1081" s="1" cm="1">
        <f t="array" ref="C1081">_xll.GetLatestPrice(F1081,"Actual","AssessmentDate")</f>
        <v>45826.649791666663</v>
      </c>
      <c r="D1081">
        <f t="shared" si="32"/>
        <v>2025</v>
      </c>
      <c r="E1081">
        <f t="shared" si="33"/>
        <v>6</v>
      </c>
      <c r="F1081" s="9" t="s">
        <v>2152</v>
      </c>
      <c r="G1081" s="9" t="s">
        <v>11</v>
      </c>
      <c r="H1081" s="9" t="s">
        <v>12</v>
      </c>
    </row>
    <row r="1082" spans="1:8" x14ac:dyDescent="0.25">
      <c r="A1082" t="s">
        <v>2153</v>
      </c>
      <c r="B1082" s="14" cm="1">
        <f t="array" ref="B1082">_xll.GetLatestPrice(F1082,,G1082)</f>
        <v>465</v>
      </c>
      <c r="C1082" s="1" cm="1">
        <f t="array" ref="C1082">_xll.GetLatestPrice(F1082,"Actual","AssessmentDate")</f>
        <v>45826.649791666663</v>
      </c>
      <c r="D1082">
        <f t="shared" si="32"/>
        <v>2025</v>
      </c>
      <c r="E1082">
        <f t="shared" si="33"/>
        <v>6</v>
      </c>
      <c r="F1082" s="9" t="s">
        <v>2154</v>
      </c>
      <c r="G1082" s="9" t="s">
        <v>11</v>
      </c>
      <c r="H1082" s="9" t="s">
        <v>12</v>
      </c>
    </row>
    <row r="1083" spans="1:8" x14ac:dyDescent="0.25">
      <c r="A1083" t="s">
        <v>2155</v>
      </c>
      <c r="B1083" s="14" cm="1">
        <f t="array" ref="B1083">_xll.GetLatestPrice(F1083,,G1083)</f>
        <v>481</v>
      </c>
      <c r="C1083" s="1" cm="1">
        <f t="array" ref="C1083">_xll.GetLatestPrice(F1083,"Actual","AssessmentDate")</f>
        <v>45826.649791666663</v>
      </c>
      <c r="D1083">
        <f t="shared" si="32"/>
        <v>2025</v>
      </c>
      <c r="E1083">
        <f t="shared" si="33"/>
        <v>6</v>
      </c>
      <c r="F1083" s="9" t="s">
        <v>2156</v>
      </c>
      <c r="G1083" s="9" t="s">
        <v>11</v>
      </c>
      <c r="H1083" s="9" t="s">
        <v>12</v>
      </c>
    </row>
    <row r="1084" spans="1:8" x14ac:dyDescent="0.25">
      <c r="A1084" t="s">
        <v>2157</v>
      </c>
      <c r="B1084" s="14" cm="1">
        <f t="array" ref="B1084">_xll.GetLatestPrice(F1084,,G1084)</f>
        <v>480</v>
      </c>
      <c r="C1084" s="1" cm="1">
        <f t="array" ref="C1084">_xll.GetLatestPrice(F1084,"Actual","AssessmentDate")</f>
        <v>45826.649791666663</v>
      </c>
      <c r="D1084">
        <f t="shared" si="32"/>
        <v>2025</v>
      </c>
      <c r="E1084">
        <f t="shared" si="33"/>
        <v>6</v>
      </c>
      <c r="F1084" s="9" t="s">
        <v>2158</v>
      </c>
      <c r="G1084" s="9" t="s">
        <v>11</v>
      </c>
      <c r="H1084" s="9" t="s">
        <v>12</v>
      </c>
    </row>
    <row r="1085" spans="1:8" x14ac:dyDescent="0.25">
      <c r="A1085" t="s">
        <v>2159</v>
      </c>
      <c r="B1085" s="14" cm="1">
        <f t="array" ref="B1085">_xll.GetLatestPrice(F1085,,G1085)</f>
        <v>595</v>
      </c>
      <c r="C1085" s="1" cm="1">
        <f t="array" ref="C1085">_xll.GetLatestPrice(F1085,"Actual","AssessmentDate")</f>
        <v>45826.645833333336</v>
      </c>
      <c r="D1085">
        <f t="shared" si="32"/>
        <v>2025</v>
      </c>
      <c r="E1085">
        <f t="shared" si="33"/>
        <v>6</v>
      </c>
      <c r="F1085" s="9" t="s">
        <v>2160</v>
      </c>
      <c r="G1085" s="9" t="s">
        <v>11</v>
      </c>
      <c r="H1085" s="9" t="s">
        <v>12</v>
      </c>
    </row>
    <row r="1086" spans="1:8" x14ac:dyDescent="0.25">
      <c r="A1086" t="s">
        <v>2161</v>
      </c>
      <c r="B1086" s="14" cm="1">
        <f t="array" ref="B1086">_xll.GetLatestPrice(F1086,,G1086)</f>
        <v>590</v>
      </c>
      <c r="C1086" s="1" cm="1">
        <f t="array" ref="C1086">_xll.GetLatestPrice(F1086,"Actual","AssessmentDate")</f>
        <v>45826.645833333336</v>
      </c>
      <c r="D1086">
        <f t="shared" si="32"/>
        <v>2025</v>
      </c>
      <c r="E1086">
        <f t="shared" si="33"/>
        <v>6</v>
      </c>
      <c r="F1086" s="9" t="s">
        <v>2162</v>
      </c>
      <c r="G1086" s="9" t="s">
        <v>11</v>
      </c>
      <c r="H1086" s="9" t="s">
        <v>12</v>
      </c>
    </row>
    <row r="1087" spans="1:8" x14ac:dyDescent="0.25">
      <c r="A1087" t="s">
        <v>2163</v>
      </c>
      <c r="B1087" s="14" cm="1">
        <f t="array" ref="B1087">_xll.GetLatestPrice(F1087,,G1087)</f>
        <v>540</v>
      </c>
      <c r="C1087" s="1" cm="1">
        <f t="array" ref="C1087">_xll.GetLatestPrice(F1087,"Actual","AssessmentDate")</f>
        <v>45826.645833333336</v>
      </c>
      <c r="D1087">
        <f t="shared" si="32"/>
        <v>2025</v>
      </c>
      <c r="E1087">
        <f t="shared" si="33"/>
        <v>6</v>
      </c>
      <c r="F1087" s="9" t="s">
        <v>2164</v>
      </c>
      <c r="G1087" s="9" t="s">
        <v>11</v>
      </c>
      <c r="H1087" s="9" t="s">
        <v>12</v>
      </c>
    </row>
    <row r="1088" spans="1:8" x14ac:dyDescent="0.25">
      <c r="A1088" t="s">
        <v>2165</v>
      </c>
      <c r="B1088" s="14" cm="1">
        <f t="array" ref="B1088">_xll.GetLatestPrice(F1088,,G1088)</f>
        <v>470</v>
      </c>
      <c r="C1088" s="1" cm="1">
        <f t="array" ref="C1088">_xll.GetLatestPrice(F1088,"Actual","AssessmentDate")</f>
        <v>45826.645833333336</v>
      </c>
      <c r="D1088">
        <f t="shared" si="32"/>
        <v>2025</v>
      </c>
      <c r="E1088">
        <f t="shared" si="33"/>
        <v>6</v>
      </c>
      <c r="F1088" s="9" t="s">
        <v>2166</v>
      </c>
      <c r="G1088" s="9" t="s">
        <v>11</v>
      </c>
      <c r="H1088" s="9" t="s">
        <v>12</v>
      </c>
    </row>
    <row r="1089" spans="1:8" x14ac:dyDescent="0.25">
      <c r="A1089" t="s">
        <v>2167</v>
      </c>
      <c r="B1089" s="14" cm="1">
        <f t="array" ref="B1089">_xll.GetLatestPrice(F1089,,G1089)</f>
        <v>560</v>
      </c>
      <c r="C1089" s="1" cm="1">
        <f t="array" ref="C1089">_xll.GetLatestPrice(F1089,"Actual","AssessmentDate")</f>
        <v>45826.645833333336</v>
      </c>
      <c r="D1089">
        <f t="shared" si="32"/>
        <v>2025</v>
      </c>
      <c r="E1089">
        <f t="shared" si="33"/>
        <v>6</v>
      </c>
      <c r="F1089" s="9" t="s">
        <v>2168</v>
      </c>
      <c r="G1089" s="9" t="s">
        <v>11</v>
      </c>
      <c r="H1089" s="9" t="s">
        <v>12</v>
      </c>
    </row>
    <row r="1090" spans="1:8" x14ac:dyDescent="0.25">
      <c r="A1090" t="s">
        <v>2169</v>
      </c>
      <c r="B1090" s="14" cm="1">
        <f t="array" ref="B1090">_xll.GetLatestPrice(F1090,,G1090)</f>
        <v>615</v>
      </c>
      <c r="C1090" s="1" cm="1">
        <f t="array" ref="C1090">_xll.GetLatestPrice(F1090,"Actual","AssessmentDate")</f>
        <v>45826.645833333336</v>
      </c>
      <c r="D1090">
        <f t="shared" si="32"/>
        <v>2025</v>
      </c>
      <c r="E1090">
        <f t="shared" si="33"/>
        <v>6</v>
      </c>
      <c r="F1090" s="9" t="s">
        <v>2170</v>
      </c>
      <c r="G1090" s="9" t="s">
        <v>11</v>
      </c>
      <c r="H1090" s="9" t="s">
        <v>12</v>
      </c>
    </row>
    <row r="1091" spans="1:8" x14ac:dyDescent="0.25">
      <c r="A1091" t="s">
        <v>2171</v>
      </c>
      <c r="B1091" s="14" cm="1">
        <f t="array" ref="B1091">_xll.GetLatestPrice(F1091,,G1091)</f>
        <v>620</v>
      </c>
      <c r="C1091" s="1" cm="1">
        <f t="array" ref="C1091">_xll.GetLatestPrice(F1091,"Actual","AssessmentDate")</f>
        <v>45826.645833333336</v>
      </c>
      <c r="D1091">
        <f t="shared" ref="D1091:D1154" si="34">YEAR(C1091)</f>
        <v>2025</v>
      </c>
      <c r="E1091">
        <f t="shared" ref="E1091:E1154" si="35">MONTH(C1091)</f>
        <v>6</v>
      </c>
      <c r="F1091" s="9" t="s">
        <v>2172</v>
      </c>
      <c r="G1091" s="9" t="s">
        <v>11</v>
      </c>
      <c r="H1091" s="9" t="s">
        <v>12</v>
      </c>
    </row>
    <row r="1092" spans="1:8" x14ac:dyDescent="0.25">
      <c r="A1092" t="s">
        <v>2173</v>
      </c>
      <c r="B1092" s="14" cm="1">
        <f t="array" ref="B1092">_xll.GetLatestPrice(F1092,,G1092)</f>
        <v>600</v>
      </c>
      <c r="C1092" s="1" cm="1">
        <f t="array" ref="C1092">_xll.GetLatestPrice(F1092,"Actual","AssessmentDate")</f>
        <v>45826.645833333336</v>
      </c>
      <c r="D1092">
        <f t="shared" si="34"/>
        <v>2025</v>
      </c>
      <c r="E1092">
        <f t="shared" si="35"/>
        <v>6</v>
      </c>
      <c r="F1092" s="9" t="s">
        <v>2174</v>
      </c>
      <c r="G1092" s="9" t="s">
        <v>11</v>
      </c>
      <c r="H1092" s="9" t="s">
        <v>12</v>
      </c>
    </row>
    <row r="1093" spans="1:8" x14ac:dyDescent="0.25">
      <c r="A1093" t="s">
        <v>2175</v>
      </c>
      <c r="B1093" s="14" cm="1">
        <f t="array" ref="B1093">_xll.GetLatestPrice(F1093,,G1093)</f>
        <v>505</v>
      </c>
      <c r="C1093" s="1" cm="1">
        <f t="array" ref="C1093">_xll.GetLatestPrice(F1093,"Actual","AssessmentDate")</f>
        <v>45826.645833333336</v>
      </c>
      <c r="D1093">
        <f t="shared" si="34"/>
        <v>2025</v>
      </c>
      <c r="E1093">
        <f t="shared" si="35"/>
        <v>6</v>
      </c>
      <c r="F1093" s="9" t="s">
        <v>2176</v>
      </c>
      <c r="G1093" s="9" t="s">
        <v>11</v>
      </c>
      <c r="H1093" s="9" t="s">
        <v>12</v>
      </c>
    </row>
    <row r="1094" spans="1:8" x14ac:dyDescent="0.25">
      <c r="A1094" t="s">
        <v>2177</v>
      </c>
      <c r="B1094" s="14" cm="1">
        <f t="array" ref="B1094">_xll.GetLatestPrice(F1094,,G1094)</f>
        <v>665</v>
      </c>
      <c r="C1094" s="1" cm="1">
        <f t="array" ref="C1094">_xll.GetLatestPrice(F1094,"Actual","AssessmentDate")</f>
        <v>45826.645833333336</v>
      </c>
      <c r="D1094">
        <f t="shared" si="34"/>
        <v>2025</v>
      </c>
      <c r="E1094">
        <f t="shared" si="35"/>
        <v>6</v>
      </c>
      <c r="F1094" s="9" t="s">
        <v>2178</v>
      </c>
      <c r="G1094" s="9" t="s">
        <v>11</v>
      </c>
      <c r="H1094" s="9" t="s">
        <v>12</v>
      </c>
    </row>
    <row r="1095" spans="1:8" x14ac:dyDescent="0.25">
      <c r="A1095" t="s">
        <v>2179</v>
      </c>
      <c r="B1095" s="14" cm="1">
        <f t="array" ref="B1095">_xll.GetLatestPrice(F1095,,G1095)</f>
        <v>605</v>
      </c>
      <c r="C1095" s="1" cm="1">
        <f t="array" ref="C1095">_xll.GetLatestPrice(F1095,"Actual","AssessmentDate")</f>
        <v>45826.645833333336</v>
      </c>
      <c r="D1095">
        <f t="shared" si="34"/>
        <v>2025</v>
      </c>
      <c r="E1095">
        <f t="shared" si="35"/>
        <v>6</v>
      </c>
      <c r="F1095" s="9" t="s">
        <v>2180</v>
      </c>
      <c r="G1095" s="9" t="s">
        <v>11</v>
      </c>
      <c r="H1095" s="9" t="s">
        <v>12</v>
      </c>
    </row>
    <row r="1096" spans="1:8" x14ac:dyDescent="0.25">
      <c r="A1096" t="s">
        <v>2181</v>
      </c>
      <c r="B1096" s="14" cm="1">
        <f t="array" ref="B1096">_xll.GetLatestPrice(F1096,,G1096)</f>
        <v>610</v>
      </c>
      <c r="C1096" s="1" cm="1">
        <f t="array" ref="C1096">_xll.GetLatestPrice(F1096,"Actual","AssessmentDate")</f>
        <v>45826.645833333336</v>
      </c>
      <c r="D1096">
        <f t="shared" si="34"/>
        <v>2025</v>
      </c>
      <c r="E1096">
        <f t="shared" si="35"/>
        <v>6</v>
      </c>
      <c r="F1096" s="9" t="s">
        <v>2182</v>
      </c>
      <c r="G1096" s="9" t="s">
        <v>11</v>
      </c>
      <c r="H1096" s="9" t="s">
        <v>12</v>
      </c>
    </row>
    <row r="1097" spans="1:8" x14ac:dyDescent="0.25">
      <c r="A1097" t="s">
        <v>2183</v>
      </c>
      <c r="B1097" s="14" cm="1">
        <f t="array" ref="B1097">_xll.GetLatestPrice(F1097,,G1097)</f>
        <v>530</v>
      </c>
      <c r="C1097" s="1" cm="1">
        <f t="array" ref="C1097">_xll.GetLatestPrice(F1097,"Actual","AssessmentDate")</f>
        <v>45826.645833333336</v>
      </c>
      <c r="D1097">
        <f t="shared" si="34"/>
        <v>2025</v>
      </c>
      <c r="E1097">
        <f t="shared" si="35"/>
        <v>6</v>
      </c>
      <c r="F1097" s="9" t="s">
        <v>2184</v>
      </c>
      <c r="G1097" s="9" t="s">
        <v>11</v>
      </c>
      <c r="H1097" s="9" t="s">
        <v>12</v>
      </c>
    </row>
    <row r="1098" spans="1:8" x14ac:dyDescent="0.25">
      <c r="A1098" t="s">
        <v>2185</v>
      </c>
      <c r="B1098" s="14" cm="1">
        <f t="array" ref="B1098">_xll.GetLatestPrice(F1098,,G1098)</f>
        <v>425</v>
      </c>
      <c r="C1098" s="1" cm="1">
        <f t="array" ref="C1098">_xll.GetLatestPrice(F1098,"Actual","AssessmentDate")</f>
        <v>45826.645833333336</v>
      </c>
      <c r="D1098">
        <f t="shared" si="34"/>
        <v>2025</v>
      </c>
      <c r="E1098">
        <f t="shared" si="35"/>
        <v>6</v>
      </c>
      <c r="F1098" s="9" t="s">
        <v>2186</v>
      </c>
      <c r="G1098" s="9" t="s">
        <v>11</v>
      </c>
      <c r="H1098" s="9" t="s">
        <v>12</v>
      </c>
    </row>
    <row r="1099" spans="1:8" x14ac:dyDescent="0.25">
      <c r="A1099" t="s">
        <v>2187</v>
      </c>
      <c r="B1099" s="14" cm="1">
        <f t="array" ref="B1099">_xll.GetLatestPrice(F1099,,G1099)</f>
        <v>555</v>
      </c>
      <c r="C1099" s="1" cm="1">
        <f t="array" ref="C1099">_xll.GetLatestPrice(F1099,"Actual","AssessmentDate")</f>
        <v>45826.645833333336</v>
      </c>
      <c r="D1099">
        <f t="shared" si="34"/>
        <v>2025</v>
      </c>
      <c r="E1099">
        <f t="shared" si="35"/>
        <v>6</v>
      </c>
      <c r="F1099" s="9" t="s">
        <v>2188</v>
      </c>
      <c r="G1099" s="9" t="s">
        <v>11</v>
      </c>
      <c r="H1099" s="9" t="s">
        <v>12</v>
      </c>
    </row>
    <row r="1100" spans="1:8" x14ac:dyDescent="0.25">
      <c r="A1100" t="s">
        <v>2189</v>
      </c>
      <c r="B1100" s="14" cm="1">
        <f t="array" ref="B1100">_xll.GetLatestPrice(F1100,,G1100)</f>
        <v>650</v>
      </c>
      <c r="C1100" s="1" cm="1">
        <f t="array" ref="C1100">_xll.GetLatestPrice(F1100,"Actual","AssessmentDate")</f>
        <v>45826.645833333336</v>
      </c>
      <c r="D1100">
        <f t="shared" si="34"/>
        <v>2025</v>
      </c>
      <c r="E1100">
        <f t="shared" si="35"/>
        <v>6</v>
      </c>
      <c r="F1100" s="9" t="s">
        <v>2190</v>
      </c>
      <c r="G1100" s="9" t="s">
        <v>11</v>
      </c>
      <c r="H1100" s="9" t="s">
        <v>12</v>
      </c>
    </row>
    <row r="1101" spans="1:8" x14ac:dyDescent="0.25">
      <c r="A1101" t="s">
        <v>2191</v>
      </c>
      <c r="B1101" s="14" cm="1">
        <f t="array" ref="B1101">_xll.GetLatestPrice(F1101,,G1101)</f>
        <v>655</v>
      </c>
      <c r="C1101" s="1" cm="1">
        <f t="array" ref="C1101">_xll.GetLatestPrice(F1101,"Actual","AssessmentDate")</f>
        <v>45826.645833333336</v>
      </c>
      <c r="D1101">
        <f t="shared" si="34"/>
        <v>2025</v>
      </c>
      <c r="E1101">
        <f t="shared" si="35"/>
        <v>6</v>
      </c>
      <c r="F1101" s="9" t="s">
        <v>2192</v>
      </c>
      <c r="G1101" s="9" t="s">
        <v>11</v>
      </c>
      <c r="H1101" s="9" t="s">
        <v>12</v>
      </c>
    </row>
    <row r="1102" spans="1:8" x14ac:dyDescent="0.25">
      <c r="A1102" t="s">
        <v>2193</v>
      </c>
      <c r="B1102" s="14" cm="1">
        <f t="array" ref="B1102">_xll.GetLatestPrice(F1102,,G1102)</f>
        <v>630</v>
      </c>
      <c r="C1102" s="1" cm="1">
        <f t="array" ref="C1102">_xll.GetLatestPrice(F1102,"Actual","AssessmentDate")</f>
        <v>45826.645833333336</v>
      </c>
      <c r="D1102">
        <f t="shared" si="34"/>
        <v>2025</v>
      </c>
      <c r="E1102">
        <f t="shared" si="35"/>
        <v>6</v>
      </c>
      <c r="F1102" s="9" t="s">
        <v>2194</v>
      </c>
      <c r="G1102" s="9" t="s">
        <v>11</v>
      </c>
      <c r="H1102" s="9" t="s">
        <v>12</v>
      </c>
    </row>
    <row r="1103" spans="1:8" x14ac:dyDescent="0.25">
      <c r="A1103" t="s">
        <v>2195</v>
      </c>
      <c r="B1103" s="14" cm="1">
        <f t="array" ref="B1103">_xll.GetLatestPrice(F1103,,G1103)</f>
        <v>550</v>
      </c>
      <c r="C1103" s="1" cm="1">
        <f t="array" ref="C1103">_xll.GetLatestPrice(F1103,"Actual","AssessmentDate")</f>
        <v>45826.645833333336</v>
      </c>
      <c r="D1103">
        <f t="shared" si="34"/>
        <v>2025</v>
      </c>
      <c r="E1103">
        <f t="shared" si="35"/>
        <v>6</v>
      </c>
      <c r="F1103" s="9" t="s">
        <v>2196</v>
      </c>
      <c r="G1103" s="9" t="s">
        <v>11</v>
      </c>
      <c r="H1103" s="9" t="s">
        <v>12</v>
      </c>
    </row>
    <row r="1104" spans="1:8" x14ac:dyDescent="0.25">
      <c r="A1104" t="s">
        <v>2197</v>
      </c>
      <c r="B1104" s="14" cm="1">
        <f t="array" ref="B1104">_xll.GetLatestPrice(F1104,,G1104)</f>
        <v>725</v>
      </c>
      <c r="C1104" s="1" cm="1">
        <f t="array" ref="C1104">_xll.GetLatestPrice(F1104,"Actual","AssessmentDate")</f>
        <v>45826.645833333336</v>
      </c>
      <c r="D1104">
        <f t="shared" si="34"/>
        <v>2025</v>
      </c>
      <c r="E1104">
        <f t="shared" si="35"/>
        <v>6</v>
      </c>
      <c r="F1104" s="9" t="s">
        <v>2198</v>
      </c>
      <c r="G1104" s="9" t="s">
        <v>11</v>
      </c>
      <c r="H1104" s="9" t="s">
        <v>12</v>
      </c>
    </row>
    <row r="1105" spans="1:9" x14ac:dyDescent="0.25">
      <c r="A1105" t="s">
        <v>2199</v>
      </c>
      <c r="B1105" s="14" cm="1">
        <f t="array" ref="B1105">_xll.GetLatestPrice(F1105,,G1105)</f>
        <v>424</v>
      </c>
      <c r="C1105" s="1" cm="1">
        <f t="array" ref="C1105">_xll.GetLatestPrice(F1105,"Actual","AssessmentDate")</f>
        <v>45826.652615740742</v>
      </c>
      <c r="D1105">
        <f t="shared" si="34"/>
        <v>2025</v>
      </c>
      <c r="E1105">
        <f t="shared" si="35"/>
        <v>6</v>
      </c>
      <c r="F1105" s="9" t="s">
        <v>2200</v>
      </c>
      <c r="G1105" s="9" t="s">
        <v>11</v>
      </c>
      <c r="H1105" s="9" t="s">
        <v>12</v>
      </c>
    </row>
    <row r="1106" spans="1:9" x14ac:dyDescent="0.25">
      <c r="A1106" t="s">
        <v>2201</v>
      </c>
      <c r="B1106" s="14" cm="1">
        <f t="array" ref="B1106">_xll.GetLatestPrice(F1106,,G1106)</f>
        <v>432</v>
      </c>
      <c r="C1106" s="1" cm="1">
        <f t="array" ref="C1106">_xll.GetLatestPrice(F1106,"Actual","AssessmentDate")</f>
        <v>45826.652615740742</v>
      </c>
      <c r="D1106">
        <f t="shared" si="34"/>
        <v>2025</v>
      </c>
      <c r="E1106">
        <f t="shared" si="35"/>
        <v>6</v>
      </c>
      <c r="F1106" s="9" t="s">
        <v>2202</v>
      </c>
      <c r="G1106" s="9" t="s">
        <v>11</v>
      </c>
      <c r="H1106" s="9" t="s">
        <v>12</v>
      </c>
    </row>
    <row r="1107" spans="1:9" x14ac:dyDescent="0.25">
      <c r="A1107" t="s">
        <v>2203</v>
      </c>
      <c r="B1107" s="14" cm="1">
        <f t="array" ref="B1107">_xll.GetLatestPrice(F1107,,G1107)</f>
        <v>283</v>
      </c>
      <c r="C1107" s="1" cm="1">
        <f t="array" ref="C1107">_xll.GetLatestPrice(F1107,"Actual","AssessmentDate")</f>
        <v>45826.652615740742</v>
      </c>
      <c r="D1107">
        <f t="shared" si="34"/>
        <v>2025</v>
      </c>
      <c r="E1107">
        <f t="shared" si="35"/>
        <v>6</v>
      </c>
      <c r="F1107" s="9" t="s">
        <v>2204</v>
      </c>
      <c r="G1107" s="9" t="s">
        <v>11</v>
      </c>
      <c r="H1107" s="9" t="s">
        <v>12</v>
      </c>
    </row>
    <row r="1108" spans="1:9" x14ac:dyDescent="0.25">
      <c r="A1108" t="s">
        <v>2205</v>
      </c>
      <c r="B1108" s="14" cm="1">
        <f t="array" ref="B1108">_xll.GetLatestPrice(F1108,,G1108)</f>
        <v>961</v>
      </c>
      <c r="C1108" s="1" cm="1">
        <f t="array" ref="C1108">_xll.GetLatestPrice(F1108,"Actual","AssessmentDate")</f>
        <v>45826.652615740742</v>
      </c>
      <c r="D1108">
        <f t="shared" si="34"/>
        <v>2025</v>
      </c>
      <c r="E1108">
        <f t="shared" si="35"/>
        <v>6</v>
      </c>
      <c r="F1108" s="9" t="s">
        <v>2206</v>
      </c>
      <c r="G1108" s="9" t="s">
        <v>11</v>
      </c>
      <c r="H1108" s="9" t="s">
        <v>12</v>
      </c>
    </row>
    <row r="1109" spans="1:9" x14ac:dyDescent="0.25">
      <c r="A1109" t="s">
        <v>2207</v>
      </c>
      <c r="B1109" s="14" cm="1">
        <f t="array" ref="B1109">_xll.GetLatestPrice(F1109,,G1109)</f>
        <v>944</v>
      </c>
      <c r="C1109" s="1" cm="1">
        <f t="array" ref="C1109">_xll.GetLatestPrice(F1109,"Actual","AssessmentDate")</f>
        <v>45826.652615740742</v>
      </c>
      <c r="D1109">
        <f t="shared" si="34"/>
        <v>2025</v>
      </c>
      <c r="E1109">
        <f t="shared" si="35"/>
        <v>6</v>
      </c>
      <c r="F1109" s="9" t="s">
        <v>2208</v>
      </c>
      <c r="G1109" s="9" t="s">
        <v>11</v>
      </c>
      <c r="H1109" s="9" t="s">
        <v>12</v>
      </c>
    </row>
    <row r="1110" spans="1:9" x14ac:dyDescent="0.25">
      <c r="A1110" t="s">
        <v>2209</v>
      </c>
      <c r="B1110" s="14" cm="1">
        <f t="array" ref="B1110">_xll.GetLatestPrice(F1110,,G1110)</f>
        <v>442</v>
      </c>
      <c r="C1110" s="1" cm="1">
        <f t="array" ref="C1110">_xll.GetLatestPrice(F1110,"Actual","AssessmentDate")</f>
        <v>45826.652615740742</v>
      </c>
      <c r="D1110">
        <f t="shared" si="34"/>
        <v>2025</v>
      </c>
      <c r="E1110">
        <f t="shared" si="35"/>
        <v>6</v>
      </c>
      <c r="F1110" s="9" t="s">
        <v>2210</v>
      </c>
      <c r="G1110" s="9" t="s">
        <v>11</v>
      </c>
      <c r="H1110" s="9" t="s">
        <v>12</v>
      </c>
    </row>
    <row r="1111" spans="1:9" x14ac:dyDescent="0.25">
      <c r="A1111" t="s">
        <v>2211</v>
      </c>
      <c r="B1111" s="14" cm="1">
        <f t="array" ref="B1111">_xll.GetLatestPrice(F1111,,G1111)</f>
        <v>553</v>
      </c>
      <c r="C1111" s="1" cm="1">
        <f t="array" ref="C1111">_xll.GetLatestPrice(F1111,"Actual","AssessmentDate")</f>
        <v>45826.652615740742</v>
      </c>
      <c r="D1111">
        <f t="shared" si="34"/>
        <v>2025</v>
      </c>
      <c r="E1111">
        <f t="shared" si="35"/>
        <v>6</v>
      </c>
      <c r="F1111" s="9" t="s">
        <v>2212</v>
      </c>
      <c r="G1111" s="9" t="s">
        <v>11</v>
      </c>
      <c r="H1111" s="9" t="s">
        <v>12</v>
      </c>
    </row>
    <row r="1112" spans="1:9" x14ac:dyDescent="0.25">
      <c r="A1112" t="s">
        <v>2213</v>
      </c>
      <c r="B1112" s="14" cm="1">
        <f t="array" ref="B1112">_xll.GetLatestPrice(F1112,,G1112)</f>
        <v>361</v>
      </c>
      <c r="C1112" s="1" cm="1">
        <f t="array" ref="C1112">_xll.GetLatestPrice(F1112,"Actual","AssessmentDate")</f>
        <v>45826.652615740742</v>
      </c>
      <c r="D1112">
        <f t="shared" si="34"/>
        <v>2025</v>
      </c>
      <c r="E1112">
        <f t="shared" si="35"/>
        <v>6</v>
      </c>
      <c r="F1112" s="9" t="s">
        <v>2214</v>
      </c>
      <c r="G1112" s="9" t="s">
        <v>11</v>
      </c>
      <c r="H1112" s="9" t="s">
        <v>12</v>
      </c>
    </row>
    <row r="1113" spans="1:9" x14ac:dyDescent="0.25">
      <c r="A1113" t="s">
        <v>2215</v>
      </c>
      <c r="B1113" s="14" cm="1">
        <f t="array" ref="B1113">_xll.GetLatestPrice(F1113,,G1113)</f>
        <v>427</v>
      </c>
      <c r="C1113" s="1" cm="1">
        <f t="array" ref="C1113">_xll.GetLatestPrice(F1113,"Actual","AssessmentDate")</f>
        <v>45826.652615740742</v>
      </c>
      <c r="D1113">
        <f t="shared" si="34"/>
        <v>2025</v>
      </c>
      <c r="E1113">
        <f t="shared" si="35"/>
        <v>6</v>
      </c>
      <c r="F1113" s="9" t="s">
        <v>2216</v>
      </c>
      <c r="G1113" s="9" t="s">
        <v>11</v>
      </c>
      <c r="H1113" s="9" t="s">
        <v>12</v>
      </c>
    </row>
    <row r="1114" spans="1:9" x14ac:dyDescent="0.25">
      <c r="A1114" t="s">
        <v>2217</v>
      </c>
      <c r="B1114" s="14" cm="1">
        <f t="array" ref="B1114">_xll.GetLatestPrice(F1114,,G1114)</f>
        <v>513</v>
      </c>
      <c r="C1114" s="1" cm="1">
        <f t="array" ref="C1114">_xll.GetLatestPrice(F1114,"Actual","AssessmentDate")</f>
        <v>45826.652615740742</v>
      </c>
      <c r="D1114">
        <f t="shared" si="34"/>
        <v>2025</v>
      </c>
      <c r="E1114">
        <f t="shared" si="35"/>
        <v>6</v>
      </c>
      <c r="F1114" s="9" t="s">
        <v>2218</v>
      </c>
      <c r="G1114" s="9" t="s">
        <v>11</v>
      </c>
      <c r="H1114" s="9" t="s">
        <v>12</v>
      </c>
    </row>
    <row r="1115" spans="1:9" x14ac:dyDescent="0.25">
      <c r="A1115" t="s">
        <v>2219</v>
      </c>
      <c r="B1115" s="14" cm="1">
        <f t="array" ref="B1115">_xll.GetLatestPrice(F1115,,G1115)</f>
        <v>503</v>
      </c>
      <c r="C1115" s="1" cm="1">
        <f t="array" ref="C1115">_xll.GetLatestPrice(F1115,"Actual","AssessmentDate")</f>
        <v>45826.652615740742</v>
      </c>
      <c r="D1115">
        <f t="shared" si="34"/>
        <v>2025</v>
      </c>
      <c r="E1115">
        <f t="shared" si="35"/>
        <v>6</v>
      </c>
      <c r="F1115" s="9" t="s">
        <v>2220</v>
      </c>
      <c r="G1115" s="9" t="s">
        <v>11</v>
      </c>
      <c r="H1115" s="9" t="s">
        <v>12</v>
      </c>
    </row>
    <row r="1116" spans="1:9" s="10" customFormat="1" x14ac:dyDescent="0.25">
      <c r="A1116" s="10" t="s">
        <v>2221</v>
      </c>
      <c r="B1116" s="14" cm="1">
        <f t="array" ref="B1116">_xll.GetPrice(F1116,,G1116,_xll.GetPrice(F1116,"Actual","AssessmentDate",C1116-5))</f>
        <v>426</v>
      </c>
      <c r="C1116" s="11" cm="1">
        <f t="array" ref="C1116">_xll.GetLatestPrice(F1116,"Actual","AssessmentDate")</f>
        <v>45826.652615740742</v>
      </c>
      <c r="D1116">
        <f t="shared" si="34"/>
        <v>2025</v>
      </c>
      <c r="E1116">
        <f t="shared" si="35"/>
        <v>6</v>
      </c>
      <c r="F1116" s="10" t="s">
        <v>2200</v>
      </c>
      <c r="G1116" s="10" t="s">
        <v>11</v>
      </c>
      <c r="H1116" s="10" t="s">
        <v>1960</v>
      </c>
      <c r="I1116" s="11" cm="1">
        <f t="array" ref="I1116">_xll.GetPrice(F1116,"Actual","AssessmentDate",C1116-5)</f>
        <v>45820.651226851849</v>
      </c>
    </row>
    <row r="1117" spans="1:9" s="10" customFormat="1" x14ac:dyDescent="0.25">
      <c r="A1117" s="10" t="s">
        <v>2222</v>
      </c>
      <c r="B1117" s="14" cm="1">
        <f t="array" ref="B1117">_xll.GetPrice(F1117,,G1117,_xll.GetPrice(F1117,"Actual","AssessmentDate",C1117-5))</f>
        <v>429</v>
      </c>
      <c r="C1117" s="11" cm="1">
        <f t="array" ref="C1117">_xll.GetLatestPrice(F1117,"Actual","AssessmentDate")</f>
        <v>45826.652615740742</v>
      </c>
      <c r="D1117">
        <f t="shared" si="34"/>
        <v>2025</v>
      </c>
      <c r="E1117">
        <f t="shared" si="35"/>
        <v>6</v>
      </c>
      <c r="F1117" s="10" t="s">
        <v>2202</v>
      </c>
      <c r="G1117" s="10" t="s">
        <v>11</v>
      </c>
      <c r="H1117" s="10" t="s">
        <v>1960</v>
      </c>
      <c r="I1117" s="11" cm="1">
        <f t="array" ref="I1117">_xll.GetPrice(F1117,"Actual","AssessmentDate",C1117-5)</f>
        <v>45820.651226851849</v>
      </c>
    </row>
    <row r="1118" spans="1:9" s="10" customFormat="1" x14ac:dyDescent="0.25">
      <c r="A1118" s="10" t="s">
        <v>2223</v>
      </c>
      <c r="B1118" s="14" cm="1">
        <f t="array" ref="B1118">_xll.GetPrice(F1118,,G1118,_xll.GetPrice(F1118,"Actual","AssessmentDate",C1118-5))</f>
        <v>287</v>
      </c>
      <c r="C1118" s="11" cm="1">
        <f t="array" ref="C1118">_xll.GetLatestPrice(F1118,"Actual","AssessmentDate")</f>
        <v>45826.652615740742</v>
      </c>
      <c r="D1118">
        <f t="shared" si="34"/>
        <v>2025</v>
      </c>
      <c r="E1118">
        <f t="shared" si="35"/>
        <v>6</v>
      </c>
      <c r="F1118" s="10" t="s">
        <v>2204</v>
      </c>
      <c r="G1118" s="10" t="s">
        <v>11</v>
      </c>
      <c r="H1118" s="10" t="s">
        <v>1960</v>
      </c>
      <c r="I1118" s="11" cm="1">
        <f t="array" ref="I1118">_xll.GetPrice(F1118,"Actual","AssessmentDate",C1118-5)</f>
        <v>45820.651226851849</v>
      </c>
    </row>
    <row r="1119" spans="1:9" s="10" customFormat="1" x14ac:dyDescent="0.25">
      <c r="A1119" s="10" t="s">
        <v>2224</v>
      </c>
      <c r="B1119" s="14" cm="1">
        <f t="array" ref="B1119">_xll.GetPrice(F1119,,G1119,_xll.GetPrice(F1119,"Actual","AssessmentDate",C1119-5))</f>
        <v>962</v>
      </c>
      <c r="C1119" s="11" cm="1">
        <f t="array" ref="C1119">_xll.GetLatestPrice(F1119,"Actual","AssessmentDate")</f>
        <v>45826.652615740742</v>
      </c>
      <c r="D1119">
        <f t="shared" si="34"/>
        <v>2025</v>
      </c>
      <c r="E1119">
        <f t="shared" si="35"/>
        <v>6</v>
      </c>
      <c r="F1119" s="10" t="s">
        <v>2206</v>
      </c>
      <c r="G1119" s="10" t="s">
        <v>11</v>
      </c>
      <c r="H1119" s="10" t="s">
        <v>1960</v>
      </c>
      <c r="I1119" s="11" cm="1">
        <f t="array" ref="I1119">_xll.GetPrice(F1119,"Actual","AssessmentDate",C1119-5)</f>
        <v>45820.651226851849</v>
      </c>
    </row>
    <row r="1120" spans="1:9" s="10" customFormat="1" x14ac:dyDescent="0.25">
      <c r="A1120" s="10" t="s">
        <v>2225</v>
      </c>
      <c r="B1120" s="14" cm="1">
        <f t="array" ref="B1120">_xll.GetPrice(F1120,,G1120,_xll.GetPrice(F1120,"Actual","AssessmentDate",C1120-5))</f>
        <v>944</v>
      </c>
      <c r="C1120" s="11" cm="1">
        <f t="array" ref="C1120">_xll.GetLatestPrice(F1120,"Actual","AssessmentDate")</f>
        <v>45826.652615740742</v>
      </c>
      <c r="D1120">
        <f t="shared" si="34"/>
        <v>2025</v>
      </c>
      <c r="E1120">
        <f t="shared" si="35"/>
        <v>6</v>
      </c>
      <c r="F1120" s="10" t="s">
        <v>2208</v>
      </c>
      <c r="G1120" s="10" t="s">
        <v>11</v>
      </c>
      <c r="H1120" s="10" t="s">
        <v>1960</v>
      </c>
      <c r="I1120" s="11" cm="1">
        <f t="array" ref="I1120">_xll.GetPrice(F1120,"Actual","AssessmentDate",C1120-5)</f>
        <v>45820.651226851849</v>
      </c>
    </row>
    <row r="1121" spans="1:9" s="10" customFormat="1" x14ac:dyDescent="0.25">
      <c r="A1121" s="10" t="s">
        <v>2226</v>
      </c>
      <c r="B1121" s="14" cm="1">
        <f t="array" ref="B1121">_xll.GetPrice(F1121,,G1121,_xll.GetPrice(F1121,"Actual","AssessmentDate",C1121-5))</f>
        <v>446</v>
      </c>
      <c r="C1121" s="11" cm="1">
        <f t="array" ref="C1121">_xll.GetLatestPrice(F1121,"Actual","AssessmentDate")</f>
        <v>45826.652615740742</v>
      </c>
      <c r="D1121">
        <f t="shared" si="34"/>
        <v>2025</v>
      </c>
      <c r="E1121">
        <f t="shared" si="35"/>
        <v>6</v>
      </c>
      <c r="F1121" s="10" t="s">
        <v>2210</v>
      </c>
      <c r="G1121" s="10" t="s">
        <v>11</v>
      </c>
      <c r="H1121" s="10" t="s">
        <v>1960</v>
      </c>
      <c r="I1121" s="11" cm="1">
        <f t="array" ref="I1121">_xll.GetPrice(F1121,"Actual","AssessmentDate",C1121-5)</f>
        <v>45820.651226851849</v>
      </c>
    </row>
    <row r="1122" spans="1:9" s="10" customFormat="1" x14ac:dyDescent="0.25">
      <c r="A1122" s="10" t="s">
        <v>2227</v>
      </c>
      <c r="B1122" s="14" cm="1">
        <f t="array" ref="B1122">_xll.GetPrice(F1122,,G1122,_xll.GetPrice(F1122,"Actual","AssessmentDate",C1122-5))</f>
        <v>551</v>
      </c>
      <c r="C1122" s="11" cm="1">
        <f t="array" ref="C1122">_xll.GetLatestPrice(F1122,"Actual","AssessmentDate")</f>
        <v>45826.652615740742</v>
      </c>
      <c r="D1122">
        <f t="shared" si="34"/>
        <v>2025</v>
      </c>
      <c r="E1122">
        <f t="shared" si="35"/>
        <v>6</v>
      </c>
      <c r="F1122" s="10" t="s">
        <v>2212</v>
      </c>
      <c r="G1122" s="10" t="s">
        <v>11</v>
      </c>
      <c r="H1122" s="10" t="s">
        <v>1960</v>
      </c>
      <c r="I1122" s="11" cm="1">
        <f t="array" ref="I1122">_xll.GetPrice(F1122,"Actual","AssessmentDate",C1122-5)</f>
        <v>45820.651226851849</v>
      </c>
    </row>
    <row r="1123" spans="1:9" s="10" customFormat="1" x14ac:dyDescent="0.25">
      <c r="A1123" s="10" t="s">
        <v>2228</v>
      </c>
      <c r="B1123" s="14" cm="1">
        <f t="array" ref="B1123">_xll.GetPrice(F1123,,G1123,_xll.GetPrice(F1123,"Actual","AssessmentDate",C1123-5))</f>
        <v>372</v>
      </c>
      <c r="C1123" s="11" cm="1">
        <f t="array" ref="C1123">_xll.GetLatestPrice(F1123,"Actual","AssessmentDate")</f>
        <v>45826.652615740742</v>
      </c>
      <c r="D1123">
        <f t="shared" si="34"/>
        <v>2025</v>
      </c>
      <c r="E1123">
        <f t="shared" si="35"/>
        <v>6</v>
      </c>
      <c r="F1123" s="10" t="s">
        <v>2214</v>
      </c>
      <c r="G1123" s="10" t="s">
        <v>11</v>
      </c>
      <c r="H1123" s="10" t="s">
        <v>1960</v>
      </c>
      <c r="I1123" s="11" cm="1">
        <f t="array" ref="I1123">_xll.GetPrice(F1123,"Actual","AssessmentDate",C1123-5)</f>
        <v>45820.651226851849</v>
      </c>
    </row>
    <row r="1124" spans="1:9" s="10" customFormat="1" x14ac:dyDescent="0.25">
      <c r="A1124" s="10" t="s">
        <v>2229</v>
      </c>
      <c r="B1124" s="14" cm="1">
        <f t="array" ref="B1124">_xll.GetPrice(F1124,,G1124,_xll.GetPrice(F1124,"Actual","AssessmentDate",C1124-5))</f>
        <v>422</v>
      </c>
      <c r="C1124" s="11" cm="1">
        <f t="array" ref="C1124">_xll.GetLatestPrice(F1124,"Actual","AssessmentDate")</f>
        <v>45826.652615740742</v>
      </c>
      <c r="D1124">
        <f t="shared" si="34"/>
        <v>2025</v>
      </c>
      <c r="E1124">
        <f t="shared" si="35"/>
        <v>6</v>
      </c>
      <c r="F1124" s="10" t="s">
        <v>2216</v>
      </c>
      <c r="G1124" s="10" t="s">
        <v>11</v>
      </c>
      <c r="H1124" s="10" t="s">
        <v>1960</v>
      </c>
      <c r="I1124" s="11" cm="1">
        <f t="array" ref="I1124">_xll.GetPrice(F1124,"Actual","AssessmentDate",C1124-5)</f>
        <v>45820.651226851849</v>
      </c>
    </row>
    <row r="1125" spans="1:9" s="10" customFormat="1" x14ac:dyDescent="0.25">
      <c r="A1125" s="10" t="s">
        <v>2230</v>
      </c>
      <c r="B1125" s="14" cm="1">
        <f t="array" ref="B1125">_xll.GetPrice(F1125,,G1125,_xll.GetPrice(F1125,"Actual","AssessmentDate",C1125-5))</f>
        <v>513</v>
      </c>
      <c r="C1125" s="11" cm="1">
        <f t="array" ref="C1125">_xll.GetLatestPrice(F1125,"Actual","AssessmentDate")</f>
        <v>45826.652615740742</v>
      </c>
      <c r="D1125">
        <f t="shared" si="34"/>
        <v>2025</v>
      </c>
      <c r="E1125">
        <f t="shared" si="35"/>
        <v>6</v>
      </c>
      <c r="F1125" s="10" t="s">
        <v>2218</v>
      </c>
      <c r="G1125" s="10" t="s">
        <v>11</v>
      </c>
      <c r="H1125" s="10" t="s">
        <v>1960</v>
      </c>
      <c r="I1125" s="11" cm="1">
        <f t="array" ref="I1125">_xll.GetPrice(F1125,"Actual","AssessmentDate",C1125-5)</f>
        <v>45820.651226851849</v>
      </c>
    </row>
    <row r="1126" spans="1:9" s="10" customFormat="1" x14ac:dyDescent="0.25">
      <c r="A1126" s="10" t="s">
        <v>2231</v>
      </c>
      <c r="B1126" s="14" cm="1">
        <f t="array" ref="B1126">_xll.GetPrice(F1126,,G1126,_xll.GetPrice(F1126,"Actual","AssessmentDate",C1126-5))</f>
        <v>501</v>
      </c>
      <c r="C1126" s="11" cm="1">
        <f t="array" ref="C1126">_xll.GetLatestPrice(F1126,"Actual","AssessmentDate")</f>
        <v>45826.652615740742</v>
      </c>
      <c r="D1126">
        <f t="shared" si="34"/>
        <v>2025</v>
      </c>
      <c r="E1126">
        <f t="shared" si="35"/>
        <v>6</v>
      </c>
      <c r="F1126" s="10" t="s">
        <v>2220</v>
      </c>
      <c r="G1126" s="10" t="s">
        <v>11</v>
      </c>
      <c r="H1126" s="10" t="s">
        <v>1960</v>
      </c>
      <c r="I1126" s="11" cm="1">
        <f t="array" ref="I1126">_xll.GetPrice(F1126,"Actual","AssessmentDate",C1126-5)</f>
        <v>45820.651226851849</v>
      </c>
    </row>
    <row r="1127" spans="1:9" s="10" customFormat="1" x14ac:dyDescent="0.25">
      <c r="A1127" s="10" t="s">
        <v>2232</v>
      </c>
      <c r="B1127" s="14" cm="1">
        <f t="array" ref="B1127">_xll.GetPrice(F1127,,G1127,_xll.GetPrice(F1127,"Actual","AssessmentDate",IF(_xll.GetPrice(F1127,"Actual","PreliminaryPrice",EDATE(C1127,-12)),_xll.GetPrice(F1127,"Actual","AssessmentDate",EDATE(C1127,-12))-1,_xll.GetPrice(F1127,"Actual","AssessmentDate",EDATE(C1127,-12)))))</f>
        <v>388</v>
      </c>
      <c r="C1127" s="11" cm="1">
        <f t="array" ref="C1127">_xll.GetLatestPrice(F1127,"Actual","AssessmentDate")</f>
        <v>45826.652615740742</v>
      </c>
      <c r="D1127">
        <f t="shared" si="34"/>
        <v>2025</v>
      </c>
      <c r="E1127">
        <f t="shared" si="35"/>
        <v>6</v>
      </c>
      <c r="F1127" s="10" t="s">
        <v>2200</v>
      </c>
      <c r="G1127" s="10" t="s">
        <v>11</v>
      </c>
      <c r="H1127" s="10" t="s">
        <v>1962</v>
      </c>
      <c r="I1127" s="11" cm="1">
        <f t="array" ref="I1127">_xll.GetPrice(F1127,"Actual","AssessmentDate",IF(_xll.GetPrice(F1127,"Actual","PreliminaryPrice",EDATE(C1127,-12)),_xll.GetPrice(F1127,"Actual","AssessmentDate",EDATE(C1127,-12))-1,_xll.GetPrice(F1127,"Actual","AssessmentDate",EDATE(C1127,-12))))</f>
        <v>45456.654918981483</v>
      </c>
    </row>
    <row r="1128" spans="1:9" s="10" customFormat="1" x14ac:dyDescent="0.25">
      <c r="A1128" s="10" t="s">
        <v>2233</v>
      </c>
      <c r="B1128" s="14" cm="1">
        <f t="array" ref="B1128">_xll.GetPrice(F1128,,G1128,_xll.GetPrice(F1128,"Actual","AssessmentDate",IF(_xll.GetPrice(F1128,"Actual","PreliminaryPrice",EDATE(C1128,-12)),_xll.GetPrice(F1128,"Actual","AssessmentDate",EDATE(C1128,-12))-1,_xll.GetPrice(F1128,"Actual","AssessmentDate",EDATE(C1128,-12)))))</f>
        <v>375</v>
      </c>
      <c r="C1128" s="11" cm="1">
        <f t="array" ref="C1128">_xll.GetLatestPrice(F1128,"Actual","AssessmentDate")</f>
        <v>45826.652615740742</v>
      </c>
      <c r="D1128">
        <f t="shared" si="34"/>
        <v>2025</v>
      </c>
      <c r="E1128">
        <f t="shared" si="35"/>
        <v>6</v>
      </c>
      <c r="F1128" s="10" t="s">
        <v>2202</v>
      </c>
      <c r="G1128" s="10" t="s">
        <v>11</v>
      </c>
      <c r="H1128" s="10" t="s">
        <v>1962</v>
      </c>
      <c r="I1128" s="11" cm="1">
        <f t="array" ref="I1128">_xll.GetPrice(F1128,"Actual","AssessmentDate",IF(_xll.GetPrice(F1128,"Actual","PreliminaryPrice",EDATE(C1128,-12)),_xll.GetPrice(F1128,"Actual","AssessmentDate",EDATE(C1128,-12))-1,_xll.GetPrice(F1128,"Actual","AssessmentDate",EDATE(C1128,-12))))</f>
        <v>45456.654918981483</v>
      </c>
    </row>
    <row r="1129" spans="1:9" s="10" customFormat="1" x14ac:dyDescent="0.25">
      <c r="A1129" s="10" t="s">
        <v>2234</v>
      </c>
      <c r="B1129" s="14" cm="1">
        <f t="array" ref="B1129">_xll.GetPrice(F1129,,G1129,_xll.GetPrice(F1129,"Actual","AssessmentDate",IF(_xll.GetPrice(F1129,"Actual","PreliminaryPrice",EDATE(C1129,-12)),_xll.GetPrice(F1129,"Actual","AssessmentDate",EDATE(C1129,-12))-1,_xll.GetPrice(F1129,"Actual","AssessmentDate",EDATE(C1129,-12)))))</f>
        <v>260</v>
      </c>
      <c r="C1129" s="11" cm="1">
        <f t="array" ref="C1129">_xll.GetLatestPrice(F1129,"Actual","AssessmentDate")</f>
        <v>45826.652615740742</v>
      </c>
      <c r="D1129">
        <f t="shared" si="34"/>
        <v>2025</v>
      </c>
      <c r="E1129">
        <f t="shared" si="35"/>
        <v>6</v>
      </c>
      <c r="F1129" s="10" t="s">
        <v>2204</v>
      </c>
      <c r="G1129" s="10" t="s">
        <v>11</v>
      </c>
      <c r="H1129" s="10" t="s">
        <v>1962</v>
      </c>
      <c r="I1129" s="11" cm="1">
        <f t="array" ref="I1129">_xll.GetPrice(F1129,"Actual","AssessmentDate",IF(_xll.GetPrice(F1129,"Actual","PreliminaryPrice",EDATE(C1129,-12)),_xll.GetPrice(F1129,"Actual","AssessmentDate",EDATE(C1129,-12))-1,_xll.GetPrice(F1129,"Actual","AssessmentDate",EDATE(C1129,-12))))</f>
        <v>45456.654918981483</v>
      </c>
    </row>
    <row r="1130" spans="1:9" s="10" customFormat="1" x14ac:dyDescent="0.25">
      <c r="A1130" s="10" t="s">
        <v>2235</v>
      </c>
      <c r="B1130" s="14" cm="1">
        <f t="array" ref="B1130">_xll.GetPrice(F1130,,G1130,_xll.GetPrice(F1130,"Actual","AssessmentDate",IF(_xll.GetPrice(F1130,"Actual","PreliminaryPrice",EDATE(C1130,-12)),_xll.GetPrice(F1130,"Actual","AssessmentDate",EDATE(C1130,-12))-1,_xll.GetPrice(F1130,"Actual","AssessmentDate",EDATE(C1130,-12)))))</f>
        <v>937</v>
      </c>
      <c r="C1130" s="11" cm="1">
        <f t="array" ref="C1130">_xll.GetLatestPrice(F1130,"Actual","AssessmentDate")</f>
        <v>45826.652615740742</v>
      </c>
      <c r="D1130">
        <f t="shared" si="34"/>
        <v>2025</v>
      </c>
      <c r="E1130">
        <f t="shared" si="35"/>
        <v>6</v>
      </c>
      <c r="F1130" s="10" t="s">
        <v>2206</v>
      </c>
      <c r="G1130" s="10" t="s">
        <v>11</v>
      </c>
      <c r="H1130" s="10" t="s">
        <v>1962</v>
      </c>
      <c r="I1130" s="11" cm="1">
        <f t="array" ref="I1130">_xll.GetPrice(F1130,"Actual","AssessmentDate",IF(_xll.GetPrice(F1130,"Actual","PreliminaryPrice",EDATE(C1130,-12)),_xll.GetPrice(F1130,"Actual","AssessmentDate",EDATE(C1130,-12))-1,_xll.GetPrice(F1130,"Actual","AssessmentDate",EDATE(C1130,-12))))</f>
        <v>45456.654918981483</v>
      </c>
    </row>
    <row r="1131" spans="1:9" s="10" customFormat="1" x14ac:dyDescent="0.25">
      <c r="A1131" s="10" t="s">
        <v>2236</v>
      </c>
      <c r="B1131" s="14" cm="1">
        <f t="array" ref="B1131">_xll.GetPrice(F1131,,G1131,_xll.GetPrice(F1131,"Actual","AssessmentDate",IF(_xll.GetPrice(F1131,"Actual","PreliminaryPrice",EDATE(C1131,-12)),_xll.GetPrice(F1131,"Actual","AssessmentDate",EDATE(C1131,-12))-1,_xll.GetPrice(F1131,"Actual","AssessmentDate",EDATE(C1131,-12)))))</f>
        <v>1067</v>
      </c>
      <c r="C1131" s="11" cm="1">
        <f t="array" ref="C1131">_xll.GetLatestPrice(F1131,"Actual","AssessmentDate")</f>
        <v>45826.652615740742</v>
      </c>
      <c r="D1131">
        <f t="shared" si="34"/>
        <v>2025</v>
      </c>
      <c r="E1131">
        <f t="shared" si="35"/>
        <v>6</v>
      </c>
      <c r="F1131" s="10" t="s">
        <v>2208</v>
      </c>
      <c r="G1131" s="10" t="s">
        <v>11</v>
      </c>
      <c r="H1131" s="10" t="s">
        <v>1962</v>
      </c>
      <c r="I1131" s="11" cm="1">
        <f t="array" ref="I1131">_xll.GetPrice(F1131,"Actual","AssessmentDate",IF(_xll.GetPrice(F1131,"Actual","PreliminaryPrice",EDATE(C1131,-12)),_xll.GetPrice(F1131,"Actual","AssessmentDate",EDATE(C1131,-12))-1,_xll.GetPrice(F1131,"Actual","AssessmentDate",EDATE(C1131,-12))))</f>
        <v>45456.654918981483</v>
      </c>
    </row>
    <row r="1132" spans="1:9" s="10" customFormat="1" x14ac:dyDescent="0.25">
      <c r="A1132" s="10" t="s">
        <v>2237</v>
      </c>
      <c r="B1132" s="14" cm="1">
        <f t="array" ref="B1132">_xll.GetPrice(F1132,,G1132,_xll.GetPrice(F1132,"Actual","AssessmentDate",IF(_xll.GetPrice(F1132,"Actual","PreliminaryPrice",EDATE(C1132,-12)),_xll.GetPrice(F1132,"Actual","AssessmentDate",EDATE(C1132,-12))-1,_xll.GetPrice(F1132,"Actual","AssessmentDate",EDATE(C1132,-12)))))</f>
        <v>398</v>
      </c>
      <c r="C1132" s="11" cm="1">
        <f t="array" ref="C1132">_xll.GetLatestPrice(F1132,"Actual","AssessmentDate")</f>
        <v>45826.652615740742</v>
      </c>
      <c r="D1132">
        <f t="shared" si="34"/>
        <v>2025</v>
      </c>
      <c r="E1132">
        <f t="shared" si="35"/>
        <v>6</v>
      </c>
      <c r="F1132" s="10" t="s">
        <v>2210</v>
      </c>
      <c r="G1132" s="10" t="s">
        <v>11</v>
      </c>
      <c r="H1132" s="10" t="s">
        <v>1962</v>
      </c>
      <c r="I1132" s="11" cm="1">
        <f t="array" ref="I1132">_xll.GetPrice(F1132,"Actual","AssessmentDate",IF(_xll.GetPrice(F1132,"Actual","PreliminaryPrice",EDATE(C1132,-12)),_xll.GetPrice(F1132,"Actual","AssessmentDate",EDATE(C1132,-12))-1,_xll.GetPrice(F1132,"Actual","AssessmentDate",EDATE(C1132,-12))))</f>
        <v>45456.654918981483</v>
      </c>
    </row>
    <row r="1133" spans="1:9" s="10" customFormat="1" x14ac:dyDescent="0.25">
      <c r="A1133" s="10" t="s">
        <v>2238</v>
      </c>
      <c r="B1133" s="14" cm="1">
        <f t="array" ref="B1133">_xll.GetPrice(F1133,,G1133,_xll.GetPrice(F1133,"Actual","AssessmentDate",IF(_xll.GetPrice(F1133,"Actual","PreliminaryPrice",EDATE(C1133,-12)),_xll.GetPrice(F1133,"Actual","AssessmentDate",EDATE(C1133,-12))-1,_xll.GetPrice(F1133,"Actual","AssessmentDate",EDATE(C1133,-12)))))</f>
        <v>524</v>
      </c>
      <c r="C1133" s="11" cm="1">
        <f t="array" ref="C1133">_xll.GetLatestPrice(F1133,"Actual","AssessmentDate")</f>
        <v>45826.652615740742</v>
      </c>
      <c r="D1133">
        <f t="shared" si="34"/>
        <v>2025</v>
      </c>
      <c r="E1133">
        <f t="shared" si="35"/>
        <v>6</v>
      </c>
      <c r="F1133" s="10" t="s">
        <v>2212</v>
      </c>
      <c r="G1133" s="10" t="s">
        <v>11</v>
      </c>
      <c r="H1133" s="10" t="s">
        <v>1962</v>
      </c>
      <c r="I1133" s="11" cm="1">
        <f t="array" ref="I1133">_xll.GetPrice(F1133,"Actual","AssessmentDate",IF(_xll.GetPrice(F1133,"Actual","PreliminaryPrice",EDATE(C1133,-12)),_xll.GetPrice(F1133,"Actual","AssessmentDate",EDATE(C1133,-12))-1,_xll.GetPrice(F1133,"Actual","AssessmentDate",EDATE(C1133,-12))))</f>
        <v>45456.654918981483</v>
      </c>
    </row>
    <row r="1134" spans="1:9" s="10" customFormat="1" x14ac:dyDescent="0.25">
      <c r="A1134" s="10" t="s">
        <v>2239</v>
      </c>
      <c r="B1134" s="14" cm="1">
        <f t="array" ref="B1134">_xll.GetPrice(F1134,,G1134,_xll.GetPrice(F1134,"Actual","AssessmentDate",IF(_xll.GetPrice(F1134,"Actual","PreliminaryPrice",EDATE(C1134,-12)),_xll.GetPrice(F1134,"Actual","AssessmentDate",EDATE(C1134,-12))-1,_xll.GetPrice(F1134,"Actual","AssessmentDate",EDATE(C1134,-12)))))</f>
        <v>352</v>
      </c>
      <c r="C1134" s="11" cm="1">
        <f t="array" ref="C1134">_xll.GetLatestPrice(F1134,"Actual","AssessmentDate")</f>
        <v>45826.652615740742</v>
      </c>
      <c r="D1134">
        <f t="shared" si="34"/>
        <v>2025</v>
      </c>
      <c r="E1134">
        <f t="shared" si="35"/>
        <v>6</v>
      </c>
      <c r="F1134" s="10" t="s">
        <v>2214</v>
      </c>
      <c r="G1134" s="10" t="s">
        <v>11</v>
      </c>
      <c r="H1134" s="10" t="s">
        <v>1962</v>
      </c>
      <c r="I1134" s="11" cm="1">
        <f t="array" ref="I1134">_xll.GetPrice(F1134,"Actual","AssessmentDate",IF(_xll.GetPrice(F1134,"Actual","PreliminaryPrice",EDATE(C1134,-12)),_xll.GetPrice(F1134,"Actual","AssessmentDate",EDATE(C1134,-12))-1,_xll.GetPrice(F1134,"Actual","AssessmentDate",EDATE(C1134,-12))))</f>
        <v>45456.654918981483</v>
      </c>
    </row>
    <row r="1135" spans="1:9" s="10" customFormat="1" x14ac:dyDescent="0.25">
      <c r="A1135" s="10" t="s">
        <v>2240</v>
      </c>
      <c r="B1135" s="14" cm="1">
        <f t="array" ref="B1135">_xll.GetPrice(F1135,,G1135,_xll.GetPrice(F1135,"Actual","AssessmentDate",IF(_xll.GetPrice(F1135,"Actual","PreliminaryPrice",EDATE(C1135,-12)),_xll.GetPrice(F1135,"Actual","AssessmentDate",EDATE(C1135,-12))-1,_xll.GetPrice(F1135,"Actual","AssessmentDate",EDATE(C1135,-12)))))</f>
        <v>370</v>
      </c>
      <c r="C1135" s="11" cm="1">
        <f t="array" ref="C1135">_xll.GetLatestPrice(F1135,"Actual","AssessmentDate")</f>
        <v>45826.652615740742</v>
      </c>
      <c r="D1135">
        <f t="shared" si="34"/>
        <v>2025</v>
      </c>
      <c r="E1135">
        <f t="shared" si="35"/>
        <v>6</v>
      </c>
      <c r="F1135" s="10" t="s">
        <v>2216</v>
      </c>
      <c r="G1135" s="10" t="s">
        <v>11</v>
      </c>
      <c r="H1135" s="10" t="s">
        <v>1962</v>
      </c>
      <c r="I1135" s="11" cm="1">
        <f t="array" ref="I1135">_xll.GetPrice(F1135,"Actual","AssessmentDate",IF(_xll.GetPrice(F1135,"Actual","PreliminaryPrice",EDATE(C1135,-12)),_xll.GetPrice(F1135,"Actual","AssessmentDate",EDATE(C1135,-12))-1,_xll.GetPrice(F1135,"Actual","AssessmentDate",EDATE(C1135,-12))))</f>
        <v>45456.654918981483</v>
      </c>
    </row>
    <row r="1136" spans="1:9" s="10" customFormat="1" x14ac:dyDescent="0.25">
      <c r="A1136" s="10" t="s">
        <v>2241</v>
      </c>
      <c r="B1136" s="14" cm="1">
        <f t="array" ref="B1136">_xll.GetPrice(F1136,,G1136,_xll.GetPrice(F1136,"Actual","AssessmentDate",IF(_xll.GetPrice(F1136,"Actual","PreliminaryPrice",EDATE(C1136,-12)),_xll.GetPrice(F1136,"Actual","AssessmentDate",EDATE(C1136,-12))-1,_xll.GetPrice(F1136,"Actual","AssessmentDate",EDATE(C1136,-12)))))</f>
        <v>450</v>
      </c>
      <c r="C1136" s="11" cm="1">
        <f t="array" ref="C1136">_xll.GetLatestPrice(F1136,"Actual","AssessmentDate")</f>
        <v>45826.652615740742</v>
      </c>
      <c r="D1136">
        <f t="shared" si="34"/>
        <v>2025</v>
      </c>
      <c r="E1136">
        <f t="shared" si="35"/>
        <v>6</v>
      </c>
      <c r="F1136" s="10" t="s">
        <v>2218</v>
      </c>
      <c r="G1136" s="10" t="s">
        <v>11</v>
      </c>
      <c r="H1136" s="10" t="s">
        <v>1962</v>
      </c>
      <c r="I1136" s="11" cm="1">
        <f t="array" ref="I1136">_xll.GetPrice(F1136,"Actual","AssessmentDate",IF(_xll.GetPrice(F1136,"Actual","PreliminaryPrice",EDATE(C1136,-12)),_xll.GetPrice(F1136,"Actual","AssessmentDate",EDATE(C1136,-12))-1,_xll.GetPrice(F1136,"Actual","AssessmentDate",EDATE(C1136,-12))))</f>
        <v>45456.654918981483</v>
      </c>
    </row>
    <row r="1137" spans="1:9" s="10" customFormat="1" x14ac:dyDescent="0.25">
      <c r="A1137" s="10" t="s">
        <v>2242</v>
      </c>
      <c r="B1137" s="14" cm="1">
        <f t="array" ref="B1137">_xll.GetPrice(F1137,,G1137,_xll.GetPrice(F1137,"Actual","AssessmentDate",IF(_xll.GetPrice(F1137,"Actual","PreliminaryPrice",EDATE(C1137,-12)),_xll.GetPrice(F1137,"Actual","AssessmentDate",EDATE(C1137,-12))-1,_xll.GetPrice(F1137,"Actual","AssessmentDate",EDATE(C1137,-12)))))</f>
        <v>450</v>
      </c>
      <c r="C1137" s="11" cm="1">
        <f t="array" ref="C1137">_xll.GetLatestPrice(F1137,"Actual","AssessmentDate")</f>
        <v>45826.652615740742</v>
      </c>
      <c r="D1137">
        <f t="shared" si="34"/>
        <v>2025</v>
      </c>
      <c r="E1137">
        <f t="shared" si="35"/>
        <v>6</v>
      </c>
      <c r="F1137" s="10" t="s">
        <v>2220</v>
      </c>
      <c r="G1137" s="10" t="s">
        <v>11</v>
      </c>
      <c r="H1137" s="10" t="s">
        <v>1962</v>
      </c>
      <c r="I1137" s="11" cm="1">
        <f t="array" ref="I1137">_xll.GetPrice(F1137,"Actual","AssessmentDate",IF(_xll.GetPrice(F1137,"Actual","PreliminaryPrice",EDATE(C1137,-12)),_xll.GetPrice(F1137,"Actual","AssessmentDate",EDATE(C1137,-12))-1,_xll.GetPrice(F1137,"Actual","AssessmentDate",EDATE(C1137,-12))))</f>
        <v>45456.654918981483</v>
      </c>
    </row>
    <row r="1138" spans="1:9" x14ac:dyDescent="0.25">
      <c r="A1138" t="s">
        <v>2243</v>
      </c>
      <c r="B1138" s="14" cm="1">
        <f t="array" ref="B1138">_xll.GetLatestPrice(F1138,,G1138)</f>
        <v>595</v>
      </c>
      <c r="C1138" s="1" cm="1">
        <f t="array" ref="C1138">_xll.GetLatestPrice(F1138,"Actual","AssessmentDate")</f>
        <v>45826.645833333336</v>
      </c>
      <c r="D1138">
        <f t="shared" si="34"/>
        <v>2025</v>
      </c>
      <c r="E1138">
        <f t="shared" si="35"/>
        <v>6</v>
      </c>
      <c r="F1138" s="9" t="s">
        <v>2244</v>
      </c>
      <c r="G1138" s="9" t="s">
        <v>11</v>
      </c>
      <c r="H1138" s="9" t="s">
        <v>12</v>
      </c>
    </row>
    <row r="1139" spans="1:9" x14ac:dyDescent="0.25">
      <c r="A1139" t="s">
        <v>2245</v>
      </c>
      <c r="B1139" s="14" cm="1">
        <f t="array" ref="B1139">_xll.GetLatestPrice(F1139,,G1139)</f>
        <v>425</v>
      </c>
      <c r="C1139" s="1" cm="1">
        <f t="array" ref="C1139">_xll.GetLatestPrice(F1139,"Actual","AssessmentDate")</f>
        <v>45826.645833333336</v>
      </c>
      <c r="D1139">
        <f t="shared" si="34"/>
        <v>2025</v>
      </c>
      <c r="E1139">
        <f t="shared" si="35"/>
        <v>6</v>
      </c>
      <c r="F1139" s="9" t="s">
        <v>2246</v>
      </c>
      <c r="G1139" s="9" t="s">
        <v>11</v>
      </c>
      <c r="H1139" s="9" t="s">
        <v>12</v>
      </c>
    </row>
    <row r="1140" spans="1:9" x14ac:dyDescent="0.25">
      <c r="A1140" t="s">
        <v>2247</v>
      </c>
      <c r="B1140" s="14" cm="1">
        <f t="array" ref="B1140">_xll.GetLatestPrice(F1140,,G1140)</f>
        <v>460</v>
      </c>
      <c r="C1140" s="1" cm="1">
        <f t="array" ref="C1140">_xll.GetLatestPrice(F1140,"Actual","AssessmentDate")</f>
        <v>45826.645833333336</v>
      </c>
      <c r="D1140">
        <f t="shared" si="34"/>
        <v>2025</v>
      </c>
      <c r="E1140">
        <f t="shared" si="35"/>
        <v>6</v>
      </c>
      <c r="F1140" s="9" t="s">
        <v>2248</v>
      </c>
      <c r="G1140" s="9" t="s">
        <v>11</v>
      </c>
      <c r="H1140" s="9" t="s">
        <v>12</v>
      </c>
    </row>
    <row r="1141" spans="1:9" x14ac:dyDescent="0.25">
      <c r="A1141" t="s">
        <v>2249</v>
      </c>
      <c r="B1141" s="14" cm="1">
        <f t="array" ref="B1141">_xll.GetLatestPrice(F1141,,G1141)</f>
        <v>480</v>
      </c>
      <c r="C1141" s="1" cm="1">
        <f t="array" ref="C1141">_xll.GetLatestPrice(F1141,"Actual","AssessmentDate")</f>
        <v>45826.645833333336</v>
      </c>
      <c r="D1141">
        <f t="shared" si="34"/>
        <v>2025</v>
      </c>
      <c r="E1141">
        <f t="shared" si="35"/>
        <v>6</v>
      </c>
      <c r="F1141" s="9" t="s">
        <v>2250</v>
      </c>
      <c r="G1141" s="9" t="s">
        <v>11</v>
      </c>
      <c r="H1141" s="9" t="s">
        <v>12</v>
      </c>
    </row>
    <row r="1142" spans="1:9" x14ac:dyDescent="0.25">
      <c r="A1142" t="s">
        <v>2251</v>
      </c>
      <c r="B1142" s="14" cm="1">
        <f t="array" ref="B1142">_xll.GetLatestPrice(F1142,,G1142)</f>
        <v>440</v>
      </c>
      <c r="C1142" s="1" cm="1">
        <f t="array" ref="C1142">_xll.GetLatestPrice(F1142,"Actual","AssessmentDate")</f>
        <v>45826.645833333336</v>
      </c>
      <c r="D1142">
        <f t="shared" si="34"/>
        <v>2025</v>
      </c>
      <c r="E1142">
        <f t="shared" si="35"/>
        <v>6</v>
      </c>
      <c r="F1142" s="9" t="s">
        <v>2252</v>
      </c>
      <c r="G1142" s="9" t="s">
        <v>11</v>
      </c>
      <c r="H1142" s="9" t="s">
        <v>12</v>
      </c>
    </row>
    <row r="1143" spans="1:9" x14ac:dyDescent="0.25">
      <c r="A1143" t="s">
        <v>2253</v>
      </c>
      <c r="B1143" s="14" cm="1">
        <f t="array" ref="B1143">_xll.GetLatestPrice(F1143,,G1143)</f>
        <v>540</v>
      </c>
      <c r="C1143" s="1" cm="1">
        <f t="array" ref="C1143">_xll.GetLatestPrice(F1143,"Actual","AssessmentDate")</f>
        <v>45826.645833333336</v>
      </c>
      <c r="D1143">
        <f t="shared" si="34"/>
        <v>2025</v>
      </c>
      <c r="E1143">
        <f t="shared" si="35"/>
        <v>6</v>
      </c>
      <c r="F1143" s="9" t="s">
        <v>2254</v>
      </c>
      <c r="G1143" s="9" t="s">
        <v>11</v>
      </c>
      <c r="H1143" s="9" t="s">
        <v>12</v>
      </c>
    </row>
    <row r="1144" spans="1:9" x14ac:dyDescent="0.25">
      <c r="A1144" t="s">
        <v>2255</v>
      </c>
      <c r="B1144" s="14" cm="1">
        <f t="array" ref="B1144">_xll.GetLatestPrice(F1144,,G1144)</f>
        <v>435</v>
      </c>
      <c r="C1144" s="1" cm="1">
        <f t="array" ref="C1144">_xll.GetLatestPrice(F1144,"Actual","AssessmentDate")</f>
        <v>45826.645833333336</v>
      </c>
      <c r="D1144">
        <f t="shared" si="34"/>
        <v>2025</v>
      </c>
      <c r="E1144">
        <f t="shared" si="35"/>
        <v>6</v>
      </c>
      <c r="F1144" s="9" t="s">
        <v>2256</v>
      </c>
      <c r="G1144" s="9" t="s">
        <v>11</v>
      </c>
      <c r="H1144" s="9" t="s">
        <v>12</v>
      </c>
    </row>
    <row r="1145" spans="1:9" x14ac:dyDescent="0.25">
      <c r="A1145" t="s">
        <v>2257</v>
      </c>
      <c r="B1145" s="14" cm="1">
        <f t="array" ref="B1145">_xll.GetLatestPrice(F1145,,G1145)</f>
        <v>455</v>
      </c>
      <c r="C1145" s="1" cm="1">
        <f t="array" ref="C1145">_xll.GetLatestPrice(F1145,"Actual","AssessmentDate")</f>
        <v>45826.645833333336</v>
      </c>
      <c r="D1145">
        <f t="shared" si="34"/>
        <v>2025</v>
      </c>
      <c r="E1145">
        <f t="shared" si="35"/>
        <v>6</v>
      </c>
      <c r="F1145" s="9" t="s">
        <v>2258</v>
      </c>
      <c r="G1145" s="9" t="s">
        <v>11</v>
      </c>
      <c r="H1145" s="9" t="s">
        <v>12</v>
      </c>
    </row>
    <row r="1146" spans="1:9" x14ac:dyDescent="0.25">
      <c r="A1146" t="s">
        <v>2259</v>
      </c>
      <c r="B1146" s="14" cm="1">
        <f t="array" ref="B1146">_xll.GetLatestPrice(F1146,,G1146)</f>
        <v>525</v>
      </c>
      <c r="C1146" s="1" cm="1">
        <f t="array" ref="C1146">_xll.GetLatestPrice(F1146,"Actual","AssessmentDate")</f>
        <v>45826.645833333336</v>
      </c>
      <c r="D1146">
        <f t="shared" si="34"/>
        <v>2025</v>
      </c>
      <c r="E1146">
        <f t="shared" si="35"/>
        <v>6</v>
      </c>
      <c r="F1146" s="9" t="s">
        <v>2260</v>
      </c>
      <c r="G1146" s="9" t="s">
        <v>11</v>
      </c>
      <c r="H1146" s="9" t="s">
        <v>12</v>
      </c>
    </row>
    <row r="1147" spans="1:9" x14ac:dyDescent="0.25">
      <c r="A1147" t="s">
        <v>2261</v>
      </c>
      <c r="B1147" s="14" cm="1">
        <f t="array" ref="B1147">_xll.GetLatestPrice(F1147,,G1147)</f>
        <v>445</v>
      </c>
      <c r="C1147" s="1" cm="1">
        <f t="array" ref="C1147">_xll.GetLatestPrice(F1147,"Actual","AssessmentDate")</f>
        <v>45826.645833333336</v>
      </c>
      <c r="D1147">
        <f t="shared" si="34"/>
        <v>2025</v>
      </c>
      <c r="E1147">
        <f t="shared" si="35"/>
        <v>6</v>
      </c>
      <c r="F1147" s="9" t="s">
        <v>2262</v>
      </c>
      <c r="G1147" s="9" t="s">
        <v>11</v>
      </c>
      <c r="H1147" s="9" t="s">
        <v>12</v>
      </c>
    </row>
    <row r="1148" spans="1:9" x14ac:dyDescent="0.25">
      <c r="A1148" t="s">
        <v>2263</v>
      </c>
      <c r="B1148" s="14" cm="1">
        <f t="array" ref="B1148">_xll.GetLatestPrice(F1148,,G1148)</f>
        <v>60</v>
      </c>
      <c r="C1148" s="1" cm="1">
        <f t="array" ref="C1148">_xll.GetLatestPrice(F1148,"Actual","AssessmentDate")</f>
        <v>45778.289039351854</v>
      </c>
      <c r="D1148">
        <f t="shared" si="34"/>
        <v>2025</v>
      </c>
      <c r="E1148">
        <f t="shared" si="35"/>
        <v>5</v>
      </c>
      <c r="F1148" s="9" t="s">
        <v>2264</v>
      </c>
      <c r="G1148" s="9" t="s">
        <v>11</v>
      </c>
      <c r="H1148" s="9" t="s">
        <v>12</v>
      </c>
    </row>
    <row r="1149" spans="1:9" x14ac:dyDescent="0.25">
      <c r="A1149" t="s">
        <v>2265</v>
      </c>
      <c r="B1149" s="14" cm="1">
        <f t="array" ref="B1149">_xll.GetLatestPrice(F1149,,G1149)</f>
        <v>535</v>
      </c>
      <c r="C1149" s="1" cm="1">
        <f t="array" ref="C1149">_xll.GetLatestPrice(F1149,"Actual","AssessmentDate")</f>
        <v>45826.645833333336</v>
      </c>
      <c r="D1149">
        <f t="shared" si="34"/>
        <v>2025</v>
      </c>
      <c r="E1149">
        <f t="shared" si="35"/>
        <v>6</v>
      </c>
      <c r="F1149" s="9" t="s">
        <v>2266</v>
      </c>
      <c r="G1149" s="9" t="s">
        <v>11</v>
      </c>
      <c r="H1149" s="9" t="s">
        <v>12</v>
      </c>
    </row>
    <row r="1150" spans="1:9" x14ac:dyDescent="0.25">
      <c r="A1150" t="s">
        <v>2267</v>
      </c>
      <c r="B1150" s="14" cm="1">
        <f t="array" ref="B1150">_xll.GetLatestPrice(F1150,,G1150)</f>
        <v>440</v>
      </c>
      <c r="C1150" s="1" cm="1">
        <f t="array" ref="C1150">_xll.GetLatestPrice(F1150,"Actual","AssessmentDate")</f>
        <v>45826.645833333336</v>
      </c>
      <c r="D1150">
        <f t="shared" si="34"/>
        <v>2025</v>
      </c>
      <c r="E1150">
        <f t="shared" si="35"/>
        <v>6</v>
      </c>
      <c r="F1150" s="9" t="s">
        <v>2268</v>
      </c>
      <c r="G1150" s="9" t="s">
        <v>11</v>
      </c>
      <c r="H1150" s="9" t="s">
        <v>12</v>
      </c>
    </row>
    <row r="1151" spans="1:9" x14ac:dyDescent="0.25">
      <c r="A1151" t="s">
        <v>2269</v>
      </c>
      <c r="B1151" s="14" cm="1">
        <f t="array" ref="B1151">_xll.GetLatestPrice(F1151,,G1151)</f>
        <v>455</v>
      </c>
      <c r="C1151" s="1" cm="1">
        <f t="array" ref="C1151">_xll.GetLatestPrice(F1151,"Actual","AssessmentDate")</f>
        <v>45826.645833333336</v>
      </c>
      <c r="D1151">
        <f t="shared" si="34"/>
        <v>2025</v>
      </c>
      <c r="E1151">
        <f t="shared" si="35"/>
        <v>6</v>
      </c>
      <c r="F1151" s="9" t="s">
        <v>2270</v>
      </c>
      <c r="G1151" s="9" t="s">
        <v>11</v>
      </c>
      <c r="H1151" s="9" t="s">
        <v>12</v>
      </c>
    </row>
    <row r="1152" spans="1:9" x14ac:dyDescent="0.25">
      <c r="A1152" t="s">
        <v>2271</v>
      </c>
      <c r="B1152" s="14" cm="1">
        <f t="array" ref="B1152">_xll.GetLatestPrice(F1152,,G1152)</f>
        <v>540</v>
      </c>
      <c r="C1152" s="1" cm="1">
        <f t="array" ref="C1152">_xll.GetLatestPrice(F1152,"Actual","AssessmentDate")</f>
        <v>45826.645833333336</v>
      </c>
      <c r="D1152">
        <f t="shared" si="34"/>
        <v>2025</v>
      </c>
      <c r="E1152">
        <f t="shared" si="35"/>
        <v>6</v>
      </c>
      <c r="F1152" s="9" t="s">
        <v>2272</v>
      </c>
      <c r="G1152" s="9" t="s">
        <v>11</v>
      </c>
      <c r="H1152" s="9" t="s">
        <v>12</v>
      </c>
    </row>
    <row r="1153" spans="1:8" x14ac:dyDescent="0.25">
      <c r="A1153" t="s">
        <v>2273</v>
      </c>
      <c r="B1153" s="14" cm="1">
        <f t="array" ref="B1153">_xll.GetLatestPrice(F1153,,G1153)</f>
        <v>480</v>
      </c>
      <c r="C1153" s="1" cm="1">
        <f t="array" ref="C1153">_xll.GetLatestPrice(F1153,"Actual","AssessmentDate")</f>
        <v>45826.645833333336</v>
      </c>
      <c r="D1153">
        <f t="shared" si="34"/>
        <v>2025</v>
      </c>
      <c r="E1153">
        <f t="shared" si="35"/>
        <v>6</v>
      </c>
      <c r="F1153" s="9" t="s">
        <v>2274</v>
      </c>
      <c r="G1153" s="9" t="s">
        <v>11</v>
      </c>
      <c r="H1153" s="9" t="s">
        <v>12</v>
      </c>
    </row>
    <row r="1154" spans="1:8" x14ac:dyDescent="0.25">
      <c r="A1154" t="s">
        <v>2275</v>
      </c>
      <c r="B1154" s="14" cm="1">
        <f t="array" ref="B1154">_xll.GetLatestPrice(F1154,,G1154)</f>
        <v>70</v>
      </c>
      <c r="C1154" s="1" cm="1">
        <f t="array" ref="C1154">_xll.GetLatestPrice(F1154,"Actual","AssessmentDate")</f>
        <v>45778.289039351854</v>
      </c>
      <c r="D1154">
        <f t="shared" si="34"/>
        <v>2025</v>
      </c>
      <c r="E1154">
        <f t="shared" si="35"/>
        <v>5</v>
      </c>
      <c r="F1154" s="9" t="s">
        <v>2264</v>
      </c>
      <c r="G1154" s="9" t="s">
        <v>112</v>
      </c>
      <c r="H1154" s="9" t="s">
        <v>12</v>
      </c>
    </row>
    <row r="1155" spans="1:8" x14ac:dyDescent="0.25">
      <c r="A1155" t="s">
        <v>2276</v>
      </c>
      <c r="B1155" s="14" cm="1">
        <f t="array" ref="B1155">_xll.GetLatestPrice(F1155,,G1155)</f>
        <v>585</v>
      </c>
      <c r="C1155" s="1" cm="1">
        <f t="array" ref="C1155">_xll.GetLatestPrice(F1155,"Actual","AssessmentDate")</f>
        <v>45826.645833333336</v>
      </c>
      <c r="D1155">
        <f t="shared" ref="D1155:D1218" si="36">YEAR(C1155)</f>
        <v>2025</v>
      </c>
      <c r="E1155">
        <f t="shared" ref="E1155:E1218" si="37">MONTH(C1155)</f>
        <v>6</v>
      </c>
      <c r="F1155" s="9" t="s">
        <v>2277</v>
      </c>
      <c r="G1155" s="9" t="s">
        <v>11</v>
      </c>
      <c r="H1155" s="9" t="s">
        <v>12</v>
      </c>
    </row>
    <row r="1156" spans="1:8" x14ac:dyDescent="0.25">
      <c r="A1156" t="s">
        <v>2278</v>
      </c>
      <c r="B1156" s="14" cm="1">
        <f t="array" ref="B1156">_xll.GetLatestPrice(F1156,,G1156)</f>
        <v>465</v>
      </c>
      <c r="C1156" s="1" cm="1">
        <f t="array" ref="C1156">_xll.GetLatestPrice(F1156,"Actual","AssessmentDate")</f>
        <v>45826.645833333336</v>
      </c>
      <c r="D1156">
        <f t="shared" si="36"/>
        <v>2025</v>
      </c>
      <c r="E1156">
        <f t="shared" si="37"/>
        <v>6</v>
      </c>
      <c r="F1156" s="9" t="s">
        <v>2279</v>
      </c>
      <c r="G1156" s="9" t="s">
        <v>11</v>
      </c>
      <c r="H1156" s="9" t="s">
        <v>12</v>
      </c>
    </row>
    <row r="1157" spans="1:8" x14ac:dyDescent="0.25">
      <c r="A1157" t="s">
        <v>2280</v>
      </c>
      <c r="B1157" s="14" cm="1">
        <f t="array" ref="B1157">_xll.GetLatestPrice(F1157,,G1157)</f>
        <v>460</v>
      </c>
      <c r="C1157" s="1" cm="1">
        <f t="array" ref="C1157">_xll.GetLatestPrice(F1157,"Actual","AssessmentDate")</f>
        <v>45826.645833333336</v>
      </c>
      <c r="D1157">
        <f t="shared" si="36"/>
        <v>2025</v>
      </c>
      <c r="E1157">
        <f t="shared" si="37"/>
        <v>6</v>
      </c>
      <c r="F1157" s="9" t="s">
        <v>2281</v>
      </c>
      <c r="G1157" s="9" t="s">
        <v>11</v>
      </c>
      <c r="H1157" s="9" t="s">
        <v>12</v>
      </c>
    </row>
    <row r="1158" spans="1:8" x14ac:dyDescent="0.25">
      <c r="A1158" t="s">
        <v>2282</v>
      </c>
      <c r="B1158" s="14" cm="1">
        <f t="array" ref="B1158">_xll.GetLatestPrice(F1158,,G1158)</f>
        <v>560</v>
      </c>
      <c r="C1158" s="1" cm="1">
        <f t="array" ref="C1158">_xll.GetLatestPrice(F1158,"Actual","AssessmentDate")</f>
        <v>45826.645833333336</v>
      </c>
      <c r="D1158">
        <f t="shared" si="36"/>
        <v>2025</v>
      </c>
      <c r="E1158">
        <f t="shared" si="37"/>
        <v>6</v>
      </c>
      <c r="F1158" s="9" t="s">
        <v>2283</v>
      </c>
      <c r="G1158" s="9" t="s">
        <v>11</v>
      </c>
      <c r="H1158" s="9" t="s">
        <v>12</v>
      </c>
    </row>
    <row r="1159" spans="1:8" x14ac:dyDescent="0.25">
      <c r="A1159" t="s">
        <v>2284</v>
      </c>
      <c r="B1159" s="14" cm="1">
        <f t="array" ref="B1159">_xll.GetLatestPrice(F1159,,G1159)</f>
        <v>445</v>
      </c>
      <c r="C1159" s="1" cm="1">
        <f t="array" ref="C1159">_xll.GetLatestPrice(F1159,"Actual","AssessmentDate")</f>
        <v>45826.645833333336</v>
      </c>
      <c r="D1159">
        <f t="shared" si="36"/>
        <v>2025</v>
      </c>
      <c r="E1159">
        <f t="shared" si="37"/>
        <v>6</v>
      </c>
      <c r="F1159" s="9" t="s">
        <v>2285</v>
      </c>
      <c r="G1159" s="9" t="s">
        <v>11</v>
      </c>
      <c r="H1159" s="9" t="s">
        <v>12</v>
      </c>
    </row>
    <row r="1160" spans="1:8" x14ac:dyDescent="0.25">
      <c r="A1160" t="s">
        <v>2286</v>
      </c>
      <c r="B1160" s="14" cm="1">
        <f t="array" ref="B1160">_xll.GetLatestPrice(F1160,,G1160)</f>
        <v>615</v>
      </c>
      <c r="C1160" s="1" cm="1">
        <f t="array" ref="C1160">_xll.GetLatestPrice(F1160,"Actual","AssessmentDate")</f>
        <v>45826.645833333336</v>
      </c>
      <c r="D1160">
        <f t="shared" si="36"/>
        <v>2025</v>
      </c>
      <c r="E1160">
        <f t="shared" si="37"/>
        <v>6</v>
      </c>
      <c r="F1160" s="9" t="s">
        <v>2287</v>
      </c>
      <c r="G1160" s="9" t="s">
        <v>11</v>
      </c>
      <c r="H1160" s="9" t="s">
        <v>12</v>
      </c>
    </row>
    <row r="1161" spans="1:8" x14ac:dyDescent="0.25">
      <c r="A1161" t="s">
        <v>2288</v>
      </c>
      <c r="B1161" s="14" cm="1">
        <f t="array" ref="B1161">_xll.GetLatestPrice(F1161,,G1161)</f>
        <v>450</v>
      </c>
      <c r="C1161" s="1" cm="1">
        <f t="array" ref="C1161">_xll.GetLatestPrice(F1161,"Actual","AssessmentDate")</f>
        <v>45826.645833333336</v>
      </c>
      <c r="D1161">
        <f t="shared" si="36"/>
        <v>2025</v>
      </c>
      <c r="E1161">
        <f t="shared" si="37"/>
        <v>6</v>
      </c>
      <c r="F1161" s="9" t="s">
        <v>2289</v>
      </c>
      <c r="G1161" s="9" t="s">
        <v>11</v>
      </c>
      <c r="H1161" s="9" t="s">
        <v>12</v>
      </c>
    </row>
    <row r="1162" spans="1:8" x14ac:dyDescent="0.25">
      <c r="A1162" t="s">
        <v>2290</v>
      </c>
      <c r="B1162" s="14" cm="1">
        <f t="array" ref="B1162">_xll.GetLatestPrice(F1162,,G1162)</f>
        <v>470</v>
      </c>
      <c r="C1162" s="1" cm="1">
        <f t="array" ref="C1162">_xll.GetLatestPrice(F1162,"Actual","AssessmentDate")</f>
        <v>45826.645833333336</v>
      </c>
      <c r="D1162">
        <f t="shared" si="36"/>
        <v>2025</v>
      </c>
      <c r="E1162">
        <f t="shared" si="37"/>
        <v>6</v>
      </c>
      <c r="F1162" s="9" t="s">
        <v>2291</v>
      </c>
      <c r="G1162" s="9" t="s">
        <v>11</v>
      </c>
      <c r="H1162" s="9" t="s">
        <v>12</v>
      </c>
    </row>
    <row r="1163" spans="1:8" x14ac:dyDescent="0.25">
      <c r="A1163" t="s">
        <v>2292</v>
      </c>
      <c r="B1163" s="14" cm="1">
        <f t="array" ref="B1163">_xll.GetLatestPrice(F1163,,G1163)</f>
        <v>565</v>
      </c>
      <c r="C1163" s="1" cm="1">
        <f t="array" ref="C1163">_xll.GetLatestPrice(F1163,"Actual","AssessmentDate")</f>
        <v>45826.645833333336</v>
      </c>
      <c r="D1163">
        <f t="shared" si="36"/>
        <v>2025</v>
      </c>
      <c r="E1163">
        <f t="shared" si="37"/>
        <v>6</v>
      </c>
      <c r="F1163" s="9" t="s">
        <v>2293</v>
      </c>
      <c r="G1163" s="9" t="s">
        <v>11</v>
      </c>
      <c r="H1163" s="9" t="s">
        <v>12</v>
      </c>
    </row>
    <row r="1164" spans="1:8" x14ac:dyDescent="0.25">
      <c r="A1164" t="s">
        <v>2294</v>
      </c>
      <c r="B1164" s="14" cm="1">
        <f t="array" ref="B1164">_xll.GetLatestPrice(F1164,,G1164)</f>
        <v>520</v>
      </c>
      <c r="C1164" s="1" cm="1">
        <f t="array" ref="C1164">_xll.GetLatestPrice(F1164,"Actual","AssessmentDate")</f>
        <v>45826.645833333336</v>
      </c>
      <c r="D1164">
        <f t="shared" si="36"/>
        <v>2025</v>
      </c>
      <c r="E1164">
        <f t="shared" si="37"/>
        <v>6</v>
      </c>
      <c r="F1164" s="9" t="s">
        <v>2295</v>
      </c>
      <c r="G1164" s="9" t="s">
        <v>11</v>
      </c>
      <c r="H1164" s="9" t="s">
        <v>12</v>
      </c>
    </row>
    <row r="1165" spans="1:8" x14ac:dyDescent="0.25">
      <c r="A1165" t="s">
        <v>2296</v>
      </c>
      <c r="B1165" s="14" cm="1">
        <f t="array" ref="B1165">_xll.GetLatestPrice(F1165,,G1165)</f>
        <v>755</v>
      </c>
      <c r="C1165" s="1" cm="1">
        <f t="array" ref="C1165">_xll.GetLatestPrice(F1165,"Actual","AssessmentDate")</f>
        <v>45826.645833333336</v>
      </c>
      <c r="D1165">
        <f t="shared" si="36"/>
        <v>2025</v>
      </c>
      <c r="E1165">
        <f t="shared" si="37"/>
        <v>6</v>
      </c>
      <c r="F1165" s="9" t="s">
        <v>2297</v>
      </c>
      <c r="G1165" s="9" t="s">
        <v>11</v>
      </c>
      <c r="H1165" s="9" t="s">
        <v>12</v>
      </c>
    </row>
    <row r="1166" spans="1:8" x14ac:dyDescent="0.25">
      <c r="A1166" t="s">
        <v>2298</v>
      </c>
      <c r="B1166" s="14" cm="1">
        <f t="array" ref="B1166">_xll.GetLatestPrice(F1166,,G1166)</f>
        <v>685</v>
      </c>
      <c r="C1166" s="1" cm="1">
        <f t="array" ref="C1166">_xll.GetLatestPrice(F1166,"Actual","AssessmentDate")</f>
        <v>45826.645833333336</v>
      </c>
      <c r="D1166">
        <f t="shared" si="36"/>
        <v>2025</v>
      </c>
      <c r="E1166">
        <f t="shared" si="37"/>
        <v>6</v>
      </c>
      <c r="F1166" s="9" t="s">
        <v>2299</v>
      </c>
      <c r="G1166" s="9" t="s">
        <v>11</v>
      </c>
      <c r="H1166" s="9" t="s">
        <v>12</v>
      </c>
    </row>
    <row r="1167" spans="1:8" x14ac:dyDescent="0.25">
      <c r="A1167" t="s">
        <v>2300</v>
      </c>
      <c r="B1167" s="14" cm="1">
        <f t="array" ref="B1167">_xll.GetLatestPrice(F1167,,G1167)</f>
        <v>835</v>
      </c>
      <c r="C1167" s="1" cm="1">
        <f t="array" ref="C1167">_xll.GetLatestPrice(F1167,"Actual","AssessmentDate")</f>
        <v>45826.645833333336</v>
      </c>
      <c r="D1167">
        <f t="shared" si="36"/>
        <v>2025</v>
      </c>
      <c r="E1167">
        <f t="shared" si="37"/>
        <v>6</v>
      </c>
      <c r="F1167" s="9" t="s">
        <v>2301</v>
      </c>
      <c r="G1167" s="9" t="s">
        <v>11</v>
      </c>
      <c r="H1167" s="9" t="s">
        <v>12</v>
      </c>
    </row>
    <row r="1168" spans="1:8" x14ac:dyDescent="0.25">
      <c r="A1168" t="s">
        <v>2302</v>
      </c>
      <c r="B1168" s="14" cm="1">
        <f t="array" ref="B1168">_xll.GetLatestPrice(F1168,,G1168)</f>
        <v>920</v>
      </c>
      <c r="C1168" s="1" cm="1">
        <f t="array" ref="C1168">_xll.GetLatestPrice(F1168,"Actual","AssessmentDate")</f>
        <v>45826.645833333336</v>
      </c>
      <c r="D1168">
        <f t="shared" si="36"/>
        <v>2025</v>
      </c>
      <c r="E1168">
        <f t="shared" si="37"/>
        <v>6</v>
      </c>
      <c r="F1168" s="9" t="s">
        <v>2303</v>
      </c>
      <c r="G1168" s="9" t="s">
        <v>11</v>
      </c>
      <c r="H1168" s="9" t="s">
        <v>12</v>
      </c>
    </row>
    <row r="1169" spans="1:8" x14ac:dyDescent="0.25">
      <c r="A1169" t="s">
        <v>2304</v>
      </c>
      <c r="B1169" s="14" cm="1">
        <f t="array" ref="B1169">_xll.GetLatestPrice(F1169,,G1169)</f>
        <v>860</v>
      </c>
      <c r="C1169" s="1" cm="1">
        <f t="array" ref="C1169">_xll.GetLatestPrice(F1169,"Actual","AssessmentDate")</f>
        <v>45826.645833333336</v>
      </c>
      <c r="D1169">
        <f t="shared" si="36"/>
        <v>2025</v>
      </c>
      <c r="E1169">
        <f t="shared" si="37"/>
        <v>6</v>
      </c>
      <c r="F1169" s="9" t="s">
        <v>2305</v>
      </c>
      <c r="G1169" s="9" t="s">
        <v>11</v>
      </c>
      <c r="H1169" s="9" t="s">
        <v>12</v>
      </c>
    </row>
    <row r="1170" spans="1:8" x14ac:dyDescent="0.25">
      <c r="A1170" t="s">
        <v>2306</v>
      </c>
      <c r="B1170" s="14" cm="1">
        <f t="array" ref="B1170">_xll.GetLatestPrice(F1170,,G1170)</f>
        <v>785</v>
      </c>
      <c r="C1170" s="1" cm="1">
        <f t="array" ref="C1170">_xll.GetLatestPrice(F1170,"Actual","AssessmentDate")</f>
        <v>45826.645833333336</v>
      </c>
      <c r="D1170">
        <f t="shared" si="36"/>
        <v>2025</v>
      </c>
      <c r="E1170">
        <f t="shared" si="37"/>
        <v>6</v>
      </c>
      <c r="F1170" s="9" t="s">
        <v>2307</v>
      </c>
      <c r="G1170" s="9" t="s">
        <v>11</v>
      </c>
      <c r="H1170" s="9" t="s">
        <v>12</v>
      </c>
    </row>
    <row r="1171" spans="1:8" x14ac:dyDescent="0.25">
      <c r="A1171" t="s">
        <v>2308</v>
      </c>
      <c r="B1171" s="14" cm="1">
        <f t="array" ref="B1171">_xll.GetLatestPrice(F1171,,G1171)</f>
        <v>880</v>
      </c>
      <c r="C1171" s="1" cm="1">
        <f t="array" ref="C1171">_xll.GetLatestPrice(F1171,"Actual","AssessmentDate")</f>
        <v>45826.645833333336</v>
      </c>
      <c r="D1171">
        <f t="shared" si="36"/>
        <v>2025</v>
      </c>
      <c r="E1171">
        <f t="shared" si="37"/>
        <v>6</v>
      </c>
      <c r="F1171" s="9" t="s">
        <v>2309</v>
      </c>
      <c r="G1171" s="9" t="s">
        <v>11</v>
      </c>
      <c r="H1171" s="9" t="s">
        <v>12</v>
      </c>
    </row>
    <row r="1172" spans="1:8" x14ac:dyDescent="0.25">
      <c r="A1172" t="s">
        <v>2310</v>
      </c>
      <c r="B1172" s="14" cm="1">
        <f t="array" ref="B1172">_xll.GetLatestPrice(F1172,,G1172)</f>
        <v>755</v>
      </c>
      <c r="C1172" s="1" cm="1">
        <f t="array" ref="C1172">_xll.GetLatestPrice(F1172,"Actual","AssessmentDate")</f>
        <v>45826.645833333336</v>
      </c>
      <c r="D1172">
        <f t="shared" si="36"/>
        <v>2025</v>
      </c>
      <c r="E1172">
        <f t="shared" si="37"/>
        <v>6</v>
      </c>
      <c r="F1172" s="9" t="s">
        <v>2311</v>
      </c>
      <c r="G1172" s="9" t="s">
        <v>11</v>
      </c>
      <c r="H1172" s="9" t="s">
        <v>12</v>
      </c>
    </row>
    <row r="1173" spans="1:8" x14ac:dyDescent="0.25">
      <c r="A1173" t="s">
        <v>2312</v>
      </c>
      <c r="B1173" s="14" cm="1">
        <f t="array" ref="B1173">_xll.GetLatestPrice(F1173,,G1173)</f>
        <v>660</v>
      </c>
      <c r="C1173" s="1" cm="1">
        <f t="array" ref="C1173">_xll.GetLatestPrice(F1173,"Actual","AssessmentDate")</f>
        <v>45826.645833333336</v>
      </c>
      <c r="D1173">
        <f t="shared" si="36"/>
        <v>2025</v>
      </c>
      <c r="E1173">
        <f t="shared" si="37"/>
        <v>6</v>
      </c>
      <c r="F1173" s="9" t="s">
        <v>2313</v>
      </c>
      <c r="G1173" s="9" t="s">
        <v>11</v>
      </c>
      <c r="H1173" s="9" t="s">
        <v>12</v>
      </c>
    </row>
    <row r="1174" spans="1:8" x14ac:dyDescent="0.25">
      <c r="A1174" t="s">
        <v>2314</v>
      </c>
      <c r="B1174" s="14" cm="1">
        <f t="array" ref="B1174">_xll.GetLatestPrice(F1174,,G1174)</f>
        <v>895</v>
      </c>
      <c r="C1174" s="1" cm="1">
        <f t="array" ref="C1174">_xll.GetLatestPrice(F1174,"Actual","AssessmentDate")</f>
        <v>45826.645833333336</v>
      </c>
      <c r="D1174">
        <f t="shared" si="36"/>
        <v>2025</v>
      </c>
      <c r="E1174">
        <f t="shared" si="37"/>
        <v>6</v>
      </c>
      <c r="F1174" s="9" t="s">
        <v>2315</v>
      </c>
      <c r="G1174" s="9" t="s">
        <v>11</v>
      </c>
      <c r="H1174" s="9" t="s">
        <v>12</v>
      </c>
    </row>
    <row r="1175" spans="1:8" x14ac:dyDescent="0.25">
      <c r="A1175" t="s">
        <v>2316</v>
      </c>
      <c r="B1175" s="14" cm="1">
        <f t="array" ref="B1175">_xll.GetLatestPrice(F1175,,G1175)</f>
        <v>870</v>
      </c>
      <c r="C1175" s="1" cm="1">
        <f t="array" ref="C1175">_xll.GetLatestPrice(F1175,"Actual","AssessmentDate")</f>
        <v>45826.645833333336</v>
      </c>
      <c r="D1175">
        <f t="shared" si="36"/>
        <v>2025</v>
      </c>
      <c r="E1175">
        <f t="shared" si="37"/>
        <v>6</v>
      </c>
      <c r="F1175" s="9" t="s">
        <v>2317</v>
      </c>
      <c r="G1175" s="9" t="s">
        <v>11</v>
      </c>
      <c r="H1175" s="9" t="s">
        <v>12</v>
      </c>
    </row>
    <row r="1176" spans="1:8" x14ac:dyDescent="0.25">
      <c r="A1176" t="s">
        <v>2318</v>
      </c>
      <c r="B1176" s="14" cm="1">
        <f t="array" ref="B1176">_xll.GetLatestPrice(F1176,,G1176)</f>
        <v>880</v>
      </c>
      <c r="C1176" s="1" cm="1">
        <f t="array" ref="C1176">_xll.GetLatestPrice(F1176,"Actual","AssessmentDate")</f>
        <v>45826.645833333336</v>
      </c>
      <c r="D1176">
        <f t="shared" si="36"/>
        <v>2025</v>
      </c>
      <c r="E1176">
        <f t="shared" si="37"/>
        <v>6</v>
      </c>
      <c r="F1176" s="9" t="s">
        <v>2319</v>
      </c>
      <c r="G1176" s="9" t="s">
        <v>11</v>
      </c>
      <c r="H1176" s="9" t="s">
        <v>12</v>
      </c>
    </row>
    <row r="1177" spans="1:8" x14ac:dyDescent="0.25">
      <c r="A1177" t="s">
        <v>2320</v>
      </c>
      <c r="B1177" s="14" cm="1">
        <f t="array" ref="B1177">_xll.GetLatestPrice(F1177,,G1177)</f>
        <v>790</v>
      </c>
      <c r="C1177" s="1" cm="1">
        <f t="array" ref="C1177">_xll.GetLatestPrice(F1177,"Actual","AssessmentDate")</f>
        <v>45826.645833333336</v>
      </c>
      <c r="D1177">
        <f t="shared" si="36"/>
        <v>2025</v>
      </c>
      <c r="E1177">
        <f t="shared" si="37"/>
        <v>6</v>
      </c>
      <c r="F1177" s="9" t="s">
        <v>2321</v>
      </c>
      <c r="G1177" s="9" t="s">
        <v>11</v>
      </c>
      <c r="H1177" s="9" t="s">
        <v>12</v>
      </c>
    </row>
    <row r="1178" spans="1:8" x14ac:dyDescent="0.25">
      <c r="A1178" t="s">
        <v>2322</v>
      </c>
      <c r="B1178" s="14" cm="1">
        <f t="array" ref="B1178">_xll.GetLatestPrice(F1178,,G1178)</f>
        <v>870</v>
      </c>
      <c r="C1178" s="1" cm="1">
        <f t="array" ref="C1178">_xll.GetLatestPrice(F1178,"Actual","AssessmentDate")</f>
        <v>45826.645833333336</v>
      </c>
      <c r="D1178">
        <f t="shared" si="36"/>
        <v>2025</v>
      </c>
      <c r="E1178">
        <f t="shared" si="37"/>
        <v>6</v>
      </c>
      <c r="F1178" s="9" t="s">
        <v>2323</v>
      </c>
      <c r="G1178" s="9" t="s">
        <v>11</v>
      </c>
      <c r="H1178" s="9" t="s">
        <v>12</v>
      </c>
    </row>
    <row r="1179" spans="1:8" x14ac:dyDescent="0.25">
      <c r="A1179" t="s">
        <v>2324</v>
      </c>
      <c r="B1179" s="14" cm="1">
        <f t="array" ref="B1179">_xll.GetLatestPrice(F1179,,G1179)</f>
        <v>60</v>
      </c>
      <c r="C1179" s="1" cm="1">
        <f t="array" ref="C1179">_xll.GetLatestPrice(F1179,"Actual","AssessmentDate")</f>
        <v>45778.289039351854</v>
      </c>
      <c r="D1179">
        <f t="shared" si="36"/>
        <v>2025</v>
      </c>
      <c r="E1179">
        <f t="shared" si="37"/>
        <v>5</v>
      </c>
      <c r="F1179" s="9" t="s">
        <v>2325</v>
      </c>
      <c r="G1179" s="9" t="s">
        <v>11</v>
      </c>
      <c r="H1179" s="9" t="s">
        <v>12</v>
      </c>
    </row>
    <row r="1180" spans="1:8" x14ac:dyDescent="0.25">
      <c r="A1180" t="s">
        <v>2326</v>
      </c>
      <c r="B1180" s="14" cm="1">
        <f t="array" ref="B1180">_xll.GetLatestPrice(F1180,,G1180)</f>
        <v>670</v>
      </c>
      <c r="C1180" s="1" cm="1">
        <f t="array" ref="C1180">_xll.GetLatestPrice(F1180,"Actual","AssessmentDate")</f>
        <v>45826.645833333336</v>
      </c>
      <c r="D1180">
        <f t="shared" si="36"/>
        <v>2025</v>
      </c>
      <c r="E1180">
        <f t="shared" si="37"/>
        <v>6</v>
      </c>
      <c r="F1180" s="9" t="s">
        <v>2327</v>
      </c>
      <c r="G1180" s="9" t="s">
        <v>11</v>
      </c>
      <c r="H1180" s="9" t="s">
        <v>12</v>
      </c>
    </row>
    <row r="1181" spans="1:8" x14ac:dyDescent="0.25">
      <c r="A1181" t="s">
        <v>2328</v>
      </c>
      <c r="B1181" s="14" cm="1">
        <f t="array" ref="B1181">_xll.GetLatestPrice(F1181,,G1181)</f>
        <v>695</v>
      </c>
      <c r="C1181" s="1" cm="1">
        <f t="array" ref="C1181">_xll.GetLatestPrice(F1181,"Actual","AssessmentDate")</f>
        <v>45826.645833333336</v>
      </c>
      <c r="D1181">
        <f t="shared" si="36"/>
        <v>2025</v>
      </c>
      <c r="E1181">
        <f t="shared" si="37"/>
        <v>6</v>
      </c>
      <c r="F1181" s="9" t="s">
        <v>2329</v>
      </c>
      <c r="G1181" s="9" t="s">
        <v>11</v>
      </c>
      <c r="H1181" s="9" t="s">
        <v>12</v>
      </c>
    </row>
    <row r="1182" spans="1:8" x14ac:dyDescent="0.25">
      <c r="A1182" t="s">
        <v>2330</v>
      </c>
      <c r="B1182" s="14" cm="1">
        <f t="array" ref="B1182">_xll.GetLatestPrice(F1182,,G1182)</f>
        <v>785</v>
      </c>
      <c r="C1182" s="1" cm="1">
        <f t="array" ref="C1182">_xll.GetLatestPrice(F1182,"Actual","AssessmentDate")</f>
        <v>45826.645833333336</v>
      </c>
      <c r="D1182">
        <f t="shared" si="36"/>
        <v>2025</v>
      </c>
      <c r="E1182">
        <f t="shared" si="37"/>
        <v>6</v>
      </c>
      <c r="F1182" s="9" t="s">
        <v>2331</v>
      </c>
      <c r="G1182" s="9" t="s">
        <v>11</v>
      </c>
      <c r="H1182" s="9" t="s">
        <v>12</v>
      </c>
    </row>
    <row r="1183" spans="1:8" x14ac:dyDescent="0.25">
      <c r="A1183" t="s">
        <v>2332</v>
      </c>
      <c r="B1183" s="14" cm="1">
        <f t="array" ref="B1183">_xll.GetLatestPrice(F1183,,G1183)</f>
        <v>810</v>
      </c>
      <c r="C1183" s="1" cm="1">
        <f t="array" ref="C1183">_xll.GetLatestPrice(F1183,"Actual","AssessmentDate")</f>
        <v>45826.645833333336</v>
      </c>
      <c r="D1183">
        <f t="shared" si="36"/>
        <v>2025</v>
      </c>
      <c r="E1183">
        <f t="shared" si="37"/>
        <v>6</v>
      </c>
      <c r="F1183" s="9" t="s">
        <v>2333</v>
      </c>
      <c r="G1183" s="9" t="s">
        <v>11</v>
      </c>
      <c r="H1183" s="9" t="s">
        <v>12</v>
      </c>
    </row>
    <row r="1184" spans="1:8" x14ac:dyDescent="0.25">
      <c r="A1184" t="s">
        <v>2334</v>
      </c>
      <c r="B1184" s="14" cm="1">
        <f t="array" ref="B1184">_xll.GetLatestPrice(F1184,,G1184)</f>
        <v>960</v>
      </c>
      <c r="C1184" s="1" cm="1">
        <f t="array" ref="C1184">_xll.GetLatestPrice(F1184,"Actual","AssessmentDate")</f>
        <v>45826.645833333336</v>
      </c>
      <c r="D1184">
        <f t="shared" si="36"/>
        <v>2025</v>
      </c>
      <c r="E1184">
        <f t="shared" si="37"/>
        <v>6</v>
      </c>
      <c r="F1184" s="9" t="s">
        <v>2335</v>
      </c>
      <c r="G1184" s="9" t="s">
        <v>11</v>
      </c>
      <c r="H1184" s="9" t="s">
        <v>12</v>
      </c>
    </row>
    <row r="1185" spans="1:8" x14ac:dyDescent="0.25">
      <c r="A1185" t="s">
        <v>2336</v>
      </c>
      <c r="B1185" s="14" cm="1">
        <f t="array" ref="B1185">_xll.GetLatestPrice(F1185,,G1185)</f>
        <v>710</v>
      </c>
      <c r="C1185" s="1" cm="1">
        <f t="array" ref="C1185">_xll.GetLatestPrice(F1185,"Actual","AssessmentDate")</f>
        <v>45826.645833333336</v>
      </c>
      <c r="D1185">
        <f t="shared" si="36"/>
        <v>2025</v>
      </c>
      <c r="E1185">
        <f t="shared" si="37"/>
        <v>6</v>
      </c>
      <c r="F1185" s="9" t="s">
        <v>2337</v>
      </c>
      <c r="G1185" s="9" t="s">
        <v>11</v>
      </c>
      <c r="H1185" s="9" t="s">
        <v>12</v>
      </c>
    </row>
    <row r="1186" spans="1:8" x14ac:dyDescent="0.25">
      <c r="A1186" t="s">
        <v>2338</v>
      </c>
      <c r="B1186" s="14" cm="1">
        <f t="array" ref="B1186">_xll.GetLatestPrice(F1186,,G1186)</f>
        <v>850</v>
      </c>
      <c r="C1186" s="1" cm="1">
        <f t="array" ref="C1186">_xll.GetLatestPrice(F1186,"Actual","AssessmentDate")</f>
        <v>45826.645833333336</v>
      </c>
      <c r="D1186">
        <f t="shared" si="36"/>
        <v>2025</v>
      </c>
      <c r="E1186">
        <f t="shared" si="37"/>
        <v>6</v>
      </c>
      <c r="F1186" s="9" t="s">
        <v>2339</v>
      </c>
      <c r="G1186" s="9" t="s">
        <v>11</v>
      </c>
      <c r="H1186" s="9" t="s">
        <v>12</v>
      </c>
    </row>
    <row r="1187" spans="1:8" x14ac:dyDescent="0.25">
      <c r="A1187" t="s">
        <v>2340</v>
      </c>
      <c r="B1187" s="14" cm="1">
        <f t="array" ref="B1187">_xll.GetLatestPrice(F1187,,G1187)</f>
        <v>70</v>
      </c>
      <c r="C1187" s="1" cm="1">
        <f t="array" ref="C1187">_xll.GetLatestPrice(F1187,"Actual","AssessmentDate")</f>
        <v>45778.289039351854</v>
      </c>
      <c r="D1187">
        <f t="shared" si="36"/>
        <v>2025</v>
      </c>
      <c r="E1187">
        <f t="shared" si="37"/>
        <v>5</v>
      </c>
      <c r="F1187" s="9" t="s">
        <v>2325</v>
      </c>
      <c r="G1187" s="9" t="s">
        <v>112</v>
      </c>
      <c r="H1187" s="9" t="s">
        <v>12</v>
      </c>
    </row>
    <row r="1188" spans="1:8" x14ac:dyDescent="0.25">
      <c r="A1188" t="s">
        <v>2341</v>
      </c>
      <c r="B1188" s="14" cm="1">
        <f t="array" ref="B1188">_xll.GetLatestPrice(F1188,,G1188)</f>
        <v>650</v>
      </c>
      <c r="C1188" s="1" cm="1">
        <f t="array" ref="C1188">_xll.GetLatestPrice(F1188,"Actual","AssessmentDate")</f>
        <v>45826.645833333336</v>
      </c>
      <c r="D1188">
        <f t="shared" si="36"/>
        <v>2025</v>
      </c>
      <c r="E1188">
        <f t="shared" si="37"/>
        <v>6</v>
      </c>
      <c r="F1188" s="9" t="s">
        <v>2342</v>
      </c>
      <c r="G1188" s="9" t="s">
        <v>11</v>
      </c>
      <c r="H1188" s="9" t="s">
        <v>12</v>
      </c>
    </row>
    <row r="1189" spans="1:8" x14ac:dyDescent="0.25">
      <c r="A1189" t="s">
        <v>2343</v>
      </c>
      <c r="B1189" s="14" cm="1">
        <f t="array" ref="B1189">_xll.GetLatestPrice(F1189,,G1189)</f>
        <v>655</v>
      </c>
      <c r="C1189" s="1" cm="1">
        <f t="array" ref="C1189">_xll.GetLatestPrice(F1189,"Actual","AssessmentDate")</f>
        <v>45826.645833333336</v>
      </c>
      <c r="D1189">
        <f t="shared" si="36"/>
        <v>2025</v>
      </c>
      <c r="E1189">
        <f t="shared" si="37"/>
        <v>6</v>
      </c>
      <c r="F1189" s="9" t="s">
        <v>2344</v>
      </c>
      <c r="G1189" s="9" t="s">
        <v>11</v>
      </c>
      <c r="H1189" s="9" t="s">
        <v>12</v>
      </c>
    </row>
    <row r="1190" spans="1:8" x14ac:dyDescent="0.25">
      <c r="A1190" t="s">
        <v>2345</v>
      </c>
      <c r="B1190" s="14" cm="1">
        <f t="array" ref="B1190">_xll.GetLatestPrice(F1190,,G1190)</f>
        <v>715</v>
      </c>
      <c r="C1190" s="1" cm="1">
        <f t="array" ref="C1190">_xll.GetLatestPrice(F1190,"Actual","AssessmentDate")</f>
        <v>45826.645833333336</v>
      </c>
      <c r="D1190">
        <f t="shared" si="36"/>
        <v>2025</v>
      </c>
      <c r="E1190">
        <f t="shared" si="37"/>
        <v>6</v>
      </c>
      <c r="F1190" s="9" t="s">
        <v>2346</v>
      </c>
      <c r="G1190" s="9" t="s">
        <v>11</v>
      </c>
      <c r="H1190" s="9" t="s">
        <v>12</v>
      </c>
    </row>
    <row r="1191" spans="1:8" x14ac:dyDescent="0.25">
      <c r="A1191" t="s">
        <v>2347</v>
      </c>
      <c r="B1191" s="14" cm="1">
        <f t="array" ref="B1191">_xll.GetLatestPrice(F1191,,G1191)</f>
        <v>780</v>
      </c>
      <c r="C1191" s="1" cm="1">
        <f t="array" ref="C1191">_xll.GetLatestPrice(F1191,"Actual","AssessmentDate")</f>
        <v>45826.645833333336</v>
      </c>
      <c r="D1191">
        <f t="shared" si="36"/>
        <v>2025</v>
      </c>
      <c r="E1191">
        <f t="shared" si="37"/>
        <v>6</v>
      </c>
      <c r="F1191" s="9" t="s">
        <v>2348</v>
      </c>
      <c r="G1191" s="9" t="s">
        <v>11</v>
      </c>
      <c r="H1191" s="9" t="s">
        <v>12</v>
      </c>
    </row>
    <row r="1192" spans="1:8" x14ac:dyDescent="0.25">
      <c r="A1192" t="s">
        <v>2349</v>
      </c>
      <c r="B1192" s="14" cm="1">
        <f t="array" ref="B1192">_xll.GetLatestPrice(F1192,,G1192)</f>
        <v>745</v>
      </c>
      <c r="C1192" s="1" cm="1">
        <f t="array" ref="C1192">_xll.GetLatestPrice(F1192,"Actual","AssessmentDate")</f>
        <v>45826.645833333336</v>
      </c>
      <c r="D1192">
        <f t="shared" si="36"/>
        <v>2025</v>
      </c>
      <c r="E1192">
        <f t="shared" si="37"/>
        <v>6</v>
      </c>
      <c r="F1192" s="9" t="s">
        <v>2350</v>
      </c>
      <c r="G1192" s="9" t="s">
        <v>11</v>
      </c>
      <c r="H1192" s="9" t="s">
        <v>12</v>
      </c>
    </row>
    <row r="1193" spans="1:8" x14ac:dyDescent="0.25">
      <c r="A1193" t="s">
        <v>2351</v>
      </c>
      <c r="B1193" s="14" cm="1">
        <f t="array" ref="B1193">_xll.GetLatestPrice(F1193,,G1193)</f>
        <v>625</v>
      </c>
      <c r="C1193" s="1" cm="1">
        <f t="array" ref="C1193">_xll.GetLatestPrice(F1193,"Actual","AssessmentDate")</f>
        <v>45826.645833333336</v>
      </c>
      <c r="D1193">
        <f t="shared" si="36"/>
        <v>2025</v>
      </c>
      <c r="E1193">
        <f t="shared" si="37"/>
        <v>6</v>
      </c>
      <c r="F1193" s="9" t="s">
        <v>2352</v>
      </c>
      <c r="G1193" s="9" t="s">
        <v>11</v>
      </c>
      <c r="H1193" s="9" t="s">
        <v>12</v>
      </c>
    </row>
    <row r="1194" spans="1:8" x14ac:dyDescent="0.25">
      <c r="A1194" t="s">
        <v>2353</v>
      </c>
      <c r="B1194" s="14" cm="1">
        <f t="array" ref="B1194">_xll.GetLatestPrice(F1194,,G1194)</f>
        <v>785</v>
      </c>
      <c r="C1194" s="1" cm="1">
        <f t="array" ref="C1194">_xll.GetLatestPrice(F1194,"Actual","AssessmentDate")</f>
        <v>45826.645833333336</v>
      </c>
      <c r="D1194">
        <f t="shared" si="36"/>
        <v>2025</v>
      </c>
      <c r="E1194">
        <f t="shared" si="37"/>
        <v>6</v>
      </c>
      <c r="F1194" s="9" t="s">
        <v>2354</v>
      </c>
      <c r="G1194" s="9" t="s">
        <v>11</v>
      </c>
      <c r="H1194" s="9" t="s">
        <v>12</v>
      </c>
    </row>
    <row r="1195" spans="1:8" x14ac:dyDescent="0.25">
      <c r="A1195" t="s">
        <v>2355</v>
      </c>
      <c r="B1195" s="14" cm="1">
        <f t="array" ref="B1195">_xll.GetLatestPrice(F1195,,G1195)</f>
        <v>750</v>
      </c>
      <c r="C1195" s="1" cm="1">
        <f t="array" ref="C1195">_xll.GetLatestPrice(F1195,"Actual","AssessmentDate")</f>
        <v>45826.645833333336</v>
      </c>
      <c r="D1195">
        <f t="shared" si="36"/>
        <v>2025</v>
      </c>
      <c r="E1195">
        <f t="shared" si="37"/>
        <v>6</v>
      </c>
      <c r="F1195" s="9" t="s">
        <v>2356</v>
      </c>
      <c r="G1195" s="9" t="s">
        <v>11</v>
      </c>
      <c r="H1195" s="9" t="s">
        <v>12</v>
      </c>
    </row>
    <row r="1196" spans="1:8" x14ac:dyDescent="0.25">
      <c r="A1196" t="s">
        <v>2357</v>
      </c>
      <c r="B1196" s="14" cm="1">
        <f t="array" ref="B1196">_xll.GetLatestPrice(F1196,,G1196)</f>
        <v>700</v>
      </c>
      <c r="C1196" s="1" cm="1">
        <f t="array" ref="C1196">_xll.GetLatestPrice(F1196,"Actual","AssessmentDate")</f>
        <v>45826.645833333336</v>
      </c>
      <c r="D1196">
        <f t="shared" si="36"/>
        <v>2025</v>
      </c>
      <c r="E1196">
        <f t="shared" si="37"/>
        <v>6</v>
      </c>
      <c r="F1196" s="9" t="s">
        <v>2358</v>
      </c>
      <c r="G1196" s="9" t="s">
        <v>11</v>
      </c>
      <c r="H1196" s="9" t="s">
        <v>12</v>
      </c>
    </row>
    <row r="1197" spans="1:8" x14ac:dyDescent="0.25">
      <c r="A1197" t="s">
        <v>2359</v>
      </c>
      <c r="B1197" s="14" cm="1">
        <f t="array" ref="B1197">_xll.GetLatestPrice(F1197,,G1197)</f>
        <v>825</v>
      </c>
      <c r="C1197" s="1" cm="1">
        <f t="array" ref="C1197">_xll.GetLatestPrice(F1197,"Actual","AssessmentDate")</f>
        <v>45826.645833333336</v>
      </c>
      <c r="D1197">
        <f t="shared" si="36"/>
        <v>2025</v>
      </c>
      <c r="E1197">
        <f t="shared" si="37"/>
        <v>6</v>
      </c>
      <c r="F1197" s="9" t="s">
        <v>2360</v>
      </c>
      <c r="G1197" s="9" t="s">
        <v>11</v>
      </c>
      <c r="H1197" s="9" t="s">
        <v>12</v>
      </c>
    </row>
    <row r="1198" spans="1:8" x14ac:dyDescent="0.25">
      <c r="A1198" t="s">
        <v>2361</v>
      </c>
      <c r="B1198" s="14" cm="1">
        <f t="array" ref="B1198">_xll.GetLatestPrice(F1198,,G1198)</f>
        <v>915</v>
      </c>
      <c r="C1198" s="1" cm="1">
        <f t="array" ref="C1198">_xll.GetLatestPrice(F1198,"Actual","AssessmentDate")</f>
        <v>45826.645833333336</v>
      </c>
      <c r="D1198">
        <f t="shared" si="36"/>
        <v>2025</v>
      </c>
      <c r="E1198">
        <f t="shared" si="37"/>
        <v>6</v>
      </c>
      <c r="F1198" s="9" t="s">
        <v>2362</v>
      </c>
      <c r="G1198" s="9" t="s">
        <v>11</v>
      </c>
      <c r="H1198" s="9" t="s">
        <v>12</v>
      </c>
    </row>
    <row r="1199" spans="1:8" x14ac:dyDescent="0.25">
      <c r="A1199" t="s">
        <v>2363</v>
      </c>
      <c r="B1199" s="14" cm="1">
        <f t="array" ref="B1199">_xll.GetLatestPrice(F1199,,G1199)</f>
        <v>1090</v>
      </c>
      <c r="C1199" s="1" cm="1">
        <f t="array" ref="C1199">_xll.GetLatestPrice(F1199,"Actual","AssessmentDate")</f>
        <v>45826.645833333336</v>
      </c>
      <c r="D1199">
        <f t="shared" si="36"/>
        <v>2025</v>
      </c>
      <c r="E1199">
        <f t="shared" si="37"/>
        <v>6</v>
      </c>
      <c r="F1199" s="9" t="s">
        <v>2364</v>
      </c>
      <c r="G1199" s="9" t="s">
        <v>11</v>
      </c>
      <c r="H1199" s="9" t="s">
        <v>12</v>
      </c>
    </row>
    <row r="1200" spans="1:8" x14ac:dyDescent="0.25">
      <c r="A1200" t="s">
        <v>2365</v>
      </c>
      <c r="B1200" s="14" cm="1">
        <f t="array" ref="B1200">_xll.GetLatestPrice(F1200,,G1200)</f>
        <v>740</v>
      </c>
      <c r="C1200" s="1" cm="1">
        <f t="array" ref="C1200">_xll.GetLatestPrice(F1200,"Actual","AssessmentDate")</f>
        <v>45826.645833333336</v>
      </c>
      <c r="D1200">
        <f t="shared" si="36"/>
        <v>2025</v>
      </c>
      <c r="E1200">
        <f t="shared" si="37"/>
        <v>6</v>
      </c>
      <c r="F1200" s="9" t="s">
        <v>2366</v>
      </c>
      <c r="G1200" s="9" t="s">
        <v>11</v>
      </c>
      <c r="H1200" s="9" t="s">
        <v>12</v>
      </c>
    </row>
    <row r="1201" spans="1:8" x14ac:dyDescent="0.25">
      <c r="A1201" t="s">
        <v>2367</v>
      </c>
      <c r="B1201" s="14" cm="1">
        <f t="array" ref="B1201">_xll.GetLatestPrice(F1201,,G1201)</f>
        <v>890</v>
      </c>
      <c r="C1201" s="1" cm="1">
        <f t="array" ref="C1201">_xll.GetLatestPrice(F1201,"Actual","AssessmentDate")</f>
        <v>45826.645833333336</v>
      </c>
      <c r="D1201">
        <f t="shared" si="36"/>
        <v>2025</v>
      </c>
      <c r="E1201">
        <f t="shared" si="37"/>
        <v>6</v>
      </c>
      <c r="F1201" s="9" t="s">
        <v>2368</v>
      </c>
      <c r="G1201" s="9" t="s">
        <v>11</v>
      </c>
      <c r="H1201" s="9" t="s">
        <v>12</v>
      </c>
    </row>
    <row r="1202" spans="1:8" x14ac:dyDescent="0.25">
      <c r="A1202" t="s">
        <v>2369</v>
      </c>
      <c r="B1202" s="14" cm="1">
        <f t="array" ref="B1202">_xll.GetLatestPrice(F1202,,G1202)</f>
        <v>600</v>
      </c>
      <c r="C1202" s="1" cm="1">
        <f t="array" ref="C1202">_xll.GetLatestPrice(F1202,"Actual","AssessmentDate")</f>
        <v>45826.649791666663</v>
      </c>
      <c r="D1202">
        <f t="shared" si="36"/>
        <v>2025</v>
      </c>
      <c r="E1202">
        <f t="shared" si="37"/>
        <v>6</v>
      </c>
      <c r="F1202" s="9" t="s">
        <v>2370</v>
      </c>
      <c r="G1202" s="9" t="s">
        <v>11</v>
      </c>
      <c r="H1202" s="9" t="s">
        <v>12</v>
      </c>
    </row>
    <row r="1203" spans="1:8" x14ac:dyDescent="0.25">
      <c r="A1203" t="s">
        <v>2371</v>
      </c>
      <c r="B1203" s="14" cm="1">
        <f t="array" ref="B1203">_xll.GetLatestPrice(F1203,,G1203)</f>
        <v>582</v>
      </c>
      <c r="C1203" s="1" cm="1">
        <f t="array" ref="C1203">_xll.GetLatestPrice(F1203,"Actual","AssessmentDate")</f>
        <v>45826.649791666663</v>
      </c>
      <c r="D1203">
        <f t="shared" si="36"/>
        <v>2025</v>
      </c>
      <c r="E1203">
        <f t="shared" si="37"/>
        <v>6</v>
      </c>
      <c r="F1203" s="9" t="s">
        <v>2372</v>
      </c>
      <c r="G1203" s="9" t="s">
        <v>11</v>
      </c>
      <c r="H1203" s="9" t="s">
        <v>12</v>
      </c>
    </row>
    <row r="1204" spans="1:8" x14ac:dyDescent="0.25">
      <c r="A1204" t="s">
        <v>2373</v>
      </c>
      <c r="B1204" s="14" cm="1">
        <f t="array" ref="B1204">_xll.GetLatestPrice(F1204,,G1204)</f>
        <v>490</v>
      </c>
      <c r="C1204" s="1" cm="1">
        <f t="array" ref="C1204">_xll.GetLatestPrice(F1204,"Actual","AssessmentDate")</f>
        <v>45826.649791666663</v>
      </c>
      <c r="D1204">
        <f t="shared" si="36"/>
        <v>2025</v>
      </c>
      <c r="E1204">
        <f t="shared" si="37"/>
        <v>6</v>
      </c>
      <c r="F1204" s="9" t="s">
        <v>2374</v>
      </c>
      <c r="G1204" s="9" t="s">
        <v>11</v>
      </c>
      <c r="H1204" s="9" t="s">
        <v>12</v>
      </c>
    </row>
    <row r="1205" spans="1:8" x14ac:dyDescent="0.25">
      <c r="A1205" t="s">
        <v>2375</v>
      </c>
      <c r="B1205" s="14" cm="1">
        <f t="array" ref="B1205">_xll.GetLatestPrice(F1205,,G1205)</f>
        <v>460</v>
      </c>
      <c r="C1205" s="1" cm="1">
        <f t="array" ref="C1205">_xll.GetLatestPrice(F1205,"Actual","AssessmentDate")</f>
        <v>45826.645833333336</v>
      </c>
      <c r="D1205">
        <f t="shared" si="36"/>
        <v>2025</v>
      </c>
      <c r="E1205">
        <f t="shared" si="37"/>
        <v>6</v>
      </c>
      <c r="F1205" s="9" t="s">
        <v>2376</v>
      </c>
      <c r="G1205" s="9" t="s">
        <v>11</v>
      </c>
      <c r="H1205" s="9" t="s">
        <v>12</v>
      </c>
    </row>
    <row r="1206" spans="1:8" x14ac:dyDescent="0.25">
      <c r="A1206" t="s">
        <v>2377</v>
      </c>
      <c r="B1206" s="14" cm="1">
        <f t="array" ref="B1206">_xll.GetLatestPrice(F1206,,G1206)</f>
        <v>460</v>
      </c>
      <c r="C1206" s="1" cm="1">
        <f t="array" ref="C1206">_xll.GetLatestPrice(F1206,"Actual","AssessmentDate")</f>
        <v>45826.645833333336</v>
      </c>
      <c r="D1206">
        <f t="shared" si="36"/>
        <v>2025</v>
      </c>
      <c r="E1206">
        <f t="shared" si="37"/>
        <v>6</v>
      </c>
      <c r="F1206" s="9" t="s">
        <v>2378</v>
      </c>
      <c r="G1206" s="9" t="s">
        <v>11</v>
      </c>
      <c r="H1206" s="9" t="s">
        <v>12</v>
      </c>
    </row>
    <row r="1207" spans="1:8" x14ac:dyDescent="0.25">
      <c r="A1207" t="s">
        <v>2379</v>
      </c>
      <c r="B1207" s="14" cm="1">
        <f t="array" ref="B1207">_xll.GetLatestPrice(F1207,,G1207)</f>
        <v>440</v>
      </c>
      <c r="C1207" s="1" cm="1">
        <f t="array" ref="C1207">_xll.GetLatestPrice(F1207,"Actual","AssessmentDate")</f>
        <v>45826.645833333336</v>
      </c>
      <c r="D1207">
        <f t="shared" si="36"/>
        <v>2025</v>
      </c>
      <c r="E1207">
        <f t="shared" si="37"/>
        <v>6</v>
      </c>
      <c r="F1207" s="9" t="s">
        <v>2380</v>
      </c>
      <c r="G1207" s="9" t="s">
        <v>11</v>
      </c>
      <c r="H1207" s="9" t="s">
        <v>12</v>
      </c>
    </row>
    <row r="1208" spans="1:8" x14ac:dyDescent="0.25">
      <c r="A1208" t="s">
        <v>2381</v>
      </c>
      <c r="B1208" s="14" cm="1">
        <f t="array" ref="B1208">_xll.GetLatestPrice(F1208,,G1208)</f>
        <v>640</v>
      </c>
      <c r="C1208" s="1" cm="1">
        <f t="array" ref="C1208">_xll.GetLatestPrice(F1208,"Actual","AssessmentDate")</f>
        <v>45826.645833333336</v>
      </c>
      <c r="D1208">
        <f t="shared" si="36"/>
        <v>2025</v>
      </c>
      <c r="E1208">
        <f t="shared" si="37"/>
        <v>6</v>
      </c>
      <c r="F1208" s="9" t="s">
        <v>2382</v>
      </c>
      <c r="G1208" s="9" t="s">
        <v>11</v>
      </c>
      <c r="H1208" s="9" t="s">
        <v>12</v>
      </c>
    </row>
    <row r="1209" spans="1:8" x14ac:dyDescent="0.25">
      <c r="A1209" t="s">
        <v>2383</v>
      </c>
      <c r="B1209" s="14" cm="1">
        <f t="array" ref="B1209">_xll.GetLatestPrice(F1209,,G1209)</f>
        <v>535</v>
      </c>
      <c r="C1209" s="1" cm="1">
        <f t="array" ref="C1209">_xll.GetLatestPrice(F1209,"Actual","AssessmentDate")</f>
        <v>45826.645833333336</v>
      </c>
      <c r="D1209">
        <f t="shared" si="36"/>
        <v>2025</v>
      </c>
      <c r="E1209">
        <f t="shared" si="37"/>
        <v>6</v>
      </c>
      <c r="F1209" s="9" t="s">
        <v>2384</v>
      </c>
      <c r="G1209" s="9" t="s">
        <v>11</v>
      </c>
      <c r="H1209" s="9" t="s">
        <v>12</v>
      </c>
    </row>
    <row r="1210" spans="1:8" x14ac:dyDescent="0.25">
      <c r="A1210" t="s">
        <v>2385</v>
      </c>
      <c r="B1210" s="14" cm="1">
        <f t="array" ref="B1210">_xll.GetLatestPrice(F1210,,G1210)</f>
        <v>1315</v>
      </c>
      <c r="C1210" s="1" cm="1">
        <f t="array" ref="C1210">_xll.GetLatestPrice(F1210,"Actual","AssessmentDate")</f>
        <v>45825.44425925926</v>
      </c>
      <c r="D1210">
        <f t="shared" si="36"/>
        <v>2025</v>
      </c>
      <c r="E1210">
        <f t="shared" si="37"/>
        <v>6</v>
      </c>
      <c r="F1210" s="9" t="s">
        <v>2386</v>
      </c>
      <c r="G1210" s="9" t="s">
        <v>11</v>
      </c>
      <c r="H1210" s="9" t="s">
        <v>12</v>
      </c>
    </row>
    <row r="1211" spans="1:8" x14ac:dyDescent="0.25">
      <c r="A1211" t="s">
        <v>2387</v>
      </c>
      <c r="B1211" s="14" cm="1">
        <f t="array" ref="B1211">_xll.GetLatestPrice(F1211,,G1211)</f>
        <v>1470</v>
      </c>
      <c r="C1211" s="1" cm="1">
        <f t="array" ref="C1211">_xll.GetLatestPrice(F1211,"Actual","AssessmentDate")</f>
        <v>45825.44425925926</v>
      </c>
      <c r="D1211">
        <f t="shared" si="36"/>
        <v>2025</v>
      </c>
      <c r="E1211">
        <f t="shared" si="37"/>
        <v>6</v>
      </c>
      <c r="F1211" s="9" t="s">
        <v>2388</v>
      </c>
      <c r="G1211" s="9" t="s">
        <v>11</v>
      </c>
      <c r="H1211" s="9" t="s">
        <v>12</v>
      </c>
    </row>
    <row r="1212" spans="1:8" x14ac:dyDescent="0.25">
      <c r="A1212" t="s">
        <v>2389</v>
      </c>
      <c r="B1212" s="14" cm="1">
        <f t="array" ref="B1212">_xll.GetLatestPrice(F1212,,G1212)</f>
        <v>520</v>
      </c>
      <c r="C1212" s="1" cm="1">
        <f t="array" ref="C1212">_xll.GetLatestPrice(F1212,"Actual","AssessmentDate")</f>
        <v>45826.645833333336</v>
      </c>
      <c r="D1212">
        <f t="shared" si="36"/>
        <v>2025</v>
      </c>
      <c r="E1212">
        <f t="shared" si="37"/>
        <v>6</v>
      </c>
      <c r="F1212" s="9" t="s">
        <v>2390</v>
      </c>
      <c r="G1212" s="9" t="s">
        <v>11</v>
      </c>
      <c r="H1212" s="9" t="s">
        <v>12</v>
      </c>
    </row>
    <row r="1213" spans="1:8" x14ac:dyDescent="0.25">
      <c r="A1213" t="s">
        <v>2391</v>
      </c>
      <c r="B1213" s="14" cm="1">
        <f t="array" ref="B1213">_xll.GetLatestPrice(F1213,,G1213)</f>
        <v>335</v>
      </c>
      <c r="C1213" s="1" cm="1">
        <f t="array" ref="C1213">_xll.GetLatestPrice(F1213,"Actual","AssessmentDate")</f>
        <v>45826.645833333336</v>
      </c>
      <c r="D1213">
        <f t="shared" si="36"/>
        <v>2025</v>
      </c>
      <c r="E1213">
        <f t="shared" si="37"/>
        <v>6</v>
      </c>
      <c r="F1213" s="9" t="s">
        <v>2392</v>
      </c>
      <c r="G1213" s="9" t="s">
        <v>11</v>
      </c>
      <c r="H1213" s="9" t="s">
        <v>12</v>
      </c>
    </row>
    <row r="1214" spans="1:8" x14ac:dyDescent="0.25">
      <c r="A1214" t="s">
        <v>2393</v>
      </c>
      <c r="B1214" s="14" cm="1">
        <f t="array" ref="B1214">_xll.GetLatestPrice(F1214,,G1214)</f>
        <v>410</v>
      </c>
      <c r="C1214" s="1" cm="1">
        <f t="array" ref="C1214">_xll.GetLatestPrice(F1214,"Actual","AssessmentDate")</f>
        <v>45826.645833333336</v>
      </c>
      <c r="D1214">
        <f t="shared" si="36"/>
        <v>2025</v>
      </c>
      <c r="E1214">
        <f t="shared" si="37"/>
        <v>6</v>
      </c>
      <c r="F1214" s="9" t="s">
        <v>2394</v>
      </c>
      <c r="G1214" s="9" t="s">
        <v>11</v>
      </c>
      <c r="H1214" s="9" t="s">
        <v>12</v>
      </c>
    </row>
    <row r="1215" spans="1:8" x14ac:dyDescent="0.25">
      <c r="A1215" t="s">
        <v>2395</v>
      </c>
      <c r="B1215" s="14" cm="1">
        <f t="array" ref="B1215">_xll.GetLatestPrice(F1215,,G1215)</f>
        <v>526</v>
      </c>
      <c r="C1215" s="1" cm="1">
        <f t="array" ref="C1215">_xll.GetLatestPrice(F1215,"Actual","AssessmentDate")</f>
        <v>45826.648125</v>
      </c>
      <c r="D1215">
        <f t="shared" si="36"/>
        <v>2025</v>
      </c>
      <c r="E1215">
        <f t="shared" si="37"/>
        <v>6</v>
      </c>
      <c r="F1215" s="9" t="s">
        <v>2396</v>
      </c>
      <c r="G1215" s="9" t="s">
        <v>11</v>
      </c>
      <c r="H1215" s="9" t="s">
        <v>12</v>
      </c>
    </row>
    <row r="1216" spans="1:8" x14ac:dyDescent="0.25">
      <c r="A1216" t="s">
        <v>2397</v>
      </c>
      <c r="B1216" s="14" cm="1">
        <f t="array" ref="B1216">_xll.GetLatestPrice(F1216,,G1216)</f>
        <v>550</v>
      </c>
      <c r="C1216" s="1" cm="1">
        <f t="array" ref="C1216">_xll.GetLatestPrice(F1216,"Actual","AssessmentDate")</f>
        <v>45826.648125</v>
      </c>
      <c r="D1216">
        <f t="shared" si="36"/>
        <v>2025</v>
      </c>
      <c r="E1216">
        <f t="shared" si="37"/>
        <v>6</v>
      </c>
      <c r="F1216" s="9" t="s">
        <v>2398</v>
      </c>
      <c r="G1216" s="9" t="s">
        <v>11</v>
      </c>
      <c r="H1216" s="9" t="s">
        <v>12</v>
      </c>
    </row>
    <row r="1217" spans="1:8" x14ac:dyDescent="0.25">
      <c r="A1217" t="s">
        <v>2399</v>
      </c>
      <c r="B1217" s="14" cm="1">
        <f t="array" ref="B1217">_xll.GetLatestPrice(F1217,,G1217)</f>
        <v>130</v>
      </c>
      <c r="C1217" s="1" cm="1">
        <f t="array" ref="C1217">_xll.GetLatestPrice(F1217,"Actual","AssessmentDate")</f>
        <v>45812.700972222221</v>
      </c>
      <c r="D1217">
        <f t="shared" si="36"/>
        <v>2025</v>
      </c>
      <c r="E1217">
        <f t="shared" si="37"/>
        <v>6</v>
      </c>
      <c r="F1217" s="9" t="s">
        <v>2400</v>
      </c>
      <c r="G1217" s="9" t="s">
        <v>11</v>
      </c>
      <c r="H1217" s="9" t="s">
        <v>12</v>
      </c>
    </row>
    <row r="1218" spans="1:8" x14ac:dyDescent="0.25">
      <c r="A1218" t="s">
        <v>2401</v>
      </c>
      <c r="B1218" s="14" cm="1">
        <f t="array" ref="B1218">_xll.GetLatestPrice(F1218,,G1218)</f>
        <v>490</v>
      </c>
      <c r="C1218" s="1" cm="1">
        <f t="array" ref="C1218">_xll.GetLatestPrice(F1218,"Actual","AssessmentDate")</f>
        <v>45826.645833333336</v>
      </c>
      <c r="D1218">
        <f t="shared" si="36"/>
        <v>2025</v>
      </c>
      <c r="E1218">
        <f t="shared" si="37"/>
        <v>6</v>
      </c>
      <c r="F1218" s="9" t="s">
        <v>2402</v>
      </c>
      <c r="G1218" s="9" t="s">
        <v>11</v>
      </c>
      <c r="H1218" s="9" t="s">
        <v>12</v>
      </c>
    </row>
    <row r="1219" spans="1:8" x14ac:dyDescent="0.25">
      <c r="A1219" t="s">
        <v>2403</v>
      </c>
      <c r="B1219" s="14" cm="1">
        <f t="array" ref="B1219">_xll.GetLatestPrice(F1219,,G1219)</f>
        <v>520</v>
      </c>
      <c r="C1219" s="1" cm="1">
        <f t="array" ref="C1219">_xll.GetLatestPrice(F1219,"Actual","AssessmentDate")</f>
        <v>45826.645833333336</v>
      </c>
      <c r="D1219">
        <f t="shared" ref="D1219:D1282" si="38">YEAR(C1219)</f>
        <v>2025</v>
      </c>
      <c r="E1219">
        <f t="shared" ref="E1219:E1282" si="39">MONTH(C1219)</f>
        <v>6</v>
      </c>
      <c r="F1219" s="9" t="s">
        <v>2404</v>
      </c>
      <c r="G1219" s="9" t="s">
        <v>11</v>
      </c>
      <c r="H1219" s="9" t="s">
        <v>12</v>
      </c>
    </row>
    <row r="1220" spans="1:8" x14ac:dyDescent="0.25">
      <c r="A1220" t="s">
        <v>2405</v>
      </c>
      <c r="B1220" s="14" cm="1">
        <f t="array" ref="B1220">_xll.GetLatestPrice(F1220,,G1220)</f>
        <v>655</v>
      </c>
      <c r="C1220" s="1" cm="1">
        <f t="array" ref="C1220">_xll.GetLatestPrice(F1220,"Actual","AssessmentDate")</f>
        <v>45826.647499999999</v>
      </c>
      <c r="D1220">
        <f t="shared" si="38"/>
        <v>2025</v>
      </c>
      <c r="E1220">
        <f t="shared" si="39"/>
        <v>6</v>
      </c>
      <c r="F1220" s="9" t="s">
        <v>2406</v>
      </c>
      <c r="G1220" s="9" t="s">
        <v>11</v>
      </c>
      <c r="H1220" s="9" t="s">
        <v>12</v>
      </c>
    </row>
    <row r="1221" spans="1:8" x14ac:dyDescent="0.25">
      <c r="A1221" t="s">
        <v>2407</v>
      </c>
      <c r="B1221" s="14" cm="1">
        <f t="array" ref="B1221">_xll.GetLatestPrice(F1221,,G1221)</f>
        <v>112</v>
      </c>
      <c r="C1221" s="1" cm="1">
        <f t="array" ref="C1221">_xll.GetLatestPrice(F1221,"Actual","AssessmentDate")</f>
        <v>45785.588680555556</v>
      </c>
      <c r="D1221">
        <f t="shared" si="38"/>
        <v>2025</v>
      </c>
      <c r="E1221">
        <f t="shared" si="39"/>
        <v>5</v>
      </c>
      <c r="F1221" s="9" t="s">
        <v>2408</v>
      </c>
      <c r="G1221" s="9" t="s">
        <v>11</v>
      </c>
      <c r="H1221" s="9" t="s">
        <v>12</v>
      </c>
    </row>
    <row r="1222" spans="1:8" x14ac:dyDescent="0.25">
      <c r="A1222" t="s">
        <v>2409</v>
      </c>
      <c r="B1222" s="14" cm="1">
        <f t="array" ref="B1222">_xll.GetLatestPrice(F1222,,G1222)</f>
        <v>116</v>
      </c>
      <c r="C1222" s="1" cm="1">
        <f t="array" ref="C1222">_xll.GetLatestPrice(F1222,"Actual","AssessmentDate")</f>
        <v>45785.588680555556</v>
      </c>
      <c r="D1222">
        <f t="shared" si="38"/>
        <v>2025</v>
      </c>
      <c r="E1222">
        <f t="shared" si="39"/>
        <v>5</v>
      </c>
      <c r="F1222" s="9" t="s">
        <v>2410</v>
      </c>
      <c r="G1222" s="9" t="s">
        <v>11</v>
      </c>
      <c r="H1222" s="9" t="s">
        <v>12</v>
      </c>
    </row>
    <row r="1223" spans="1:8" x14ac:dyDescent="0.25">
      <c r="A1223" t="s">
        <v>2411</v>
      </c>
      <c r="B1223" s="14" cm="1">
        <f t="array" ref="B1223">_xll.GetLatestPrice(F1223,,G1223)</f>
        <v>112</v>
      </c>
      <c r="C1223" s="1" cm="1">
        <f t="array" ref="C1223">_xll.GetLatestPrice(F1223,"Actual","AssessmentDate")</f>
        <v>45785.588680555556</v>
      </c>
      <c r="D1223">
        <f t="shared" si="38"/>
        <v>2025</v>
      </c>
      <c r="E1223">
        <f t="shared" si="39"/>
        <v>5</v>
      </c>
      <c r="F1223" s="9" t="s">
        <v>2412</v>
      </c>
      <c r="G1223" s="9" t="s">
        <v>11</v>
      </c>
      <c r="H1223" s="9" t="s">
        <v>12</v>
      </c>
    </row>
    <row r="1224" spans="1:8" x14ac:dyDescent="0.25">
      <c r="A1224" t="s">
        <v>2413</v>
      </c>
      <c r="B1224" s="14" cm="1">
        <f t="array" ref="B1224">_xll.GetLatestPrice(F1224,,G1224)</f>
        <v>126</v>
      </c>
      <c r="C1224" s="1" cm="1">
        <f t="array" ref="C1224">_xll.GetLatestPrice(F1224,"Actual","AssessmentDate")</f>
        <v>45785.588680555556</v>
      </c>
      <c r="D1224">
        <f t="shared" si="38"/>
        <v>2025</v>
      </c>
      <c r="E1224">
        <f t="shared" si="39"/>
        <v>5</v>
      </c>
      <c r="F1224" s="9" t="s">
        <v>2414</v>
      </c>
      <c r="G1224" s="9" t="s">
        <v>11</v>
      </c>
      <c r="H1224" s="9" t="s">
        <v>12</v>
      </c>
    </row>
    <row r="1225" spans="1:8" x14ac:dyDescent="0.25">
      <c r="A1225" t="s">
        <v>2415</v>
      </c>
      <c r="B1225" s="14" cm="1">
        <f t="array" ref="B1225">_xll.GetLatestPrice(F1225,,G1225)</f>
        <v>132</v>
      </c>
      <c r="C1225" s="1" cm="1">
        <f t="array" ref="C1225">_xll.GetLatestPrice(F1225,"Actual","AssessmentDate")</f>
        <v>45785.588680555556</v>
      </c>
      <c r="D1225">
        <f t="shared" si="38"/>
        <v>2025</v>
      </c>
      <c r="E1225">
        <f t="shared" si="39"/>
        <v>5</v>
      </c>
      <c r="F1225" s="9" t="s">
        <v>2416</v>
      </c>
      <c r="G1225" s="9" t="s">
        <v>11</v>
      </c>
      <c r="H1225" s="9" t="s">
        <v>12</v>
      </c>
    </row>
    <row r="1226" spans="1:8" x14ac:dyDescent="0.25">
      <c r="A1226" t="s">
        <v>2417</v>
      </c>
      <c r="B1226" s="14" cm="1">
        <f t="array" ref="B1226">_xll.GetLatestPrice(F1226,,G1226)</f>
        <v>535</v>
      </c>
      <c r="C1226" s="1" cm="1">
        <f t="array" ref="C1226">_xll.GetLatestPrice(F1226,"Actual","AssessmentDate")</f>
        <v>45826.645833333336</v>
      </c>
      <c r="D1226">
        <f t="shared" si="38"/>
        <v>2025</v>
      </c>
      <c r="E1226">
        <f t="shared" si="39"/>
        <v>6</v>
      </c>
      <c r="F1226" s="9" t="s">
        <v>2418</v>
      </c>
      <c r="G1226" s="9" t="s">
        <v>11</v>
      </c>
      <c r="H1226" s="9" t="s">
        <v>12</v>
      </c>
    </row>
    <row r="1227" spans="1:8" x14ac:dyDescent="0.25">
      <c r="A1227" t="s">
        <v>2419</v>
      </c>
      <c r="B1227" s="14" cm="1">
        <f t="array" ref="B1227">_xll.GetLatestPrice(F1227,,G1227)</f>
        <v>575</v>
      </c>
      <c r="C1227" s="1" cm="1">
        <f t="array" ref="C1227">_xll.GetLatestPrice(F1227,"Actual","AssessmentDate")</f>
        <v>45826.645833333336</v>
      </c>
      <c r="D1227">
        <f t="shared" si="38"/>
        <v>2025</v>
      </c>
      <c r="E1227">
        <f t="shared" si="39"/>
        <v>6</v>
      </c>
      <c r="F1227" s="9" t="s">
        <v>2420</v>
      </c>
      <c r="G1227" s="9" t="s">
        <v>11</v>
      </c>
      <c r="H1227" s="9" t="s">
        <v>12</v>
      </c>
    </row>
    <row r="1228" spans="1:8" x14ac:dyDescent="0.25">
      <c r="A1228" t="s">
        <v>2421</v>
      </c>
      <c r="B1228" s="14" cm="1">
        <f t="array" ref="B1228">_xll.GetLatestPrice(F1228,,G1228)</f>
        <v>790</v>
      </c>
      <c r="C1228" s="1" cm="1">
        <f t="array" ref="C1228">_xll.GetLatestPrice(F1228,"Actual","AssessmentDate")</f>
        <v>45826.645833333336</v>
      </c>
      <c r="D1228">
        <f t="shared" si="38"/>
        <v>2025</v>
      </c>
      <c r="E1228">
        <f t="shared" si="39"/>
        <v>6</v>
      </c>
      <c r="F1228" s="9" t="s">
        <v>2422</v>
      </c>
      <c r="G1228" s="9" t="s">
        <v>11</v>
      </c>
      <c r="H1228" s="9" t="s">
        <v>12</v>
      </c>
    </row>
    <row r="1229" spans="1:8" x14ac:dyDescent="0.25">
      <c r="A1229" t="s">
        <v>2423</v>
      </c>
      <c r="B1229" s="14" cm="1">
        <f t="array" ref="B1229">_xll.GetLatestPrice(F1229,,G1229)</f>
        <v>790</v>
      </c>
      <c r="C1229" s="1" cm="1">
        <f t="array" ref="C1229">_xll.GetLatestPrice(F1229,"Actual","AssessmentDate")</f>
        <v>45826.645833333336</v>
      </c>
      <c r="D1229">
        <f t="shared" si="38"/>
        <v>2025</v>
      </c>
      <c r="E1229">
        <f t="shared" si="39"/>
        <v>6</v>
      </c>
      <c r="F1229" s="9" t="s">
        <v>2424</v>
      </c>
      <c r="G1229" s="9" t="s">
        <v>11</v>
      </c>
      <c r="H1229" s="9" t="s">
        <v>12</v>
      </c>
    </row>
    <row r="1230" spans="1:8" x14ac:dyDescent="0.25">
      <c r="A1230" t="s">
        <v>2425</v>
      </c>
      <c r="B1230" s="14" cm="1">
        <f t="array" ref="B1230">_xll.GetLatestPrice(F1230,,G1230)</f>
        <v>795</v>
      </c>
      <c r="C1230" s="1" cm="1">
        <f t="array" ref="C1230">_xll.GetLatestPrice(F1230,"Actual","AssessmentDate")</f>
        <v>45826.645833333336</v>
      </c>
      <c r="D1230">
        <f t="shared" si="38"/>
        <v>2025</v>
      </c>
      <c r="E1230">
        <f t="shared" si="39"/>
        <v>6</v>
      </c>
      <c r="F1230" s="9" t="s">
        <v>2426</v>
      </c>
      <c r="G1230" s="9" t="s">
        <v>11</v>
      </c>
      <c r="H1230" s="9" t="s">
        <v>12</v>
      </c>
    </row>
    <row r="1231" spans="1:8" x14ac:dyDescent="0.25">
      <c r="A1231" t="s">
        <v>2427</v>
      </c>
      <c r="B1231" s="14" cm="1">
        <f t="array" ref="B1231">_xll.GetLatestPrice(F1231,,G1231)</f>
        <v>788</v>
      </c>
      <c r="C1231" s="1" cm="1">
        <f t="array" ref="C1231">_xll.GetLatestPrice(F1231,"Actual","AssessmentDate")</f>
        <v>45826.649791666663</v>
      </c>
      <c r="D1231">
        <f t="shared" si="38"/>
        <v>2025</v>
      </c>
      <c r="E1231">
        <f t="shared" si="39"/>
        <v>6</v>
      </c>
      <c r="F1231" s="9" t="s">
        <v>2428</v>
      </c>
      <c r="G1231" s="9" t="s">
        <v>11</v>
      </c>
      <c r="H1231" s="9" t="s">
        <v>12</v>
      </c>
    </row>
    <row r="1232" spans="1:8" x14ac:dyDescent="0.25">
      <c r="A1232" t="s">
        <v>2429</v>
      </c>
      <c r="B1232" s="14" cm="1">
        <f t="array" ref="B1232">_xll.GetLatestPrice(F1232,,G1232)</f>
        <v>633</v>
      </c>
      <c r="C1232" s="1" cm="1">
        <f t="array" ref="C1232">_xll.GetLatestPrice(F1232,"Actual","AssessmentDate")</f>
        <v>45826.649791666663</v>
      </c>
      <c r="D1232">
        <f t="shared" si="38"/>
        <v>2025</v>
      </c>
      <c r="E1232">
        <f t="shared" si="39"/>
        <v>6</v>
      </c>
      <c r="F1232" s="9" t="s">
        <v>2430</v>
      </c>
      <c r="G1232" s="9" t="s">
        <v>11</v>
      </c>
      <c r="H1232" s="9" t="s">
        <v>12</v>
      </c>
    </row>
    <row r="1233" spans="1:8" x14ac:dyDescent="0.25">
      <c r="A1233" t="s">
        <v>2431</v>
      </c>
      <c r="B1233" s="14" cm="1">
        <f t="array" ref="B1233">_xll.GetLatestPrice(F1233,,G1233)</f>
        <v>518</v>
      </c>
      <c r="C1233" s="1" cm="1">
        <f t="array" ref="C1233">_xll.GetLatestPrice(F1233,"Actual","AssessmentDate")</f>
        <v>45826.649791666663</v>
      </c>
      <c r="D1233">
        <f t="shared" si="38"/>
        <v>2025</v>
      </c>
      <c r="E1233">
        <f t="shared" si="39"/>
        <v>6</v>
      </c>
      <c r="F1233" s="9" t="s">
        <v>2432</v>
      </c>
      <c r="G1233" s="9" t="s">
        <v>11</v>
      </c>
      <c r="H1233" s="9" t="s">
        <v>12</v>
      </c>
    </row>
    <row r="1234" spans="1:8" x14ac:dyDescent="0.25">
      <c r="A1234" t="s">
        <v>2433</v>
      </c>
      <c r="B1234" s="14" cm="1">
        <f t="array" ref="B1234">_xll.GetLatestPrice(F1234,,G1234)</f>
        <v>385</v>
      </c>
      <c r="C1234" s="1" cm="1">
        <f t="array" ref="C1234">_xll.GetLatestPrice(F1234,"Actual","AssessmentDate")</f>
        <v>45826.645833333336</v>
      </c>
      <c r="D1234">
        <f t="shared" si="38"/>
        <v>2025</v>
      </c>
      <c r="E1234">
        <f t="shared" si="39"/>
        <v>6</v>
      </c>
      <c r="F1234" s="9" t="s">
        <v>2434</v>
      </c>
      <c r="G1234" s="9" t="s">
        <v>11</v>
      </c>
      <c r="H1234" s="9" t="s">
        <v>12</v>
      </c>
    </row>
    <row r="1235" spans="1:8" x14ac:dyDescent="0.25">
      <c r="A1235" t="s">
        <v>2435</v>
      </c>
      <c r="B1235" s="14" cm="1">
        <f t="array" ref="B1235">_xll.GetLatestPrice(F1235,,G1235)</f>
        <v>574</v>
      </c>
      <c r="C1235" s="1" cm="1">
        <f t="array" ref="C1235">_xll.GetLatestPrice(F1235,"Actual","AssessmentDate")</f>
        <v>45826.649791666663</v>
      </c>
      <c r="D1235">
        <f t="shared" si="38"/>
        <v>2025</v>
      </c>
      <c r="E1235">
        <f t="shared" si="39"/>
        <v>6</v>
      </c>
      <c r="F1235" s="9" t="s">
        <v>2436</v>
      </c>
      <c r="G1235" s="9" t="s">
        <v>11</v>
      </c>
      <c r="H1235" s="9" t="s">
        <v>12</v>
      </c>
    </row>
    <row r="1236" spans="1:8" x14ac:dyDescent="0.25">
      <c r="A1236" t="s">
        <v>2437</v>
      </c>
      <c r="B1236" s="14" cm="1">
        <f t="array" ref="B1236">_xll.GetLatestPrice(F1236,,G1236)</f>
        <v>400</v>
      </c>
      <c r="C1236" s="1" cm="1">
        <f t="array" ref="C1236">_xll.GetLatestPrice(F1236,"Actual","AssessmentDate")</f>
        <v>45826.649791666663</v>
      </c>
      <c r="D1236">
        <f t="shared" si="38"/>
        <v>2025</v>
      </c>
      <c r="E1236">
        <f t="shared" si="39"/>
        <v>6</v>
      </c>
      <c r="F1236" s="9" t="s">
        <v>2438</v>
      </c>
      <c r="G1236" s="9" t="s">
        <v>11</v>
      </c>
      <c r="H1236" s="9" t="s">
        <v>12</v>
      </c>
    </row>
    <row r="1237" spans="1:8" x14ac:dyDescent="0.25">
      <c r="A1237" t="s">
        <v>2439</v>
      </c>
      <c r="B1237" s="14" cm="1">
        <f t="array" ref="B1237">_xll.GetLatestPrice(F1237,,G1237)</f>
        <v>614</v>
      </c>
      <c r="C1237" s="1" cm="1">
        <f t="array" ref="C1237">_xll.GetLatestPrice(F1237,"Actual","AssessmentDate")</f>
        <v>45826.649791666663</v>
      </c>
      <c r="D1237">
        <f t="shared" si="38"/>
        <v>2025</v>
      </c>
      <c r="E1237">
        <f t="shared" si="39"/>
        <v>6</v>
      </c>
      <c r="F1237" s="9" t="s">
        <v>2440</v>
      </c>
      <c r="G1237" s="9" t="s">
        <v>11</v>
      </c>
      <c r="H1237" s="9" t="s">
        <v>12</v>
      </c>
    </row>
    <row r="1238" spans="1:8" x14ac:dyDescent="0.25">
      <c r="A1238" t="s">
        <v>2441</v>
      </c>
      <c r="B1238" s="14" cm="1">
        <f t="array" ref="B1238">_xll.GetLatestPrice(F1238,,G1238)</f>
        <v>606</v>
      </c>
      <c r="C1238" s="1" cm="1">
        <f t="array" ref="C1238">_xll.GetLatestPrice(F1238,"Actual","AssessmentDate")</f>
        <v>45826.649791666663</v>
      </c>
      <c r="D1238">
        <f t="shared" si="38"/>
        <v>2025</v>
      </c>
      <c r="E1238">
        <f t="shared" si="39"/>
        <v>6</v>
      </c>
      <c r="F1238" s="9" t="s">
        <v>2442</v>
      </c>
      <c r="G1238" s="9" t="s">
        <v>11</v>
      </c>
      <c r="H1238" s="9" t="s">
        <v>12</v>
      </c>
    </row>
    <row r="1239" spans="1:8" x14ac:dyDescent="0.25">
      <c r="A1239" t="s">
        <v>2443</v>
      </c>
      <c r="B1239" s="14" cm="1">
        <f t="array" ref="B1239">_xll.GetLatestPrice(F1239,,G1239)</f>
        <v>514</v>
      </c>
      <c r="C1239" s="1" cm="1">
        <f t="array" ref="C1239">_xll.GetLatestPrice(F1239,"Actual","AssessmentDate")</f>
        <v>45826.649791666663</v>
      </c>
      <c r="D1239">
        <f t="shared" si="38"/>
        <v>2025</v>
      </c>
      <c r="E1239">
        <f t="shared" si="39"/>
        <v>6</v>
      </c>
      <c r="F1239" s="9" t="s">
        <v>2444</v>
      </c>
      <c r="G1239" s="9" t="s">
        <v>11</v>
      </c>
      <c r="H1239" s="9" t="s">
        <v>12</v>
      </c>
    </row>
    <row r="1240" spans="1:8" x14ac:dyDescent="0.25">
      <c r="A1240" t="s">
        <v>2445</v>
      </c>
      <c r="B1240" s="14" cm="1">
        <f t="array" ref="B1240">_xll.GetLatestPrice(F1240,,G1240)</f>
        <v>362</v>
      </c>
      <c r="C1240" s="1" cm="1">
        <f t="array" ref="C1240">_xll.GetLatestPrice(F1240,"Actual","AssessmentDate")</f>
        <v>45826.649791666663</v>
      </c>
      <c r="D1240">
        <f t="shared" si="38"/>
        <v>2025</v>
      </c>
      <c r="E1240">
        <f t="shared" si="39"/>
        <v>6</v>
      </c>
      <c r="F1240" s="9" t="s">
        <v>2446</v>
      </c>
      <c r="G1240" s="9" t="s">
        <v>11</v>
      </c>
      <c r="H1240" s="9" t="s">
        <v>12</v>
      </c>
    </row>
    <row r="1241" spans="1:8" x14ac:dyDescent="0.25">
      <c r="A1241" t="s">
        <v>2447</v>
      </c>
      <c r="B1241" s="14" cm="1">
        <f t="array" ref="B1241">_xll.GetLatestPrice(F1241,,G1241)</f>
        <v>598</v>
      </c>
      <c r="C1241" s="1" cm="1">
        <f t="array" ref="C1241">_xll.GetLatestPrice(F1241,"Actual","AssessmentDate")</f>
        <v>45826.649791666663</v>
      </c>
      <c r="D1241">
        <f t="shared" si="38"/>
        <v>2025</v>
      </c>
      <c r="E1241">
        <f t="shared" si="39"/>
        <v>6</v>
      </c>
      <c r="F1241" s="9" t="s">
        <v>2448</v>
      </c>
      <c r="G1241" s="9" t="s">
        <v>11</v>
      </c>
      <c r="H1241" s="9" t="s">
        <v>12</v>
      </c>
    </row>
    <row r="1242" spans="1:8" x14ac:dyDescent="0.25">
      <c r="A1242" t="s">
        <v>2449</v>
      </c>
      <c r="B1242" s="14" cm="1">
        <f t="array" ref="B1242">_xll.GetLatestPrice(F1242,,G1242)</f>
        <v>459</v>
      </c>
      <c r="C1242" s="1" cm="1">
        <f t="array" ref="C1242">_xll.GetLatestPrice(F1242,"Actual","AssessmentDate")</f>
        <v>45826.649791666663</v>
      </c>
      <c r="D1242">
        <f t="shared" si="38"/>
        <v>2025</v>
      </c>
      <c r="E1242">
        <f t="shared" si="39"/>
        <v>6</v>
      </c>
      <c r="F1242" s="9" t="s">
        <v>2450</v>
      </c>
      <c r="G1242" s="9" t="s">
        <v>11</v>
      </c>
      <c r="H1242" s="9" t="s">
        <v>12</v>
      </c>
    </row>
    <row r="1243" spans="1:8" x14ac:dyDescent="0.25">
      <c r="A1243" t="s">
        <v>2451</v>
      </c>
      <c r="B1243" s="14" cm="1">
        <f t="array" ref="B1243">_xll.GetLatestPrice(F1243,,G1243)</f>
        <v>433</v>
      </c>
      <c r="C1243" s="1" cm="1">
        <f t="array" ref="C1243">_xll.GetLatestPrice(F1243,"Actual","AssessmentDate")</f>
        <v>45826.649791666663</v>
      </c>
      <c r="D1243">
        <f t="shared" si="38"/>
        <v>2025</v>
      </c>
      <c r="E1243">
        <f t="shared" si="39"/>
        <v>6</v>
      </c>
      <c r="F1243" s="9" t="s">
        <v>2452</v>
      </c>
      <c r="G1243" s="9" t="s">
        <v>11</v>
      </c>
      <c r="H1243" s="9" t="s">
        <v>12</v>
      </c>
    </row>
    <row r="1244" spans="1:8" x14ac:dyDescent="0.25">
      <c r="A1244" t="s">
        <v>2453</v>
      </c>
      <c r="B1244" s="14" cm="1">
        <f t="array" ref="B1244">_xll.GetLatestPrice(F1244,,G1244)</f>
        <v>504</v>
      </c>
      <c r="C1244" s="1" cm="1">
        <f t="array" ref="C1244">_xll.GetLatestPrice(F1244,"Actual","AssessmentDate")</f>
        <v>45826.649791666663</v>
      </c>
      <c r="D1244">
        <f t="shared" si="38"/>
        <v>2025</v>
      </c>
      <c r="E1244">
        <f t="shared" si="39"/>
        <v>6</v>
      </c>
      <c r="F1244" s="9" t="s">
        <v>2454</v>
      </c>
      <c r="G1244" s="9" t="s">
        <v>11</v>
      </c>
      <c r="H1244" s="9" t="s">
        <v>12</v>
      </c>
    </row>
    <row r="1245" spans="1:8" x14ac:dyDescent="0.25">
      <c r="A1245" t="s">
        <v>2455</v>
      </c>
      <c r="B1245" s="14" cm="1">
        <f t="array" ref="B1245">_xll.GetLatestPrice(F1245,,G1245)</f>
        <v>536</v>
      </c>
      <c r="C1245" s="1" cm="1">
        <f t="array" ref="C1245">_xll.GetLatestPrice(F1245,"Actual","AssessmentDate")</f>
        <v>45826.649791666663</v>
      </c>
      <c r="D1245">
        <f t="shared" si="38"/>
        <v>2025</v>
      </c>
      <c r="E1245">
        <f t="shared" si="39"/>
        <v>6</v>
      </c>
      <c r="F1245" s="9" t="s">
        <v>2456</v>
      </c>
      <c r="G1245" s="9" t="s">
        <v>11</v>
      </c>
      <c r="H1245" s="9" t="s">
        <v>12</v>
      </c>
    </row>
    <row r="1246" spans="1:8" x14ac:dyDescent="0.25">
      <c r="A1246" t="s">
        <v>2457</v>
      </c>
      <c r="B1246" s="14" cm="1">
        <f t="array" ref="B1246">_xll.GetLatestPrice(F1246,,G1246)</f>
        <v>355</v>
      </c>
      <c r="C1246" s="1" cm="1">
        <f t="array" ref="C1246">_xll.GetLatestPrice(F1246,"Actual","AssessmentDate")</f>
        <v>45826.645833333336</v>
      </c>
      <c r="D1246">
        <f t="shared" si="38"/>
        <v>2025</v>
      </c>
      <c r="E1246">
        <f t="shared" si="39"/>
        <v>6</v>
      </c>
      <c r="F1246" s="9" t="s">
        <v>2458</v>
      </c>
      <c r="G1246" s="9" t="s">
        <v>11</v>
      </c>
      <c r="H1246" s="9" t="s">
        <v>12</v>
      </c>
    </row>
    <row r="1247" spans="1:8" x14ac:dyDescent="0.25">
      <c r="A1247" t="s">
        <v>2459</v>
      </c>
      <c r="B1247" s="14" cm="1">
        <f t="array" ref="B1247">_xll.GetLatestPrice(F1247,,G1247)</f>
        <v>425</v>
      </c>
      <c r="C1247" s="1" cm="1">
        <f t="array" ref="C1247">_xll.GetLatestPrice(F1247,"Actual","AssessmentDate")</f>
        <v>45826.645833333336</v>
      </c>
      <c r="D1247">
        <f t="shared" si="38"/>
        <v>2025</v>
      </c>
      <c r="E1247">
        <f t="shared" si="39"/>
        <v>6</v>
      </c>
      <c r="F1247" s="9" t="s">
        <v>2460</v>
      </c>
      <c r="G1247" s="9" t="s">
        <v>11</v>
      </c>
      <c r="H1247" s="9" t="s">
        <v>12</v>
      </c>
    </row>
    <row r="1248" spans="1:8" x14ac:dyDescent="0.25">
      <c r="A1248" t="s">
        <v>2461</v>
      </c>
      <c r="B1248" s="14" cm="1">
        <f t="array" ref="B1248">_xll.GetLatestPrice(F1248,,G1248)</f>
        <v>390</v>
      </c>
      <c r="C1248" s="1" cm="1">
        <f t="array" ref="C1248">_xll.GetLatestPrice(F1248,"Actual","AssessmentDate")</f>
        <v>45826.645833333336</v>
      </c>
      <c r="D1248">
        <f t="shared" si="38"/>
        <v>2025</v>
      </c>
      <c r="E1248">
        <f t="shared" si="39"/>
        <v>6</v>
      </c>
      <c r="F1248" s="9" t="s">
        <v>2462</v>
      </c>
      <c r="G1248" s="9" t="s">
        <v>11</v>
      </c>
      <c r="H1248" s="9" t="s">
        <v>12</v>
      </c>
    </row>
    <row r="1249" spans="1:8" x14ac:dyDescent="0.25">
      <c r="A1249" t="s">
        <v>2463</v>
      </c>
      <c r="B1249" s="14" cm="1">
        <f t="array" ref="B1249">_xll.GetLatestPrice(F1249,,G1249)</f>
        <v>330</v>
      </c>
      <c r="C1249" s="1" cm="1">
        <f t="array" ref="C1249">_xll.GetLatestPrice(F1249,"Actual","AssessmentDate")</f>
        <v>45826.645833333336</v>
      </c>
      <c r="D1249">
        <f t="shared" si="38"/>
        <v>2025</v>
      </c>
      <c r="E1249">
        <f t="shared" si="39"/>
        <v>6</v>
      </c>
      <c r="F1249" s="9" t="s">
        <v>2464</v>
      </c>
      <c r="G1249" s="9" t="s">
        <v>11</v>
      </c>
      <c r="H1249" s="9" t="s">
        <v>12</v>
      </c>
    </row>
    <row r="1250" spans="1:8" x14ac:dyDescent="0.25">
      <c r="A1250" t="s">
        <v>2465</v>
      </c>
      <c r="B1250" s="14" cm="1">
        <f t="array" ref="B1250">_xll.GetLatestPrice(F1250,,G1250)</f>
        <v>425</v>
      </c>
      <c r="C1250" s="1" cm="1">
        <f t="array" ref="C1250">_xll.GetLatestPrice(F1250,"Actual","AssessmentDate")</f>
        <v>45826.645833333336</v>
      </c>
      <c r="D1250">
        <f t="shared" si="38"/>
        <v>2025</v>
      </c>
      <c r="E1250">
        <f t="shared" si="39"/>
        <v>6</v>
      </c>
      <c r="F1250" s="9" t="s">
        <v>2466</v>
      </c>
      <c r="G1250" s="9" t="s">
        <v>11</v>
      </c>
      <c r="H1250" s="9" t="s">
        <v>12</v>
      </c>
    </row>
    <row r="1251" spans="1:8" x14ac:dyDescent="0.25">
      <c r="A1251" t="s">
        <v>2467</v>
      </c>
      <c r="B1251" s="14" cm="1">
        <f t="array" ref="B1251">_xll.GetLatestPrice(F1251,,G1251)</f>
        <v>425</v>
      </c>
      <c r="C1251" s="1" cm="1">
        <f t="array" ref="C1251">_xll.GetLatestPrice(F1251,"Actual","AssessmentDate")</f>
        <v>45826.645833333336</v>
      </c>
      <c r="D1251">
        <f t="shared" si="38"/>
        <v>2025</v>
      </c>
      <c r="E1251">
        <f t="shared" si="39"/>
        <v>6</v>
      </c>
      <c r="F1251" s="9" t="s">
        <v>2468</v>
      </c>
      <c r="G1251" s="9" t="s">
        <v>11</v>
      </c>
      <c r="H1251" s="9" t="s">
        <v>12</v>
      </c>
    </row>
    <row r="1252" spans="1:8" x14ac:dyDescent="0.25">
      <c r="A1252" t="s">
        <v>2469</v>
      </c>
      <c r="B1252" s="14" cm="1">
        <f t="array" ref="B1252">_xll.GetLatestPrice(F1252,,G1252)</f>
        <v>10</v>
      </c>
      <c r="C1252" s="1" cm="1">
        <f t="array" ref="C1252">_xll.GetLatestPrice(F1252,"Actual","AssessmentDate")</f>
        <v>45778.289039351854</v>
      </c>
      <c r="D1252">
        <f t="shared" si="38"/>
        <v>2025</v>
      </c>
      <c r="E1252">
        <f t="shared" si="39"/>
        <v>5</v>
      </c>
      <c r="F1252" s="9" t="s">
        <v>2470</v>
      </c>
      <c r="G1252" s="9" t="s">
        <v>11</v>
      </c>
      <c r="H1252" s="9" t="s">
        <v>12</v>
      </c>
    </row>
    <row r="1253" spans="1:8" x14ac:dyDescent="0.25">
      <c r="A1253" t="s">
        <v>2471</v>
      </c>
      <c r="B1253" s="14" cm="1">
        <f t="array" ref="B1253">_xll.GetLatestPrice(F1253,,G1253)</f>
        <v>15</v>
      </c>
      <c r="C1253" s="1" cm="1">
        <f t="array" ref="C1253">_xll.GetLatestPrice(F1253,"Actual","AssessmentDate")</f>
        <v>45778.289039351854</v>
      </c>
      <c r="D1253">
        <f t="shared" si="38"/>
        <v>2025</v>
      </c>
      <c r="E1253">
        <f t="shared" si="39"/>
        <v>5</v>
      </c>
      <c r="F1253" s="9" t="s">
        <v>2470</v>
      </c>
      <c r="G1253" s="9" t="s">
        <v>112</v>
      </c>
      <c r="H1253" s="9" t="s">
        <v>12</v>
      </c>
    </row>
    <row r="1254" spans="1:8" x14ac:dyDescent="0.25">
      <c r="A1254" t="s">
        <v>2472</v>
      </c>
      <c r="B1254" s="14" cm="1">
        <f t="array" ref="B1254">_xll.GetLatestPrice(F1254,,G1254)</f>
        <v>765</v>
      </c>
      <c r="C1254" s="1" cm="1">
        <f t="array" ref="C1254">_xll.GetLatestPrice(F1254,"Actual","AssessmentDate")</f>
        <v>45826.645833333336</v>
      </c>
      <c r="D1254">
        <f t="shared" si="38"/>
        <v>2025</v>
      </c>
      <c r="E1254">
        <f t="shared" si="39"/>
        <v>6</v>
      </c>
      <c r="F1254" s="9" t="s">
        <v>2473</v>
      </c>
      <c r="G1254" s="9" t="s">
        <v>11</v>
      </c>
      <c r="H1254" s="9" t="s">
        <v>12</v>
      </c>
    </row>
    <row r="1255" spans="1:8" x14ac:dyDescent="0.25">
      <c r="A1255" t="s">
        <v>2474</v>
      </c>
      <c r="B1255" s="14" cm="1">
        <f t="array" ref="B1255">_xll.GetLatestPrice(F1255,,G1255)</f>
        <v>705</v>
      </c>
      <c r="C1255" s="1" cm="1">
        <f t="array" ref="C1255">_xll.GetLatestPrice(F1255,"Actual","AssessmentDate")</f>
        <v>45826.645833333336</v>
      </c>
      <c r="D1255">
        <f t="shared" si="38"/>
        <v>2025</v>
      </c>
      <c r="E1255">
        <f t="shared" si="39"/>
        <v>6</v>
      </c>
      <c r="F1255" s="9" t="s">
        <v>2475</v>
      </c>
      <c r="G1255" s="9" t="s">
        <v>11</v>
      </c>
      <c r="H1255" s="9" t="s">
        <v>12</v>
      </c>
    </row>
    <row r="1256" spans="1:8" x14ac:dyDescent="0.25">
      <c r="A1256" t="s">
        <v>2476</v>
      </c>
      <c r="B1256" s="14" cm="1">
        <f t="array" ref="B1256">_xll.GetLatestPrice(F1256,,G1256)</f>
        <v>710</v>
      </c>
      <c r="C1256" s="1" cm="1">
        <f t="array" ref="C1256">_xll.GetLatestPrice(F1256,"Actual","AssessmentDate")</f>
        <v>45826.645833333336</v>
      </c>
      <c r="D1256">
        <f t="shared" si="38"/>
        <v>2025</v>
      </c>
      <c r="E1256">
        <f t="shared" si="39"/>
        <v>6</v>
      </c>
      <c r="F1256" s="9" t="s">
        <v>2477</v>
      </c>
      <c r="G1256" s="9" t="s">
        <v>11</v>
      </c>
      <c r="H1256" s="9" t="s">
        <v>12</v>
      </c>
    </row>
    <row r="1257" spans="1:8" x14ac:dyDescent="0.25">
      <c r="A1257" t="s">
        <v>2478</v>
      </c>
      <c r="B1257" s="14" cm="1">
        <f t="array" ref="B1257">_xll.GetLatestPrice(F1257,,G1257)</f>
        <v>720</v>
      </c>
      <c r="C1257" s="1" cm="1">
        <f t="array" ref="C1257">_xll.GetLatestPrice(F1257,"Actual","AssessmentDate")</f>
        <v>45826.645833333336</v>
      </c>
      <c r="D1257">
        <f t="shared" si="38"/>
        <v>2025</v>
      </c>
      <c r="E1257">
        <f t="shared" si="39"/>
        <v>6</v>
      </c>
      <c r="F1257" s="9" t="s">
        <v>2479</v>
      </c>
      <c r="G1257" s="9" t="s">
        <v>11</v>
      </c>
      <c r="H1257" s="9" t="s">
        <v>12</v>
      </c>
    </row>
    <row r="1258" spans="1:8" x14ac:dyDescent="0.25">
      <c r="A1258" t="s">
        <v>2480</v>
      </c>
      <c r="B1258" s="14" cm="1">
        <f t="array" ref="B1258">_xll.GetLatestPrice(F1258,,G1258)</f>
        <v>690</v>
      </c>
      <c r="C1258" s="1" cm="1">
        <f t="array" ref="C1258">_xll.GetLatestPrice(F1258,"Actual","AssessmentDate")</f>
        <v>45826.645833333336</v>
      </c>
      <c r="D1258">
        <f t="shared" si="38"/>
        <v>2025</v>
      </c>
      <c r="E1258">
        <f t="shared" si="39"/>
        <v>6</v>
      </c>
      <c r="F1258" s="9" t="s">
        <v>2481</v>
      </c>
      <c r="G1258" s="9" t="s">
        <v>11</v>
      </c>
      <c r="H1258" s="9" t="s">
        <v>12</v>
      </c>
    </row>
    <row r="1259" spans="1:8" x14ac:dyDescent="0.25">
      <c r="A1259" t="s">
        <v>2482</v>
      </c>
      <c r="B1259" s="14" cm="1">
        <f t="array" ref="B1259">_xll.GetLatestPrice(F1259,,G1259)</f>
        <v>795</v>
      </c>
      <c r="C1259" s="1" cm="1">
        <f t="array" ref="C1259">_xll.GetLatestPrice(F1259,"Actual","AssessmentDate")</f>
        <v>45826.645833333336</v>
      </c>
      <c r="D1259">
        <f t="shared" si="38"/>
        <v>2025</v>
      </c>
      <c r="E1259">
        <f t="shared" si="39"/>
        <v>6</v>
      </c>
      <c r="F1259" s="9" t="s">
        <v>2483</v>
      </c>
      <c r="G1259" s="9" t="s">
        <v>11</v>
      </c>
      <c r="H1259" s="9" t="s">
        <v>12</v>
      </c>
    </row>
    <row r="1260" spans="1:8" x14ac:dyDescent="0.25">
      <c r="A1260" t="s">
        <v>2484</v>
      </c>
      <c r="B1260" s="14" cm="1">
        <f t="array" ref="B1260">_xll.GetLatestPrice(F1260,,G1260)</f>
        <v>620</v>
      </c>
      <c r="C1260" s="1" cm="1">
        <f t="array" ref="C1260">_xll.GetLatestPrice(F1260,"Actual","AssessmentDate")</f>
        <v>45826.645833333336</v>
      </c>
      <c r="D1260">
        <f t="shared" si="38"/>
        <v>2025</v>
      </c>
      <c r="E1260">
        <f t="shared" si="39"/>
        <v>6</v>
      </c>
      <c r="F1260" s="9" t="s">
        <v>2485</v>
      </c>
      <c r="G1260" s="9" t="s">
        <v>11</v>
      </c>
      <c r="H1260" s="9" t="s">
        <v>12</v>
      </c>
    </row>
    <row r="1261" spans="1:8" x14ac:dyDescent="0.25">
      <c r="A1261" t="s">
        <v>2486</v>
      </c>
      <c r="B1261" s="14" cm="1">
        <f t="array" ref="B1261">_xll.GetLatestPrice(F1261,,G1261)</f>
        <v>680</v>
      </c>
      <c r="C1261" s="1" cm="1">
        <f t="array" ref="C1261">_xll.GetLatestPrice(F1261,"Actual","AssessmentDate")</f>
        <v>45826.645833333336</v>
      </c>
      <c r="D1261">
        <f t="shared" si="38"/>
        <v>2025</v>
      </c>
      <c r="E1261">
        <f t="shared" si="39"/>
        <v>6</v>
      </c>
      <c r="F1261" s="9" t="s">
        <v>2487</v>
      </c>
      <c r="G1261" s="9" t="s">
        <v>11</v>
      </c>
      <c r="H1261" s="9" t="s">
        <v>12</v>
      </c>
    </row>
    <row r="1262" spans="1:8" x14ac:dyDescent="0.25">
      <c r="A1262" t="s">
        <v>2488</v>
      </c>
      <c r="B1262" s="14" cm="1">
        <f t="array" ref="B1262">_xll.GetLatestPrice(F1262,,G1262)</f>
        <v>760</v>
      </c>
      <c r="C1262" s="1" cm="1">
        <f t="array" ref="C1262">_xll.GetLatestPrice(F1262,"Actual","AssessmentDate")</f>
        <v>45826.645833333336</v>
      </c>
      <c r="D1262">
        <f t="shared" si="38"/>
        <v>2025</v>
      </c>
      <c r="E1262">
        <f t="shared" si="39"/>
        <v>6</v>
      </c>
      <c r="F1262" s="9" t="s">
        <v>2489</v>
      </c>
      <c r="G1262" s="9" t="s">
        <v>11</v>
      </c>
      <c r="H1262" s="9" t="s">
        <v>12</v>
      </c>
    </row>
    <row r="1263" spans="1:8" x14ac:dyDescent="0.25">
      <c r="A1263" t="s">
        <v>2490</v>
      </c>
      <c r="B1263" s="14" cm="1">
        <f t="array" ref="B1263">_xll.GetLatestPrice(F1263,,G1263)</f>
        <v>920</v>
      </c>
      <c r="C1263" s="1" cm="1">
        <f t="array" ref="C1263">_xll.GetLatestPrice(F1263,"Actual","AssessmentDate")</f>
        <v>45826.645833333336</v>
      </c>
      <c r="D1263">
        <f t="shared" si="38"/>
        <v>2025</v>
      </c>
      <c r="E1263">
        <f t="shared" si="39"/>
        <v>6</v>
      </c>
      <c r="F1263" s="9" t="s">
        <v>2491</v>
      </c>
      <c r="G1263" s="9" t="s">
        <v>11</v>
      </c>
      <c r="H1263" s="9" t="s">
        <v>12</v>
      </c>
    </row>
    <row r="1264" spans="1:8" x14ac:dyDescent="0.25">
      <c r="A1264" t="s">
        <v>2492</v>
      </c>
      <c r="B1264" s="14" cm="1">
        <f t="array" ref="B1264">_xll.GetLatestPrice(F1264,,G1264)</f>
        <v>735</v>
      </c>
      <c r="C1264" s="1" cm="1">
        <f t="array" ref="C1264">_xll.GetLatestPrice(F1264,"Actual","AssessmentDate")</f>
        <v>45826.645833333336</v>
      </c>
      <c r="D1264">
        <f t="shared" si="38"/>
        <v>2025</v>
      </c>
      <c r="E1264">
        <f t="shared" si="39"/>
        <v>6</v>
      </c>
      <c r="F1264" s="9" t="s">
        <v>2493</v>
      </c>
      <c r="G1264" s="9" t="s">
        <v>11</v>
      </c>
      <c r="H1264" s="9" t="s">
        <v>12</v>
      </c>
    </row>
    <row r="1265" spans="1:8" x14ac:dyDescent="0.25">
      <c r="A1265" t="s">
        <v>2494</v>
      </c>
      <c r="B1265" s="14" cm="1">
        <f t="array" ref="B1265">_xll.GetLatestPrice(F1265,,G1265)</f>
        <v>685</v>
      </c>
      <c r="C1265" s="1" cm="1">
        <f t="array" ref="C1265">_xll.GetLatestPrice(F1265,"Actual","AssessmentDate")</f>
        <v>45826.645833333336</v>
      </c>
      <c r="D1265">
        <f t="shared" si="38"/>
        <v>2025</v>
      </c>
      <c r="E1265">
        <f t="shared" si="39"/>
        <v>6</v>
      </c>
      <c r="F1265" s="9" t="s">
        <v>2495</v>
      </c>
      <c r="G1265" s="9" t="s">
        <v>11</v>
      </c>
      <c r="H1265" s="9" t="s">
        <v>12</v>
      </c>
    </row>
    <row r="1266" spans="1:8" x14ac:dyDescent="0.25">
      <c r="A1266" t="s">
        <v>2496</v>
      </c>
      <c r="B1266" s="14" cm="1">
        <f t="array" ref="B1266">_xll.GetLatestPrice(F1266,,G1266)</f>
        <v>695</v>
      </c>
      <c r="C1266" s="1" cm="1">
        <f t="array" ref="C1266">_xll.GetLatestPrice(F1266,"Actual","AssessmentDate")</f>
        <v>45826.645833333336</v>
      </c>
      <c r="D1266">
        <f t="shared" si="38"/>
        <v>2025</v>
      </c>
      <c r="E1266">
        <f t="shared" si="39"/>
        <v>6</v>
      </c>
      <c r="F1266" s="9" t="s">
        <v>2497</v>
      </c>
      <c r="G1266" s="9" t="s">
        <v>11</v>
      </c>
      <c r="H1266" s="9" t="s">
        <v>12</v>
      </c>
    </row>
    <row r="1267" spans="1:8" x14ac:dyDescent="0.25">
      <c r="A1267" t="s">
        <v>2498</v>
      </c>
      <c r="B1267" s="14" cm="1">
        <f t="array" ref="B1267">_xll.GetLatestPrice(F1267,,G1267)</f>
        <v>710</v>
      </c>
      <c r="C1267" s="1" cm="1">
        <f t="array" ref="C1267">_xll.GetLatestPrice(F1267,"Actual","AssessmentDate")</f>
        <v>45826.645833333336</v>
      </c>
      <c r="D1267">
        <f t="shared" si="38"/>
        <v>2025</v>
      </c>
      <c r="E1267">
        <f t="shared" si="39"/>
        <v>6</v>
      </c>
      <c r="F1267" s="9" t="s">
        <v>2499</v>
      </c>
      <c r="G1267" s="9" t="s">
        <v>11</v>
      </c>
      <c r="H1267" s="9" t="s">
        <v>12</v>
      </c>
    </row>
    <row r="1268" spans="1:8" x14ac:dyDescent="0.25">
      <c r="A1268" t="s">
        <v>2500</v>
      </c>
      <c r="B1268" s="14" cm="1">
        <f t="array" ref="B1268">_xll.GetLatestPrice(F1268,,G1268)</f>
        <v>635</v>
      </c>
      <c r="C1268" s="1" cm="1">
        <f t="array" ref="C1268">_xll.GetLatestPrice(F1268,"Actual","AssessmentDate")</f>
        <v>45826.645833333336</v>
      </c>
      <c r="D1268">
        <f t="shared" si="38"/>
        <v>2025</v>
      </c>
      <c r="E1268">
        <f t="shared" si="39"/>
        <v>6</v>
      </c>
      <c r="F1268" s="9" t="s">
        <v>2501</v>
      </c>
      <c r="G1268" s="9" t="s">
        <v>11</v>
      </c>
      <c r="H1268" s="9" t="s">
        <v>12</v>
      </c>
    </row>
    <row r="1269" spans="1:8" x14ac:dyDescent="0.25">
      <c r="A1269" t="s">
        <v>2502</v>
      </c>
      <c r="B1269" s="14" cm="1">
        <f t="array" ref="B1269">_xll.GetLatestPrice(F1269,,G1269)</f>
        <v>785</v>
      </c>
      <c r="C1269" s="1" cm="1">
        <f t="array" ref="C1269">_xll.GetLatestPrice(F1269,"Actual","AssessmentDate")</f>
        <v>45826.645833333336</v>
      </c>
      <c r="D1269">
        <f t="shared" si="38"/>
        <v>2025</v>
      </c>
      <c r="E1269">
        <f t="shared" si="39"/>
        <v>6</v>
      </c>
      <c r="F1269" s="9" t="s">
        <v>2503</v>
      </c>
      <c r="G1269" s="9" t="s">
        <v>11</v>
      </c>
      <c r="H1269" s="9" t="s">
        <v>12</v>
      </c>
    </row>
    <row r="1270" spans="1:8" x14ac:dyDescent="0.25">
      <c r="A1270" t="s">
        <v>2504</v>
      </c>
      <c r="B1270" s="14" cm="1">
        <f t="array" ref="B1270">_xll.GetLatestPrice(F1270,,G1270)</f>
        <v>635</v>
      </c>
      <c r="C1270" s="1" cm="1">
        <f t="array" ref="C1270">_xll.GetLatestPrice(F1270,"Actual","AssessmentDate")</f>
        <v>45826.645833333336</v>
      </c>
      <c r="D1270">
        <f t="shared" si="38"/>
        <v>2025</v>
      </c>
      <c r="E1270">
        <f t="shared" si="39"/>
        <v>6</v>
      </c>
      <c r="F1270" s="9" t="s">
        <v>2505</v>
      </c>
      <c r="G1270" s="9" t="s">
        <v>11</v>
      </c>
      <c r="H1270" s="9" t="s">
        <v>12</v>
      </c>
    </row>
    <row r="1271" spans="1:8" x14ac:dyDescent="0.25">
      <c r="A1271" t="s">
        <v>2506</v>
      </c>
      <c r="B1271" s="14" cm="1">
        <f t="array" ref="B1271">_xll.GetLatestPrice(F1271,,G1271)</f>
        <v>595</v>
      </c>
      <c r="C1271" s="1" cm="1">
        <f t="array" ref="C1271">_xll.GetLatestPrice(F1271,"Actual","AssessmentDate")</f>
        <v>45826.645833333336</v>
      </c>
      <c r="D1271">
        <f t="shared" si="38"/>
        <v>2025</v>
      </c>
      <c r="E1271">
        <f t="shared" si="39"/>
        <v>6</v>
      </c>
      <c r="F1271" s="9" t="s">
        <v>2507</v>
      </c>
      <c r="G1271" s="9" t="s">
        <v>11</v>
      </c>
      <c r="H1271" s="9" t="s">
        <v>12</v>
      </c>
    </row>
    <row r="1272" spans="1:8" x14ac:dyDescent="0.25">
      <c r="A1272" t="s">
        <v>2508</v>
      </c>
      <c r="B1272" s="14" cm="1">
        <f t="array" ref="B1272">_xll.GetLatestPrice(F1272,,G1272)</f>
        <v>735</v>
      </c>
      <c r="C1272" s="1" cm="1">
        <f t="array" ref="C1272">_xll.GetLatestPrice(F1272,"Actual","AssessmentDate")</f>
        <v>45826.645833333336</v>
      </c>
      <c r="D1272">
        <f t="shared" si="38"/>
        <v>2025</v>
      </c>
      <c r="E1272">
        <f t="shared" si="39"/>
        <v>6</v>
      </c>
      <c r="F1272" s="9" t="s">
        <v>2509</v>
      </c>
      <c r="G1272" s="9" t="s">
        <v>11</v>
      </c>
      <c r="H1272" s="9" t="s">
        <v>12</v>
      </c>
    </row>
    <row r="1273" spans="1:8" x14ac:dyDescent="0.25">
      <c r="A1273" t="s">
        <v>2510</v>
      </c>
      <c r="B1273" s="14" cm="1">
        <f t="array" ref="B1273">_xll.GetLatestPrice(F1273,,G1273)</f>
        <v>925</v>
      </c>
      <c r="C1273" s="1" cm="1">
        <f t="array" ref="C1273">_xll.GetLatestPrice(F1273,"Actual","AssessmentDate")</f>
        <v>45826.645833333336</v>
      </c>
      <c r="D1273">
        <f t="shared" si="38"/>
        <v>2025</v>
      </c>
      <c r="E1273">
        <f t="shared" si="39"/>
        <v>6</v>
      </c>
      <c r="F1273" s="9" t="s">
        <v>2511</v>
      </c>
      <c r="G1273" s="9" t="s">
        <v>11</v>
      </c>
      <c r="H1273" s="9" t="s">
        <v>12</v>
      </c>
    </row>
    <row r="1274" spans="1:8" x14ac:dyDescent="0.25">
      <c r="A1274" t="s">
        <v>2512</v>
      </c>
      <c r="B1274" s="14" cm="1">
        <f t="array" ref="B1274">_xll.GetLatestPrice(F1274,,G1274)</f>
        <v>520</v>
      </c>
      <c r="C1274" s="1" cm="1">
        <f t="array" ref="C1274">_xll.GetLatestPrice(F1274,"Actual","AssessmentDate")</f>
        <v>45826.645833333336</v>
      </c>
      <c r="D1274">
        <f t="shared" si="38"/>
        <v>2025</v>
      </c>
      <c r="E1274">
        <f t="shared" si="39"/>
        <v>6</v>
      </c>
      <c r="F1274" s="9" t="s">
        <v>2513</v>
      </c>
      <c r="G1274" s="9" t="s">
        <v>11</v>
      </c>
      <c r="H1274" s="9" t="s">
        <v>12</v>
      </c>
    </row>
    <row r="1275" spans="1:8" x14ac:dyDescent="0.25">
      <c r="A1275" t="s">
        <v>2514</v>
      </c>
      <c r="B1275" s="14" cm="1">
        <f t="array" ref="B1275">_xll.GetLatestPrice(F1275,,G1275)</f>
        <v>465</v>
      </c>
      <c r="C1275" s="1" cm="1">
        <f t="array" ref="C1275">_xll.GetLatestPrice(F1275,"Actual","AssessmentDate")</f>
        <v>45826.645833333336</v>
      </c>
      <c r="D1275">
        <f t="shared" si="38"/>
        <v>2025</v>
      </c>
      <c r="E1275">
        <f t="shared" si="39"/>
        <v>6</v>
      </c>
      <c r="F1275" s="9" t="s">
        <v>2515</v>
      </c>
      <c r="G1275" s="9" t="s">
        <v>11</v>
      </c>
      <c r="H1275" s="9" t="s">
        <v>12</v>
      </c>
    </row>
    <row r="1276" spans="1:8" x14ac:dyDescent="0.25">
      <c r="A1276" t="s">
        <v>2516</v>
      </c>
      <c r="B1276" s="14" cm="1">
        <f t="array" ref="B1276">_xll.GetLatestPrice(F1276,,G1276)</f>
        <v>410</v>
      </c>
      <c r="C1276" s="1" cm="1">
        <f t="array" ref="C1276">_xll.GetLatestPrice(F1276,"Actual","AssessmentDate")</f>
        <v>45826.645833333336</v>
      </c>
      <c r="D1276">
        <f t="shared" si="38"/>
        <v>2025</v>
      </c>
      <c r="E1276">
        <f t="shared" si="39"/>
        <v>6</v>
      </c>
      <c r="F1276" s="9" t="s">
        <v>2517</v>
      </c>
      <c r="G1276" s="9" t="s">
        <v>11</v>
      </c>
      <c r="H1276" s="9" t="s">
        <v>12</v>
      </c>
    </row>
    <row r="1277" spans="1:8" x14ac:dyDescent="0.25">
      <c r="A1277" t="s">
        <v>2518</v>
      </c>
      <c r="B1277" s="14" cm="1">
        <f t="array" ref="B1277">_xll.GetLatestPrice(F1277,,G1277)</f>
        <v>380</v>
      </c>
      <c r="C1277" s="1" cm="1">
        <f t="array" ref="C1277">_xll.GetLatestPrice(F1277,"Actual","AssessmentDate")</f>
        <v>45826.645833333336</v>
      </c>
      <c r="D1277">
        <f t="shared" si="38"/>
        <v>2025</v>
      </c>
      <c r="E1277">
        <f t="shared" si="39"/>
        <v>6</v>
      </c>
      <c r="F1277" s="9" t="s">
        <v>2519</v>
      </c>
      <c r="G1277" s="9" t="s">
        <v>11</v>
      </c>
      <c r="H1277" s="9" t="s">
        <v>12</v>
      </c>
    </row>
    <row r="1278" spans="1:8" x14ac:dyDescent="0.25">
      <c r="A1278" t="s">
        <v>2520</v>
      </c>
      <c r="B1278" s="14" cm="1">
        <f t="array" ref="B1278">_xll.GetLatestPrice(F1278,,G1278)</f>
        <v>470</v>
      </c>
      <c r="C1278" s="1" cm="1">
        <f t="array" ref="C1278">_xll.GetLatestPrice(F1278,"Actual","AssessmentDate")</f>
        <v>45826.645833333336</v>
      </c>
      <c r="D1278">
        <f t="shared" si="38"/>
        <v>2025</v>
      </c>
      <c r="E1278">
        <f t="shared" si="39"/>
        <v>6</v>
      </c>
      <c r="F1278" s="9" t="s">
        <v>2521</v>
      </c>
      <c r="G1278" s="9" t="s">
        <v>11</v>
      </c>
      <c r="H1278" s="9" t="s">
        <v>12</v>
      </c>
    </row>
    <row r="1279" spans="1:8" x14ac:dyDescent="0.25">
      <c r="A1279" t="s">
        <v>2522</v>
      </c>
      <c r="B1279" s="14" cm="1">
        <f t="array" ref="B1279">_xll.GetLatestPrice(F1279,,G1279)</f>
        <v>435</v>
      </c>
      <c r="C1279" s="1" cm="1">
        <f t="array" ref="C1279">_xll.GetLatestPrice(F1279,"Actual","AssessmentDate")</f>
        <v>45826.645833333336</v>
      </c>
      <c r="D1279">
        <f t="shared" si="38"/>
        <v>2025</v>
      </c>
      <c r="E1279">
        <f t="shared" si="39"/>
        <v>6</v>
      </c>
      <c r="F1279" s="9" t="s">
        <v>2523</v>
      </c>
      <c r="G1279" s="9" t="s">
        <v>11</v>
      </c>
      <c r="H1279" s="9" t="s">
        <v>12</v>
      </c>
    </row>
    <row r="1280" spans="1:8" x14ac:dyDescent="0.25">
      <c r="A1280" t="s">
        <v>2524</v>
      </c>
      <c r="B1280" s="14" cm="1">
        <f t="array" ref="B1280">_xll.GetLatestPrice(F1280,,G1280)</f>
        <v>405</v>
      </c>
      <c r="C1280" s="1" cm="1">
        <f t="array" ref="C1280">_xll.GetLatestPrice(F1280,"Actual","AssessmentDate")</f>
        <v>45826.645833333336</v>
      </c>
      <c r="D1280">
        <f t="shared" si="38"/>
        <v>2025</v>
      </c>
      <c r="E1280">
        <f t="shared" si="39"/>
        <v>6</v>
      </c>
      <c r="F1280" s="9" t="s">
        <v>2525</v>
      </c>
      <c r="G1280" s="9" t="s">
        <v>11</v>
      </c>
      <c r="H1280" s="9" t="s">
        <v>12</v>
      </c>
    </row>
    <row r="1281" spans="1:8" x14ac:dyDescent="0.25">
      <c r="A1281" t="s">
        <v>2526</v>
      </c>
      <c r="B1281" s="14" cm="1">
        <f t="array" ref="B1281">_xll.GetLatestPrice(F1281,,G1281)</f>
        <v>440</v>
      </c>
      <c r="C1281" s="1" cm="1">
        <f t="array" ref="C1281">_xll.GetLatestPrice(F1281,"Actual","AssessmentDate")</f>
        <v>45826.645833333336</v>
      </c>
      <c r="D1281">
        <f t="shared" si="38"/>
        <v>2025</v>
      </c>
      <c r="E1281">
        <f t="shared" si="39"/>
        <v>6</v>
      </c>
      <c r="F1281" s="9" t="s">
        <v>2527</v>
      </c>
      <c r="G1281" s="9" t="s">
        <v>11</v>
      </c>
      <c r="H1281" s="9" t="s">
        <v>12</v>
      </c>
    </row>
    <row r="1282" spans="1:8" x14ac:dyDescent="0.25">
      <c r="A1282" t="s">
        <v>2528</v>
      </c>
      <c r="B1282" s="14" cm="1">
        <f t="array" ref="B1282">_xll.GetLatestPrice(F1282,,G1282)</f>
        <v>400</v>
      </c>
      <c r="C1282" s="1" cm="1">
        <f t="array" ref="C1282">_xll.GetLatestPrice(F1282,"Actual","AssessmentDate")</f>
        <v>45826.645833333336</v>
      </c>
      <c r="D1282">
        <f t="shared" si="38"/>
        <v>2025</v>
      </c>
      <c r="E1282">
        <f t="shared" si="39"/>
        <v>6</v>
      </c>
      <c r="F1282" s="9" t="s">
        <v>2529</v>
      </c>
      <c r="G1282" s="9" t="s">
        <v>11</v>
      </c>
      <c r="H1282" s="9" t="s">
        <v>12</v>
      </c>
    </row>
    <row r="1283" spans="1:8" x14ac:dyDescent="0.25">
      <c r="A1283" t="s">
        <v>2530</v>
      </c>
      <c r="B1283" s="14" cm="1">
        <f t="array" ref="B1283">_xll.GetLatestPrice(F1283,,G1283)</f>
        <v>440</v>
      </c>
      <c r="C1283" s="1" cm="1">
        <f t="array" ref="C1283">_xll.GetLatestPrice(F1283,"Actual","AssessmentDate")</f>
        <v>45826.645833333336</v>
      </c>
      <c r="D1283">
        <f t="shared" ref="D1283:D1346" si="40">YEAR(C1283)</f>
        <v>2025</v>
      </c>
      <c r="E1283">
        <f t="shared" ref="E1283:E1346" si="41">MONTH(C1283)</f>
        <v>6</v>
      </c>
      <c r="F1283" s="9" t="s">
        <v>2531</v>
      </c>
      <c r="G1283" s="9" t="s">
        <v>11</v>
      </c>
      <c r="H1283" s="9" t="s">
        <v>12</v>
      </c>
    </row>
    <row r="1284" spans="1:8" x14ac:dyDescent="0.25">
      <c r="A1284" t="s">
        <v>2532</v>
      </c>
      <c r="B1284" s="14" cm="1">
        <f t="array" ref="B1284">_xll.GetLatestPrice(F1284,,G1284)</f>
        <v>600</v>
      </c>
      <c r="C1284" s="1" cm="1">
        <f t="array" ref="C1284">_xll.GetLatestPrice(F1284,"Actual","AssessmentDate")</f>
        <v>45826.645833333336</v>
      </c>
      <c r="D1284">
        <f t="shared" si="40"/>
        <v>2025</v>
      </c>
      <c r="E1284">
        <f t="shared" si="41"/>
        <v>6</v>
      </c>
      <c r="F1284" s="9" t="s">
        <v>2533</v>
      </c>
      <c r="G1284" s="9" t="s">
        <v>11</v>
      </c>
      <c r="H1284" s="9" t="s">
        <v>12</v>
      </c>
    </row>
    <row r="1285" spans="1:8" x14ac:dyDescent="0.25">
      <c r="A1285" t="s">
        <v>2534</v>
      </c>
      <c r="B1285" s="14" cm="1">
        <f t="array" ref="B1285">_xll.GetLatestPrice(F1285,,G1285)</f>
        <v>605</v>
      </c>
      <c r="C1285" s="1" cm="1">
        <f t="array" ref="C1285">_xll.GetLatestPrice(F1285,"Actual","AssessmentDate")</f>
        <v>45826.645833333336</v>
      </c>
      <c r="D1285">
        <f t="shared" si="40"/>
        <v>2025</v>
      </c>
      <c r="E1285">
        <f t="shared" si="41"/>
        <v>6</v>
      </c>
      <c r="F1285" s="9" t="s">
        <v>2535</v>
      </c>
      <c r="G1285" s="9" t="s">
        <v>11</v>
      </c>
      <c r="H1285" s="9" t="s">
        <v>12</v>
      </c>
    </row>
    <row r="1286" spans="1:8" x14ac:dyDescent="0.25">
      <c r="A1286" t="s">
        <v>2536</v>
      </c>
      <c r="B1286" s="14" cm="1">
        <f t="array" ref="B1286">_xll.GetLatestPrice(F1286,,G1286)</f>
        <v>530</v>
      </c>
      <c r="C1286" s="1" cm="1">
        <f t="array" ref="C1286">_xll.GetLatestPrice(F1286,"Actual","AssessmentDate")</f>
        <v>45826.645833333336</v>
      </c>
      <c r="D1286">
        <f t="shared" si="40"/>
        <v>2025</v>
      </c>
      <c r="E1286">
        <f t="shared" si="41"/>
        <v>6</v>
      </c>
      <c r="F1286" s="9" t="s">
        <v>2537</v>
      </c>
      <c r="G1286" s="9" t="s">
        <v>11</v>
      </c>
      <c r="H1286" s="9" t="s">
        <v>12</v>
      </c>
    </row>
    <row r="1287" spans="1:8" x14ac:dyDescent="0.25">
      <c r="A1287" t="s">
        <v>2538</v>
      </c>
      <c r="B1287" s="14" cm="1">
        <f t="array" ref="B1287">_xll.GetLatestPrice(F1287,,G1287)</f>
        <v>500</v>
      </c>
      <c r="C1287" s="1" cm="1">
        <f t="array" ref="C1287">_xll.GetLatestPrice(F1287,"Actual","AssessmentDate")</f>
        <v>45826.645833333336</v>
      </c>
      <c r="D1287">
        <f t="shared" si="40"/>
        <v>2025</v>
      </c>
      <c r="E1287">
        <f t="shared" si="41"/>
        <v>6</v>
      </c>
      <c r="F1287" s="9" t="s">
        <v>2539</v>
      </c>
      <c r="G1287" s="9" t="s">
        <v>11</v>
      </c>
      <c r="H1287" s="9" t="s">
        <v>12</v>
      </c>
    </row>
    <row r="1288" spans="1:8" x14ac:dyDescent="0.25">
      <c r="A1288" t="s">
        <v>2540</v>
      </c>
      <c r="B1288" s="14" cm="1">
        <f t="array" ref="B1288">_xll.GetLatestPrice(F1288,,G1288)</f>
        <v>570</v>
      </c>
      <c r="C1288" s="1" cm="1">
        <f t="array" ref="C1288">_xll.GetLatestPrice(F1288,"Actual","AssessmentDate")</f>
        <v>45826.645833333336</v>
      </c>
      <c r="D1288">
        <f t="shared" si="40"/>
        <v>2025</v>
      </c>
      <c r="E1288">
        <f t="shared" si="41"/>
        <v>6</v>
      </c>
      <c r="F1288" s="9" t="s">
        <v>2541</v>
      </c>
      <c r="G1288" s="9" t="s">
        <v>11</v>
      </c>
      <c r="H1288" s="9" t="s">
        <v>12</v>
      </c>
    </row>
    <row r="1289" spans="1:8" x14ac:dyDescent="0.25">
      <c r="A1289" t="s">
        <v>2542</v>
      </c>
      <c r="B1289" s="14" cm="1">
        <f t="array" ref="B1289">_xll.GetLatestPrice(F1289,,G1289)</f>
        <v>535</v>
      </c>
      <c r="C1289" s="1" cm="1">
        <f t="array" ref="C1289">_xll.GetLatestPrice(F1289,"Actual","AssessmentDate")</f>
        <v>45826.645833333336</v>
      </c>
      <c r="D1289">
        <f t="shared" si="40"/>
        <v>2025</v>
      </c>
      <c r="E1289">
        <f t="shared" si="41"/>
        <v>6</v>
      </c>
      <c r="F1289" s="9" t="s">
        <v>2543</v>
      </c>
      <c r="G1289" s="9" t="s">
        <v>11</v>
      </c>
      <c r="H1289" s="9" t="s">
        <v>12</v>
      </c>
    </row>
    <row r="1290" spans="1:8" x14ac:dyDescent="0.25">
      <c r="A1290" t="s">
        <v>2544</v>
      </c>
      <c r="B1290" s="14" cm="1">
        <f t="array" ref="B1290">_xll.GetLatestPrice(F1290,,G1290)</f>
        <v>535</v>
      </c>
      <c r="C1290" s="1" cm="1">
        <f t="array" ref="C1290">_xll.GetLatestPrice(F1290,"Actual","AssessmentDate")</f>
        <v>45826.645833333336</v>
      </c>
      <c r="D1290">
        <f t="shared" si="40"/>
        <v>2025</v>
      </c>
      <c r="E1290">
        <f t="shared" si="41"/>
        <v>6</v>
      </c>
      <c r="F1290" s="9" t="s">
        <v>2545</v>
      </c>
      <c r="G1290" s="9" t="s">
        <v>11</v>
      </c>
      <c r="H1290" s="9" t="s">
        <v>12</v>
      </c>
    </row>
    <row r="1291" spans="1:8" x14ac:dyDescent="0.25">
      <c r="A1291" t="s">
        <v>2546</v>
      </c>
      <c r="B1291" s="14" cm="1">
        <f t="array" ref="B1291">_xll.GetLatestPrice(F1291,,G1291)</f>
        <v>465</v>
      </c>
      <c r="C1291" s="1" cm="1">
        <f t="array" ref="C1291">_xll.GetLatestPrice(F1291,"Actual","AssessmentDate")</f>
        <v>45826.645833333336</v>
      </c>
      <c r="D1291">
        <f t="shared" si="40"/>
        <v>2025</v>
      </c>
      <c r="E1291">
        <f t="shared" si="41"/>
        <v>6</v>
      </c>
      <c r="F1291" s="9" t="s">
        <v>2547</v>
      </c>
      <c r="G1291" s="9" t="s">
        <v>11</v>
      </c>
      <c r="H1291" s="9" t="s">
        <v>12</v>
      </c>
    </row>
    <row r="1292" spans="1:8" x14ac:dyDescent="0.25">
      <c r="A1292" t="s">
        <v>2548</v>
      </c>
      <c r="B1292" s="14" cm="1">
        <f t="array" ref="B1292">_xll.GetLatestPrice(F1292,,G1292)</f>
        <v>445</v>
      </c>
      <c r="C1292" s="1" cm="1">
        <f t="array" ref="C1292">_xll.GetLatestPrice(F1292,"Actual","AssessmentDate")</f>
        <v>45826.645833333336</v>
      </c>
      <c r="D1292">
        <f t="shared" si="40"/>
        <v>2025</v>
      </c>
      <c r="E1292">
        <f t="shared" si="41"/>
        <v>6</v>
      </c>
      <c r="F1292" s="9" t="s">
        <v>2549</v>
      </c>
      <c r="G1292" s="9" t="s">
        <v>11</v>
      </c>
      <c r="H1292" s="9" t="s">
        <v>12</v>
      </c>
    </row>
    <row r="1293" spans="1:8" x14ac:dyDescent="0.25">
      <c r="A1293" t="s">
        <v>2550</v>
      </c>
      <c r="B1293" s="14" cm="1">
        <f t="array" ref="B1293">_xll.GetLatestPrice(F1293,,G1293)</f>
        <v>530</v>
      </c>
      <c r="C1293" s="1" cm="1">
        <f t="array" ref="C1293">_xll.GetLatestPrice(F1293,"Actual","AssessmentDate")</f>
        <v>45826.645833333336</v>
      </c>
      <c r="D1293">
        <f t="shared" si="40"/>
        <v>2025</v>
      </c>
      <c r="E1293">
        <f t="shared" si="41"/>
        <v>6</v>
      </c>
      <c r="F1293" s="9" t="s">
        <v>2551</v>
      </c>
      <c r="G1293" s="9" t="s">
        <v>11</v>
      </c>
      <c r="H1293" s="9" t="s">
        <v>12</v>
      </c>
    </row>
    <row r="1294" spans="1:8" x14ac:dyDescent="0.25">
      <c r="A1294" t="s">
        <v>2552</v>
      </c>
      <c r="B1294" s="14" cm="1">
        <f t="array" ref="B1294">_xll.GetLatestPrice(F1294,,G1294)</f>
        <v>475</v>
      </c>
      <c r="C1294" s="1" cm="1">
        <f t="array" ref="C1294">_xll.GetLatestPrice(F1294,"Actual","AssessmentDate")</f>
        <v>45826.645833333336</v>
      </c>
      <c r="D1294">
        <f t="shared" si="40"/>
        <v>2025</v>
      </c>
      <c r="E1294">
        <f t="shared" si="41"/>
        <v>6</v>
      </c>
      <c r="F1294" s="9" t="s">
        <v>2553</v>
      </c>
      <c r="G1294" s="9" t="s">
        <v>11</v>
      </c>
      <c r="H1294" s="9" t="s">
        <v>12</v>
      </c>
    </row>
    <row r="1295" spans="1:8" x14ac:dyDescent="0.25">
      <c r="A1295" t="s">
        <v>2554</v>
      </c>
      <c r="B1295" s="14" cm="1">
        <f t="array" ref="B1295">_xll.GetLatestPrice(F1295,,G1295)</f>
        <v>450</v>
      </c>
      <c r="C1295" s="1" cm="1">
        <f t="array" ref="C1295">_xll.GetLatestPrice(F1295,"Actual","AssessmentDate")</f>
        <v>45826.645833333336</v>
      </c>
      <c r="D1295">
        <f t="shared" si="40"/>
        <v>2025</v>
      </c>
      <c r="E1295">
        <f t="shared" si="41"/>
        <v>6</v>
      </c>
      <c r="F1295" s="9" t="s">
        <v>2555</v>
      </c>
      <c r="G1295" s="9" t="s">
        <v>11</v>
      </c>
      <c r="H1295" s="9" t="s">
        <v>12</v>
      </c>
    </row>
    <row r="1296" spans="1:8" x14ac:dyDescent="0.25">
      <c r="A1296" t="s">
        <v>2556</v>
      </c>
      <c r="B1296" s="14" cm="1">
        <f t="array" ref="B1296">_xll.GetLatestPrice(F1296,,G1296)</f>
        <v>485</v>
      </c>
      <c r="C1296" s="1" cm="1">
        <f t="array" ref="C1296">_xll.GetLatestPrice(F1296,"Actual","AssessmentDate")</f>
        <v>45826.645833333336</v>
      </c>
      <c r="D1296">
        <f t="shared" si="40"/>
        <v>2025</v>
      </c>
      <c r="E1296">
        <f t="shared" si="41"/>
        <v>6</v>
      </c>
      <c r="F1296" s="9" t="s">
        <v>2557</v>
      </c>
      <c r="G1296" s="9" t="s">
        <v>11</v>
      </c>
      <c r="H1296" s="9" t="s">
        <v>12</v>
      </c>
    </row>
    <row r="1297" spans="1:8" x14ac:dyDescent="0.25">
      <c r="A1297" t="s">
        <v>2558</v>
      </c>
      <c r="B1297" s="14" cm="1">
        <f t="array" ref="B1297">_xll.GetLatestPrice(F1297,,G1297)</f>
        <v>445</v>
      </c>
      <c r="C1297" s="1" cm="1">
        <f t="array" ref="C1297">_xll.GetLatestPrice(F1297,"Actual","AssessmentDate")</f>
        <v>45826.645833333336</v>
      </c>
      <c r="D1297">
        <f t="shared" si="40"/>
        <v>2025</v>
      </c>
      <c r="E1297">
        <f t="shared" si="41"/>
        <v>6</v>
      </c>
      <c r="F1297" s="9" t="s">
        <v>2559</v>
      </c>
      <c r="G1297" s="9" t="s">
        <v>11</v>
      </c>
      <c r="H1297" s="9" t="s">
        <v>12</v>
      </c>
    </row>
    <row r="1298" spans="1:8" x14ac:dyDescent="0.25">
      <c r="A1298" t="s">
        <v>2560</v>
      </c>
      <c r="B1298" s="14" cm="1">
        <f t="array" ref="B1298">_xll.GetLatestPrice(F1298,,G1298)</f>
        <v>490</v>
      </c>
      <c r="C1298" s="1" cm="1">
        <f t="array" ref="C1298">_xll.GetLatestPrice(F1298,"Actual","AssessmentDate")</f>
        <v>45826.645833333336</v>
      </c>
      <c r="D1298">
        <f t="shared" si="40"/>
        <v>2025</v>
      </c>
      <c r="E1298">
        <f t="shared" si="41"/>
        <v>6</v>
      </c>
      <c r="F1298" s="9" t="s">
        <v>2561</v>
      </c>
      <c r="G1298" s="9" t="s">
        <v>11</v>
      </c>
      <c r="H1298" s="9" t="s">
        <v>12</v>
      </c>
    </row>
    <row r="1299" spans="1:8" x14ac:dyDescent="0.25">
      <c r="A1299" t="s">
        <v>2562</v>
      </c>
      <c r="B1299" s="14" cm="1">
        <f t="array" ref="B1299">_xll.GetLatestPrice(F1299,,G1299)</f>
        <v>615</v>
      </c>
      <c r="C1299" s="1" cm="1">
        <f t="array" ref="C1299">_xll.GetLatestPrice(F1299,"Actual","AssessmentDate")</f>
        <v>45826.645833333336</v>
      </c>
      <c r="D1299">
        <f t="shared" si="40"/>
        <v>2025</v>
      </c>
      <c r="E1299">
        <f t="shared" si="41"/>
        <v>6</v>
      </c>
      <c r="F1299" s="9" t="s">
        <v>2563</v>
      </c>
      <c r="G1299" s="9" t="s">
        <v>11</v>
      </c>
      <c r="H1299" s="9" t="s">
        <v>12</v>
      </c>
    </row>
    <row r="1300" spans="1:8" x14ac:dyDescent="0.25">
      <c r="A1300" t="s">
        <v>2564</v>
      </c>
      <c r="B1300" s="14" cm="1">
        <f t="array" ref="B1300">_xll.GetLatestPrice(F1300,,G1300)</f>
        <v>670</v>
      </c>
      <c r="C1300" s="1" cm="1">
        <f t="array" ref="C1300">_xll.GetLatestPrice(F1300,"Actual","AssessmentDate")</f>
        <v>45826.645833333336</v>
      </c>
      <c r="D1300">
        <f t="shared" si="40"/>
        <v>2025</v>
      </c>
      <c r="E1300">
        <f t="shared" si="41"/>
        <v>6</v>
      </c>
      <c r="F1300" s="9" t="s">
        <v>2565</v>
      </c>
      <c r="G1300" s="9" t="s">
        <v>11</v>
      </c>
      <c r="H1300" s="9" t="s">
        <v>12</v>
      </c>
    </row>
    <row r="1301" spans="1:8" x14ac:dyDescent="0.25">
      <c r="A1301" t="s">
        <v>2566</v>
      </c>
      <c r="B1301" s="14" cm="1">
        <f t="array" ref="B1301">_xll.GetLatestPrice(F1301,,G1301)</f>
        <v>560</v>
      </c>
      <c r="C1301" s="1" cm="1">
        <f t="array" ref="C1301">_xll.GetLatestPrice(F1301,"Actual","AssessmentDate")</f>
        <v>45826.645833333336</v>
      </c>
      <c r="D1301">
        <f t="shared" si="40"/>
        <v>2025</v>
      </c>
      <c r="E1301">
        <f t="shared" si="41"/>
        <v>6</v>
      </c>
      <c r="F1301" s="9" t="s">
        <v>2567</v>
      </c>
      <c r="G1301" s="9" t="s">
        <v>11</v>
      </c>
      <c r="H1301" s="9" t="s">
        <v>12</v>
      </c>
    </row>
    <row r="1302" spans="1:8" x14ac:dyDescent="0.25">
      <c r="A1302" t="s">
        <v>2568</v>
      </c>
      <c r="B1302" s="14" cm="1">
        <f t="array" ref="B1302">_xll.GetLatestPrice(F1302,,G1302)</f>
        <v>505</v>
      </c>
      <c r="C1302" s="1" cm="1">
        <f t="array" ref="C1302">_xll.GetLatestPrice(F1302,"Actual","AssessmentDate")</f>
        <v>45826.645833333336</v>
      </c>
      <c r="D1302">
        <f t="shared" si="40"/>
        <v>2025</v>
      </c>
      <c r="E1302">
        <f t="shared" si="41"/>
        <v>6</v>
      </c>
      <c r="F1302" s="9" t="s">
        <v>2569</v>
      </c>
      <c r="G1302" s="9" t="s">
        <v>11</v>
      </c>
      <c r="H1302" s="9" t="s">
        <v>12</v>
      </c>
    </row>
    <row r="1303" spans="1:8" x14ac:dyDescent="0.25">
      <c r="A1303" t="s">
        <v>2570</v>
      </c>
      <c r="B1303" s="14" cm="1">
        <f t="array" ref="B1303">_xll.GetLatestPrice(F1303,,G1303)</f>
        <v>605</v>
      </c>
      <c r="C1303" s="1" cm="1">
        <f t="array" ref="C1303">_xll.GetLatestPrice(F1303,"Actual","AssessmentDate")</f>
        <v>45826.645833333336</v>
      </c>
      <c r="D1303">
        <f t="shared" si="40"/>
        <v>2025</v>
      </c>
      <c r="E1303">
        <f t="shared" si="41"/>
        <v>6</v>
      </c>
      <c r="F1303" s="9" t="s">
        <v>2571</v>
      </c>
      <c r="G1303" s="9" t="s">
        <v>11</v>
      </c>
      <c r="H1303" s="9" t="s">
        <v>12</v>
      </c>
    </row>
    <row r="1304" spans="1:8" x14ac:dyDescent="0.25">
      <c r="A1304" t="s">
        <v>2572</v>
      </c>
      <c r="B1304" s="14" cm="1">
        <f t="array" ref="B1304">_xll.GetLatestPrice(F1304,,G1304)</f>
        <v>2870</v>
      </c>
      <c r="C1304" s="1" cm="1">
        <f t="array" ref="C1304">_xll.GetLatestPrice(F1304,"Actual","AssessmentDate")</f>
        <v>45826.645833333336</v>
      </c>
      <c r="D1304">
        <f t="shared" si="40"/>
        <v>2025</v>
      </c>
      <c r="E1304">
        <f t="shared" si="41"/>
        <v>6</v>
      </c>
      <c r="F1304" s="9" t="s">
        <v>2573</v>
      </c>
      <c r="G1304" s="9" t="s">
        <v>11</v>
      </c>
      <c r="H1304" s="9" t="s">
        <v>12</v>
      </c>
    </row>
    <row r="1305" spans="1:8" x14ac:dyDescent="0.25">
      <c r="A1305" t="s">
        <v>2574</v>
      </c>
      <c r="B1305" s="14" cm="1">
        <f t="array" ref="B1305">_xll.GetLatestPrice(F1305,,G1305)</f>
        <v>1135</v>
      </c>
      <c r="C1305" s="1" cm="1">
        <f t="array" ref="C1305">_xll.GetLatestPrice(F1305,"Actual","AssessmentDate")</f>
        <v>45826.645833333336</v>
      </c>
      <c r="D1305">
        <f t="shared" si="40"/>
        <v>2025</v>
      </c>
      <c r="E1305">
        <f t="shared" si="41"/>
        <v>6</v>
      </c>
      <c r="F1305" s="9" t="s">
        <v>2575</v>
      </c>
      <c r="G1305" s="9" t="s">
        <v>11</v>
      </c>
      <c r="H1305" s="9" t="s">
        <v>12</v>
      </c>
    </row>
    <row r="1306" spans="1:8" x14ac:dyDescent="0.25">
      <c r="A1306" t="s">
        <v>2576</v>
      </c>
      <c r="B1306" s="14" cm="1">
        <f t="array" ref="B1306">_xll.GetLatestPrice(F1306,,G1306)</f>
        <v>2250</v>
      </c>
      <c r="C1306" s="1" cm="1">
        <f t="array" ref="C1306">_xll.GetLatestPrice(F1306,"Actual","AssessmentDate")</f>
        <v>45826.645833333336</v>
      </c>
      <c r="D1306">
        <f t="shared" si="40"/>
        <v>2025</v>
      </c>
      <c r="E1306">
        <f t="shared" si="41"/>
        <v>6</v>
      </c>
      <c r="F1306" s="9" t="s">
        <v>2577</v>
      </c>
      <c r="G1306" s="9" t="s">
        <v>11</v>
      </c>
      <c r="H1306" s="9" t="s">
        <v>12</v>
      </c>
    </row>
    <row r="1307" spans="1:8" x14ac:dyDescent="0.25">
      <c r="A1307" t="s">
        <v>2578</v>
      </c>
      <c r="B1307" s="14" cm="1">
        <f t="array" ref="B1307">_xll.GetLatestPrice(F1307,,G1307)</f>
        <v>2770</v>
      </c>
      <c r="C1307" s="1" cm="1">
        <f t="array" ref="C1307">_xll.GetLatestPrice(F1307,"Actual","AssessmentDate")</f>
        <v>45826.645833333336</v>
      </c>
      <c r="D1307">
        <f t="shared" si="40"/>
        <v>2025</v>
      </c>
      <c r="E1307">
        <f t="shared" si="41"/>
        <v>6</v>
      </c>
      <c r="F1307" s="9" t="s">
        <v>2579</v>
      </c>
      <c r="G1307" s="9" t="s">
        <v>11</v>
      </c>
      <c r="H1307" s="9" t="s">
        <v>12</v>
      </c>
    </row>
    <row r="1308" spans="1:8" x14ac:dyDescent="0.25">
      <c r="A1308" t="s">
        <v>2580</v>
      </c>
      <c r="B1308" s="14" cm="1">
        <f t="array" ref="B1308">_xll.GetLatestPrice(F1308,,G1308)</f>
        <v>3095</v>
      </c>
      <c r="C1308" s="1" cm="1">
        <f t="array" ref="C1308">_xll.GetLatestPrice(F1308,"Actual","AssessmentDate")</f>
        <v>45826.645833333336</v>
      </c>
      <c r="D1308">
        <f t="shared" si="40"/>
        <v>2025</v>
      </c>
      <c r="E1308">
        <f t="shared" si="41"/>
        <v>6</v>
      </c>
      <c r="F1308" s="9" t="s">
        <v>2581</v>
      </c>
      <c r="G1308" s="9" t="s">
        <v>11</v>
      </c>
      <c r="H1308" s="9" t="s">
        <v>12</v>
      </c>
    </row>
    <row r="1309" spans="1:8" x14ac:dyDescent="0.25">
      <c r="A1309" t="s">
        <v>2582</v>
      </c>
      <c r="B1309" s="14" cm="1">
        <f t="array" ref="B1309">_xll.GetLatestPrice(F1309,,G1309)</f>
        <v>570</v>
      </c>
      <c r="C1309" s="1" cm="1">
        <f t="array" ref="C1309">_xll.GetLatestPrice(F1309,"Actual","AssessmentDate")</f>
        <v>45826.645833333336</v>
      </c>
      <c r="D1309">
        <f t="shared" si="40"/>
        <v>2025</v>
      </c>
      <c r="E1309">
        <f t="shared" si="41"/>
        <v>6</v>
      </c>
      <c r="F1309" s="9" t="s">
        <v>2583</v>
      </c>
      <c r="G1309" s="9" t="s">
        <v>11</v>
      </c>
      <c r="H1309" s="9" t="s">
        <v>12</v>
      </c>
    </row>
    <row r="1310" spans="1:8" x14ac:dyDescent="0.25">
      <c r="A1310" t="s">
        <v>2584</v>
      </c>
      <c r="B1310" s="14" cm="1">
        <f t="array" ref="B1310">_xll.GetLatestPrice(F1310,,G1310)</f>
        <v>555</v>
      </c>
      <c r="C1310" s="1" cm="1">
        <f t="array" ref="C1310">_xll.GetLatestPrice(F1310,"Actual","AssessmentDate")</f>
        <v>45826.645833333336</v>
      </c>
      <c r="D1310">
        <f t="shared" si="40"/>
        <v>2025</v>
      </c>
      <c r="E1310">
        <f t="shared" si="41"/>
        <v>6</v>
      </c>
      <c r="F1310" s="9" t="s">
        <v>2585</v>
      </c>
      <c r="G1310" s="9" t="s">
        <v>11</v>
      </c>
      <c r="H1310" s="9" t="s">
        <v>12</v>
      </c>
    </row>
    <row r="1311" spans="1:8" x14ac:dyDescent="0.25">
      <c r="A1311" t="s">
        <v>2586</v>
      </c>
      <c r="B1311" s="14" cm="1">
        <f t="array" ref="B1311">_xll.GetLatestPrice(F1311,,G1311)</f>
        <v>585</v>
      </c>
      <c r="C1311" s="1" cm="1">
        <f t="array" ref="C1311">_xll.GetLatestPrice(F1311,"Actual","AssessmentDate")</f>
        <v>45826.645833333336</v>
      </c>
      <c r="D1311">
        <f t="shared" si="40"/>
        <v>2025</v>
      </c>
      <c r="E1311">
        <f t="shared" si="41"/>
        <v>6</v>
      </c>
      <c r="F1311" s="9" t="s">
        <v>2587</v>
      </c>
      <c r="G1311" s="9" t="s">
        <v>11</v>
      </c>
      <c r="H1311" s="9" t="s">
        <v>12</v>
      </c>
    </row>
    <row r="1312" spans="1:8" x14ac:dyDescent="0.25">
      <c r="A1312" t="s">
        <v>2588</v>
      </c>
      <c r="B1312" s="14" cm="1">
        <f t="array" ref="B1312">_xll.GetLatestPrice(F1312,,G1312)</f>
        <v>465</v>
      </c>
      <c r="C1312" s="1" cm="1">
        <f t="array" ref="C1312">_xll.GetLatestPrice(F1312,"Actual","AssessmentDate")</f>
        <v>45826.645833333336</v>
      </c>
      <c r="D1312">
        <f t="shared" si="40"/>
        <v>2025</v>
      </c>
      <c r="E1312">
        <f t="shared" si="41"/>
        <v>6</v>
      </c>
      <c r="F1312" s="9" t="s">
        <v>2589</v>
      </c>
      <c r="G1312" s="9" t="s">
        <v>11</v>
      </c>
      <c r="H1312" s="9" t="s">
        <v>12</v>
      </c>
    </row>
    <row r="1313" spans="1:8" x14ac:dyDescent="0.25">
      <c r="A1313" t="s">
        <v>2590</v>
      </c>
      <c r="B1313" s="14" cm="1">
        <f t="array" ref="B1313">_xll.GetLatestPrice(F1313,,G1313)</f>
        <v>585</v>
      </c>
      <c r="C1313" s="1" cm="1">
        <f t="array" ref="C1313">_xll.GetLatestPrice(F1313,"Actual","AssessmentDate")</f>
        <v>45826.645833333336</v>
      </c>
      <c r="D1313">
        <f t="shared" si="40"/>
        <v>2025</v>
      </c>
      <c r="E1313">
        <f t="shared" si="41"/>
        <v>6</v>
      </c>
      <c r="F1313" s="9" t="s">
        <v>2591</v>
      </c>
      <c r="G1313" s="9" t="s">
        <v>11</v>
      </c>
      <c r="H1313" s="9" t="s">
        <v>12</v>
      </c>
    </row>
    <row r="1314" spans="1:8" x14ac:dyDescent="0.25">
      <c r="A1314" t="s">
        <v>2592</v>
      </c>
      <c r="B1314" s="14" cm="1">
        <f t="array" ref="B1314">_xll.GetLatestPrice(F1314,,G1314)</f>
        <v>640</v>
      </c>
      <c r="C1314" s="1" cm="1">
        <f t="array" ref="C1314">_xll.GetLatestPrice(F1314,"Actual","AssessmentDate")</f>
        <v>45826.645833333336</v>
      </c>
      <c r="D1314">
        <f t="shared" si="40"/>
        <v>2025</v>
      </c>
      <c r="E1314">
        <f t="shared" si="41"/>
        <v>6</v>
      </c>
      <c r="F1314" s="9" t="s">
        <v>2593</v>
      </c>
      <c r="G1314" s="9" t="s">
        <v>11</v>
      </c>
      <c r="H1314" s="9" t="s">
        <v>12</v>
      </c>
    </row>
    <row r="1315" spans="1:8" x14ac:dyDescent="0.25">
      <c r="A1315" t="s">
        <v>2594</v>
      </c>
      <c r="B1315" s="14" cm="1">
        <f t="array" ref="B1315">_xll.GetLatestPrice(F1315,,G1315)</f>
        <v>620</v>
      </c>
      <c r="C1315" s="1" cm="1">
        <f t="array" ref="C1315">_xll.GetLatestPrice(F1315,"Actual","AssessmentDate")</f>
        <v>45826.645833333336</v>
      </c>
      <c r="D1315">
        <f t="shared" si="40"/>
        <v>2025</v>
      </c>
      <c r="E1315">
        <f t="shared" si="41"/>
        <v>6</v>
      </c>
      <c r="F1315" s="9" t="s">
        <v>2595</v>
      </c>
      <c r="G1315" s="9" t="s">
        <v>11</v>
      </c>
      <c r="H1315" s="9" t="s">
        <v>12</v>
      </c>
    </row>
    <row r="1316" spans="1:8" x14ac:dyDescent="0.25">
      <c r="A1316" t="s">
        <v>2596</v>
      </c>
      <c r="B1316" s="14" cm="1">
        <f t="array" ref="B1316">_xll.GetLatestPrice(F1316,,G1316)</f>
        <v>585</v>
      </c>
      <c r="C1316" s="1" cm="1">
        <f t="array" ref="C1316">_xll.GetLatestPrice(F1316,"Actual","AssessmentDate")</f>
        <v>45826.645833333336</v>
      </c>
      <c r="D1316">
        <f t="shared" si="40"/>
        <v>2025</v>
      </c>
      <c r="E1316">
        <f t="shared" si="41"/>
        <v>6</v>
      </c>
      <c r="F1316" s="9" t="s">
        <v>2597</v>
      </c>
      <c r="G1316" s="9" t="s">
        <v>11</v>
      </c>
      <c r="H1316" s="9" t="s">
        <v>12</v>
      </c>
    </row>
    <row r="1317" spans="1:8" x14ac:dyDescent="0.25">
      <c r="A1317" t="s">
        <v>2598</v>
      </c>
      <c r="B1317" s="14" cm="1">
        <f t="array" ref="B1317">_xll.GetLatestPrice(F1317,,G1317)</f>
        <v>585</v>
      </c>
      <c r="C1317" s="1" cm="1">
        <f t="array" ref="C1317">_xll.GetLatestPrice(F1317,"Actual","AssessmentDate")</f>
        <v>45826.645833333336</v>
      </c>
      <c r="D1317">
        <f t="shared" si="40"/>
        <v>2025</v>
      </c>
      <c r="E1317">
        <f t="shared" si="41"/>
        <v>6</v>
      </c>
      <c r="F1317" s="9" t="s">
        <v>2599</v>
      </c>
      <c r="G1317" s="9" t="s">
        <v>11</v>
      </c>
      <c r="H1317" s="9" t="s">
        <v>12</v>
      </c>
    </row>
    <row r="1318" spans="1:8" x14ac:dyDescent="0.25">
      <c r="A1318" t="s">
        <v>2600</v>
      </c>
      <c r="B1318" s="14" cm="1">
        <f t="array" ref="B1318">_xll.GetLatestPrice(F1318,,G1318)</f>
        <v>765</v>
      </c>
      <c r="C1318" s="1" cm="1">
        <f t="array" ref="C1318">_xll.GetLatestPrice(F1318,"Actual","AssessmentDate")</f>
        <v>45826.645833333336</v>
      </c>
      <c r="D1318">
        <f t="shared" si="40"/>
        <v>2025</v>
      </c>
      <c r="E1318">
        <f t="shared" si="41"/>
        <v>6</v>
      </c>
      <c r="F1318" s="9" t="s">
        <v>2601</v>
      </c>
      <c r="G1318" s="9" t="s">
        <v>11</v>
      </c>
      <c r="H1318" s="9" t="s">
        <v>12</v>
      </c>
    </row>
    <row r="1319" spans="1:8" x14ac:dyDescent="0.25">
      <c r="A1319" t="s">
        <v>2602</v>
      </c>
      <c r="B1319" s="14" cm="1">
        <f t="array" ref="B1319">_xll.GetLatestPrice(F1319,,G1319)</f>
        <v>445</v>
      </c>
      <c r="C1319" s="1" cm="1">
        <f t="array" ref="C1319">_xll.GetLatestPrice(F1319,"Actual","AssessmentDate")</f>
        <v>45826.645833333336</v>
      </c>
      <c r="D1319">
        <f t="shared" si="40"/>
        <v>2025</v>
      </c>
      <c r="E1319">
        <f t="shared" si="41"/>
        <v>6</v>
      </c>
      <c r="F1319" s="9" t="s">
        <v>2603</v>
      </c>
      <c r="G1319" s="9" t="s">
        <v>11</v>
      </c>
      <c r="H1319" s="9" t="s">
        <v>12</v>
      </c>
    </row>
    <row r="1320" spans="1:8" x14ac:dyDescent="0.25">
      <c r="A1320" t="s">
        <v>2604</v>
      </c>
      <c r="B1320" s="14" cm="1">
        <f t="array" ref="B1320">_xll.GetLatestPrice(F1320,,G1320)</f>
        <v>410</v>
      </c>
      <c r="C1320" s="1" cm="1">
        <f t="array" ref="C1320">_xll.GetLatestPrice(F1320,"Actual","AssessmentDate")</f>
        <v>45826.645833333336</v>
      </c>
      <c r="D1320">
        <f t="shared" si="40"/>
        <v>2025</v>
      </c>
      <c r="E1320">
        <f t="shared" si="41"/>
        <v>6</v>
      </c>
      <c r="F1320" s="9" t="s">
        <v>2605</v>
      </c>
      <c r="G1320" s="9" t="s">
        <v>11</v>
      </c>
      <c r="H1320" s="9" t="s">
        <v>12</v>
      </c>
    </row>
    <row r="1321" spans="1:8" x14ac:dyDescent="0.25">
      <c r="A1321" t="s">
        <v>2606</v>
      </c>
      <c r="B1321" s="14" cm="1">
        <f t="array" ref="B1321">_xll.GetLatestPrice(F1321,,G1321)</f>
        <v>370</v>
      </c>
      <c r="C1321" s="1" cm="1">
        <f t="array" ref="C1321">_xll.GetLatestPrice(F1321,"Actual","AssessmentDate")</f>
        <v>45826.645833333336</v>
      </c>
      <c r="D1321">
        <f t="shared" si="40"/>
        <v>2025</v>
      </c>
      <c r="E1321">
        <f t="shared" si="41"/>
        <v>6</v>
      </c>
      <c r="F1321" s="9" t="s">
        <v>2607</v>
      </c>
      <c r="G1321" s="9" t="s">
        <v>11</v>
      </c>
      <c r="H1321" s="9" t="s">
        <v>12</v>
      </c>
    </row>
    <row r="1322" spans="1:8" x14ac:dyDescent="0.25">
      <c r="A1322" t="s">
        <v>2608</v>
      </c>
      <c r="B1322" s="14" cm="1">
        <f t="array" ref="B1322">_xll.GetLatestPrice(F1322,,G1322)</f>
        <v>370</v>
      </c>
      <c r="C1322" s="1" cm="1">
        <f t="array" ref="C1322">_xll.GetLatestPrice(F1322,"Actual","AssessmentDate")</f>
        <v>45826.645833333336</v>
      </c>
      <c r="D1322">
        <f t="shared" si="40"/>
        <v>2025</v>
      </c>
      <c r="E1322">
        <f t="shared" si="41"/>
        <v>6</v>
      </c>
      <c r="F1322" s="9" t="s">
        <v>2609</v>
      </c>
      <c r="G1322" s="9" t="s">
        <v>11</v>
      </c>
      <c r="H1322" s="9" t="s">
        <v>12</v>
      </c>
    </row>
    <row r="1323" spans="1:8" x14ac:dyDescent="0.25">
      <c r="A1323" t="s">
        <v>2610</v>
      </c>
      <c r="B1323" s="14" cm="1">
        <f t="array" ref="B1323">_xll.GetLatestPrice(F1323,,G1323)</f>
        <v>360</v>
      </c>
      <c r="C1323" s="1" cm="1">
        <f t="array" ref="C1323">_xll.GetLatestPrice(F1323,"Actual","AssessmentDate")</f>
        <v>45826.645833333336</v>
      </c>
      <c r="D1323">
        <f t="shared" si="40"/>
        <v>2025</v>
      </c>
      <c r="E1323">
        <f t="shared" si="41"/>
        <v>6</v>
      </c>
      <c r="F1323" s="9" t="s">
        <v>2611</v>
      </c>
      <c r="G1323" s="9" t="s">
        <v>11</v>
      </c>
      <c r="H1323" s="9" t="s">
        <v>12</v>
      </c>
    </row>
    <row r="1324" spans="1:8" x14ac:dyDescent="0.25">
      <c r="A1324" t="s">
        <v>2612</v>
      </c>
      <c r="B1324" s="14" cm="1">
        <f t="array" ref="B1324">_xll.GetLatestPrice(F1324,,G1324)</f>
        <v>583</v>
      </c>
      <c r="C1324" s="1" cm="1">
        <f t="array" ref="C1324">_xll.GetLatestPrice(F1324,"Actual","AssessmentDate")</f>
        <v>45826.649791666663</v>
      </c>
      <c r="D1324">
        <f t="shared" si="40"/>
        <v>2025</v>
      </c>
      <c r="E1324">
        <f t="shared" si="41"/>
        <v>6</v>
      </c>
      <c r="F1324" s="9" t="s">
        <v>2613</v>
      </c>
      <c r="G1324" s="9" t="s">
        <v>11</v>
      </c>
      <c r="H1324" s="9" t="s">
        <v>12</v>
      </c>
    </row>
    <row r="1325" spans="1:8" x14ac:dyDescent="0.25">
      <c r="A1325" t="s">
        <v>2614</v>
      </c>
      <c r="B1325" s="14" cm="1">
        <f t="array" ref="B1325">_xll.GetLatestPrice(F1325,,G1325)</f>
        <v>563</v>
      </c>
      <c r="C1325" s="1" cm="1">
        <f t="array" ref="C1325">_xll.GetLatestPrice(F1325,"Actual","AssessmentDate")</f>
        <v>45826.649791666663</v>
      </c>
      <c r="D1325">
        <f t="shared" si="40"/>
        <v>2025</v>
      </c>
      <c r="E1325">
        <f t="shared" si="41"/>
        <v>6</v>
      </c>
      <c r="F1325" s="9" t="s">
        <v>2615</v>
      </c>
      <c r="G1325" s="9" t="s">
        <v>11</v>
      </c>
      <c r="H1325" s="9" t="s">
        <v>12</v>
      </c>
    </row>
    <row r="1326" spans="1:8" x14ac:dyDescent="0.25">
      <c r="A1326" t="s">
        <v>2616</v>
      </c>
      <c r="B1326" s="14" cm="1">
        <f t="array" ref="B1326">_xll.GetLatestPrice(F1326,,G1326)</f>
        <v>473</v>
      </c>
      <c r="C1326" s="1" cm="1">
        <f t="array" ref="C1326">_xll.GetLatestPrice(F1326,"Actual","AssessmentDate")</f>
        <v>45826.649791666663</v>
      </c>
      <c r="D1326">
        <f t="shared" si="40"/>
        <v>2025</v>
      </c>
      <c r="E1326">
        <f t="shared" si="41"/>
        <v>6</v>
      </c>
      <c r="F1326" s="9" t="s">
        <v>2617</v>
      </c>
      <c r="G1326" s="9" t="s">
        <v>11</v>
      </c>
      <c r="H1326" s="9" t="s">
        <v>12</v>
      </c>
    </row>
    <row r="1327" spans="1:8" x14ac:dyDescent="0.25">
      <c r="A1327" t="s">
        <v>2618</v>
      </c>
      <c r="B1327" s="14" cm="1">
        <f t="array" ref="B1327">_xll.GetLatestPrice(F1327,,G1327)</f>
        <v>365</v>
      </c>
      <c r="C1327" s="1" cm="1">
        <f t="array" ref="C1327">_xll.GetLatestPrice(F1327,"Actual","AssessmentDate")</f>
        <v>45826.649791666663</v>
      </c>
      <c r="D1327">
        <f t="shared" si="40"/>
        <v>2025</v>
      </c>
      <c r="E1327">
        <f t="shared" si="41"/>
        <v>6</v>
      </c>
      <c r="F1327" s="9" t="s">
        <v>2619</v>
      </c>
      <c r="G1327" s="9" t="s">
        <v>11</v>
      </c>
      <c r="H1327" s="9" t="s">
        <v>12</v>
      </c>
    </row>
    <row r="1328" spans="1:8" x14ac:dyDescent="0.25">
      <c r="A1328" t="s">
        <v>2620</v>
      </c>
      <c r="B1328" s="14" cm="1">
        <f t="array" ref="B1328">_xll.GetLatestPrice(F1328,,G1328)</f>
        <v>593</v>
      </c>
      <c r="C1328" s="1" cm="1">
        <f t="array" ref="C1328">_xll.GetLatestPrice(F1328,"Actual","AssessmentDate")</f>
        <v>45826.649791666663</v>
      </c>
      <c r="D1328">
        <f t="shared" si="40"/>
        <v>2025</v>
      </c>
      <c r="E1328">
        <f t="shared" si="41"/>
        <v>6</v>
      </c>
      <c r="F1328" s="9" t="s">
        <v>2621</v>
      </c>
      <c r="G1328" s="9" t="s">
        <v>11</v>
      </c>
      <c r="H1328" s="9" t="s">
        <v>12</v>
      </c>
    </row>
    <row r="1329" spans="1:8" x14ac:dyDescent="0.25">
      <c r="A1329" t="s">
        <v>2622</v>
      </c>
      <c r="B1329" s="14" cm="1">
        <f t="array" ref="B1329">_xll.GetLatestPrice(F1329,,G1329)</f>
        <v>317</v>
      </c>
      <c r="C1329" s="1" cm="1">
        <f t="array" ref="C1329">_xll.GetLatestPrice(F1329,"Actual","AssessmentDate")</f>
        <v>45826.649791666663</v>
      </c>
      <c r="D1329">
        <f t="shared" si="40"/>
        <v>2025</v>
      </c>
      <c r="E1329">
        <f t="shared" si="41"/>
        <v>6</v>
      </c>
      <c r="F1329" s="9" t="s">
        <v>2623</v>
      </c>
      <c r="G1329" s="9" t="s">
        <v>11</v>
      </c>
      <c r="H1329" s="9" t="s">
        <v>12</v>
      </c>
    </row>
    <row r="1330" spans="1:8" x14ac:dyDescent="0.25">
      <c r="A1330" t="s">
        <v>2624</v>
      </c>
      <c r="B1330" s="14" cm="1">
        <f t="array" ref="B1330">_xll.GetLatestPrice(F1330,,G1330)</f>
        <v>571</v>
      </c>
      <c r="C1330" s="1" cm="1">
        <f t="array" ref="C1330">_xll.GetLatestPrice(F1330,"Actual","AssessmentDate")</f>
        <v>45826.649791666663</v>
      </c>
      <c r="D1330">
        <f t="shared" si="40"/>
        <v>2025</v>
      </c>
      <c r="E1330">
        <f t="shared" si="41"/>
        <v>6</v>
      </c>
      <c r="F1330" s="9" t="s">
        <v>2625</v>
      </c>
      <c r="G1330" s="9" t="s">
        <v>11</v>
      </c>
      <c r="H1330" s="9" t="s">
        <v>12</v>
      </c>
    </row>
    <row r="1331" spans="1:8" x14ac:dyDescent="0.25">
      <c r="A1331" t="s">
        <v>2626</v>
      </c>
      <c r="B1331" s="14" cm="1">
        <f t="array" ref="B1331">_xll.GetLatestPrice(F1331,,G1331)</f>
        <v>405</v>
      </c>
      <c r="C1331" s="1" cm="1">
        <f t="array" ref="C1331">_xll.GetLatestPrice(F1331,"Actual","AssessmentDate")</f>
        <v>45826.649791666663</v>
      </c>
      <c r="D1331">
        <f t="shared" si="40"/>
        <v>2025</v>
      </c>
      <c r="E1331">
        <f t="shared" si="41"/>
        <v>6</v>
      </c>
      <c r="F1331" s="9" t="s">
        <v>2627</v>
      </c>
      <c r="G1331" s="9" t="s">
        <v>11</v>
      </c>
      <c r="H1331" s="9" t="s">
        <v>12</v>
      </c>
    </row>
    <row r="1332" spans="1:8" x14ac:dyDescent="0.25">
      <c r="A1332" t="s">
        <v>2628</v>
      </c>
      <c r="B1332" s="14" cm="1">
        <f t="array" ref="B1332">_xll.GetLatestPrice(F1332,,G1332)</f>
        <v>483</v>
      </c>
      <c r="C1332" s="1" cm="1">
        <f t="array" ref="C1332">_xll.GetLatestPrice(F1332,"Actual","AssessmentDate")</f>
        <v>45826.649791666663</v>
      </c>
      <c r="D1332">
        <f t="shared" si="40"/>
        <v>2025</v>
      </c>
      <c r="E1332">
        <f t="shared" si="41"/>
        <v>6</v>
      </c>
      <c r="F1332" s="9" t="s">
        <v>2629</v>
      </c>
      <c r="G1332" s="9" t="s">
        <v>11</v>
      </c>
      <c r="H1332" s="9" t="s">
        <v>12</v>
      </c>
    </row>
    <row r="1333" spans="1:8" x14ac:dyDescent="0.25">
      <c r="A1333" t="s">
        <v>2630</v>
      </c>
      <c r="B1333" s="14" cm="1">
        <f t="array" ref="B1333">_xll.GetLatestPrice(F1333,,G1333)</f>
        <v>335</v>
      </c>
      <c r="C1333" s="1" cm="1">
        <f t="array" ref="C1333">_xll.GetLatestPrice(F1333,"Actual","AssessmentDate")</f>
        <v>45826.649791666663</v>
      </c>
      <c r="D1333">
        <f t="shared" si="40"/>
        <v>2025</v>
      </c>
      <c r="E1333">
        <f t="shared" si="41"/>
        <v>6</v>
      </c>
      <c r="F1333" s="9" t="s">
        <v>2631</v>
      </c>
      <c r="G1333" s="9" t="s">
        <v>11</v>
      </c>
      <c r="H1333" s="9" t="s">
        <v>12</v>
      </c>
    </row>
    <row r="1334" spans="1:8" x14ac:dyDescent="0.25">
      <c r="A1334" t="s">
        <v>2632</v>
      </c>
      <c r="B1334" s="14" cm="1">
        <f t="array" ref="B1334">_xll.GetLatestPrice(F1334,,G1334)</f>
        <v>390</v>
      </c>
      <c r="C1334" s="1" cm="1">
        <f t="array" ref="C1334">_xll.GetLatestPrice(F1334,"Actual","AssessmentDate")</f>
        <v>45826.649791666663</v>
      </c>
      <c r="D1334">
        <f t="shared" si="40"/>
        <v>2025</v>
      </c>
      <c r="E1334">
        <f t="shared" si="41"/>
        <v>6</v>
      </c>
      <c r="F1334" s="9" t="s">
        <v>2633</v>
      </c>
      <c r="G1334" s="9" t="s">
        <v>11</v>
      </c>
      <c r="H1334" s="9" t="s">
        <v>12</v>
      </c>
    </row>
    <row r="1335" spans="1:8" x14ac:dyDescent="0.25">
      <c r="A1335" t="s">
        <v>2634</v>
      </c>
      <c r="B1335" s="14" cm="1">
        <f t="array" ref="B1335">_xll.GetLatestPrice(F1335,,G1335)</f>
        <v>355</v>
      </c>
      <c r="C1335" s="1" cm="1">
        <f t="array" ref="C1335">_xll.GetLatestPrice(F1335,"Actual","AssessmentDate")</f>
        <v>45826.649791666663</v>
      </c>
      <c r="D1335">
        <f t="shared" si="40"/>
        <v>2025</v>
      </c>
      <c r="E1335">
        <f t="shared" si="41"/>
        <v>6</v>
      </c>
      <c r="F1335" s="9" t="s">
        <v>2635</v>
      </c>
      <c r="G1335" s="9" t="s">
        <v>11</v>
      </c>
      <c r="H1335" s="9" t="s">
        <v>12</v>
      </c>
    </row>
    <row r="1336" spans="1:8" x14ac:dyDescent="0.25">
      <c r="A1336" t="s">
        <v>2636</v>
      </c>
      <c r="B1336" s="14" cm="1">
        <f t="array" ref="B1336">_xll.GetLatestPrice(F1336,,G1336)</f>
        <v>393</v>
      </c>
      <c r="C1336" s="1" cm="1">
        <f t="array" ref="C1336">_xll.GetLatestPrice(F1336,"Actual","AssessmentDate")</f>
        <v>45826.649791666663</v>
      </c>
      <c r="D1336">
        <f t="shared" si="40"/>
        <v>2025</v>
      </c>
      <c r="E1336">
        <f t="shared" si="41"/>
        <v>6</v>
      </c>
      <c r="F1336" s="9" t="s">
        <v>2637</v>
      </c>
      <c r="G1336" s="9" t="s">
        <v>11</v>
      </c>
      <c r="H1336" s="9" t="s">
        <v>12</v>
      </c>
    </row>
    <row r="1337" spans="1:8" x14ac:dyDescent="0.25">
      <c r="A1337" t="s">
        <v>2638</v>
      </c>
      <c r="B1337" s="14" cm="1">
        <f t="array" ref="B1337">_xll.GetLatestPrice(F1337,,G1337)</f>
        <v>453</v>
      </c>
      <c r="C1337" s="1" cm="1">
        <f t="array" ref="C1337">_xll.GetLatestPrice(F1337,"Actual","AssessmentDate")</f>
        <v>45826.649791666663</v>
      </c>
      <c r="D1337">
        <f t="shared" si="40"/>
        <v>2025</v>
      </c>
      <c r="E1337">
        <f t="shared" si="41"/>
        <v>6</v>
      </c>
      <c r="F1337" s="9" t="s">
        <v>2639</v>
      </c>
      <c r="G1337" s="9" t="s">
        <v>11</v>
      </c>
      <c r="H1337" s="9" t="s">
        <v>12</v>
      </c>
    </row>
    <row r="1338" spans="1:8" x14ac:dyDescent="0.25">
      <c r="A1338" t="s">
        <v>2640</v>
      </c>
      <c r="B1338" s="14" cm="1">
        <f t="array" ref="B1338">_xll.GetLatestPrice(F1338,,G1338)</f>
        <v>447</v>
      </c>
      <c r="C1338" s="1" cm="1">
        <f t="array" ref="C1338">_xll.GetLatestPrice(F1338,"Actual","AssessmentDate")</f>
        <v>45826.648125</v>
      </c>
      <c r="D1338">
        <f t="shared" si="40"/>
        <v>2025</v>
      </c>
      <c r="E1338">
        <f t="shared" si="41"/>
        <v>6</v>
      </c>
      <c r="F1338" s="9" t="s">
        <v>2641</v>
      </c>
      <c r="G1338" s="9" t="s">
        <v>11</v>
      </c>
      <c r="H1338" s="9" t="s">
        <v>12</v>
      </c>
    </row>
    <row r="1339" spans="1:8" x14ac:dyDescent="0.25">
      <c r="A1339" t="s">
        <v>2642</v>
      </c>
      <c r="B1339" s="14" cm="1">
        <f t="array" ref="B1339">_xll.GetLatestPrice(F1339,,G1339)</f>
        <v>470</v>
      </c>
      <c r="C1339" s="1" cm="1">
        <f t="array" ref="C1339">_xll.GetLatestPrice(F1339,"Actual","AssessmentDate")</f>
        <v>45826.648125</v>
      </c>
      <c r="D1339">
        <f t="shared" si="40"/>
        <v>2025</v>
      </c>
      <c r="E1339">
        <f t="shared" si="41"/>
        <v>6</v>
      </c>
      <c r="F1339" s="9" t="s">
        <v>2643</v>
      </c>
      <c r="G1339" s="9" t="s">
        <v>11</v>
      </c>
      <c r="H1339" s="9" t="s">
        <v>12</v>
      </c>
    </row>
    <row r="1340" spans="1:8" x14ac:dyDescent="0.25">
      <c r="A1340" t="s">
        <v>2644</v>
      </c>
      <c r="B1340" s="14" cm="1">
        <f t="array" ref="B1340">_xll.GetLatestPrice(F1340,,G1340)</f>
        <v>465</v>
      </c>
      <c r="C1340" s="1" cm="1">
        <f t="array" ref="C1340">_xll.GetLatestPrice(F1340,"Actual","AssessmentDate")</f>
        <v>45826.645833333336</v>
      </c>
      <c r="D1340">
        <f t="shared" si="40"/>
        <v>2025</v>
      </c>
      <c r="E1340">
        <f t="shared" si="41"/>
        <v>6</v>
      </c>
      <c r="F1340" s="9" t="s">
        <v>2645</v>
      </c>
      <c r="G1340" s="9" t="s">
        <v>11</v>
      </c>
      <c r="H1340" s="9" t="s">
        <v>12</v>
      </c>
    </row>
    <row r="1341" spans="1:8" x14ac:dyDescent="0.25">
      <c r="A1341" t="s">
        <v>2646</v>
      </c>
      <c r="B1341" s="14" cm="1">
        <f t="array" ref="B1341">_xll.GetLatestPrice(F1341,,G1341)</f>
        <v>510</v>
      </c>
      <c r="C1341" s="1" cm="1">
        <f t="array" ref="C1341">_xll.GetLatestPrice(F1341,"Actual","AssessmentDate")</f>
        <v>45826.645833333336</v>
      </c>
      <c r="D1341">
        <f t="shared" si="40"/>
        <v>2025</v>
      </c>
      <c r="E1341">
        <f t="shared" si="41"/>
        <v>6</v>
      </c>
      <c r="F1341" s="9" t="s">
        <v>2647</v>
      </c>
      <c r="G1341" s="9" t="s">
        <v>11</v>
      </c>
      <c r="H1341" s="9" t="s">
        <v>12</v>
      </c>
    </row>
    <row r="1342" spans="1:8" x14ac:dyDescent="0.25">
      <c r="A1342" t="s">
        <v>2648</v>
      </c>
      <c r="B1342" s="14" cm="1">
        <f t="array" ref="B1342">_xll.GetLatestPrice(F1342,,G1342)</f>
        <v>525</v>
      </c>
      <c r="C1342" s="1" cm="1">
        <f t="array" ref="C1342">_xll.GetLatestPrice(F1342,"Actual","AssessmentDate")</f>
        <v>45826.645833333336</v>
      </c>
      <c r="D1342">
        <f t="shared" si="40"/>
        <v>2025</v>
      </c>
      <c r="E1342">
        <f t="shared" si="41"/>
        <v>6</v>
      </c>
      <c r="F1342" s="9" t="s">
        <v>2649</v>
      </c>
      <c r="G1342" s="9" t="s">
        <v>11</v>
      </c>
      <c r="H1342" s="9" t="s">
        <v>12</v>
      </c>
    </row>
    <row r="1343" spans="1:8" x14ac:dyDescent="0.25">
      <c r="A1343" t="s">
        <v>2650</v>
      </c>
      <c r="B1343" s="14" cm="1">
        <f t="array" ref="B1343">_xll.GetLatestPrice(F1343,,G1343)</f>
        <v>2150</v>
      </c>
      <c r="C1343" s="1" cm="1">
        <f t="array" ref="C1343">_xll.GetLatestPrice(F1343,"Actual","AssessmentDate")</f>
        <v>45826.645833333336</v>
      </c>
      <c r="D1343">
        <f t="shared" si="40"/>
        <v>2025</v>
      </c>
      <c r="E1343">
        <f t="shared" si="41"/>
        <v>6</v>
      </c>
      <c r="F1343" s="9" t="s">
        <v>2651</v>
      </c>
      <c r="G1343" s="9" t="s">
        <v>11</v>
      </c>
      <c r="H1343" s="9" t="s">
        <v>12</v>
      </c>
    </row>
    <row r="1344" spans="1:8" x14ac:dyDescent="0.25">
      <c r="A1344" t="s">
        <v>2652</v>
      </c>
      <c r="B1344" s="14" cm="1">
        <f t="array" ref="B1344">_xll.GetLatestPrice(F1344,,G1344)</f>
        <v>2635</v>
      </c>
      <c r="C1344" s="1" cm="1">
        <f t="array" ref="C1344">_xll.GetLatestPrice(F1344,"Actual","AssessmentDate")</f>
        <v>45826.645833333336</v>
      </c>
      <c r="D1344">
        <f t="shared" si="40"/>
        <v>2025</v>
      </c>
      <c r="E1344">
        <f t="shared" si="41"/>
        <v>6</v>
      </c>
      <c r="F1344" s="9" t="s">
        <v>2653</v>
      </c>
      <c r="G1344" s="9" t="s">
        <v>11</v>
      </c>
      <c r="H1344" s="9" t="s">
        <v>12</v>
      </c>
    </row>
    <row r="1345" spans="1:8" x14ac:dyDescent="0.25">
      <c r="A1345" t="s">
        <v>2654</v>
      </c>
      <c r="B1345" s="14" cm="1">
        <f t="array" ref="B1345">_xll.GetLatestPrice(F1345,,G1345)</f>
        <v>1815</v>
      </c>
      <c r="C1345" s="1" cm="1">
        <f t="array" ref="C1345">_xll.GetLatestPrice(F1345,"Actual","AssessmentDate")</f>
        <v>45826.645833333336</v>
      </c>
      <c r="D1345">
        <f t="shared" si="40"/>
        <v>2025</v>
      </c>
      <c r="E1345">
        <f t="shared" si="41"/>
        <v>6</v>
      </c>
      <c r="F1345" s="9" t="s">
        <v>2655</v>
      </c>
      <c r="G1345" s="9" t="s">
        <v>11</v>
      </c>
      <c r="H1345" s="9" t="s">
        <v>12</v>
      </c>
    </row>
    <row r="1346" spans="1:8" x14ac:dyDescent="0.25">
      <c r="A1346" t="s">
        <v>2656</v>
      </c>
      <c r="B1346" s="14" cm="1">
        <f t="array" ref="B1346">_xll.GetLatestPrice(F1346,,G1346)</f>
        <v>1620</v>
      </c>
      <c r="C1346" s="1" cm="1">
        <f t="array" ref="C1346">_xll.GetLatestPrice(F1346,"Actual","AssessmentDate")</f>
        <v>45826.645833333336</v>
      </c>
      <c r="D1346">
        <f t="shared" si="40"/>
        <v>2025</v>
      </c>
      <c r="E1346">
        <f t="shared" si="41"/>
        <v>6</v>
      </c>
      <c r="F1346" s="9" t="s">
        <v>2657</v>
      </c>
      <c r="G1346" s="9" t="s">
        <v>11</v>
      </c>
      <c r="H1346" s="9" t="s">
        <v>12</v>
      </c>
    </row>
    <row r="1347" spans="1:8" x14ac:dyDescent="0.25">
      <c r="A1347" t="s">
        <v>2658</v>
      </c>
      <c r="B1347" s="14" cm="1">
        <f t="array" ref="B1347">_xll.GetLatestPrice(F1347,,G1347)</f>
        <v>388</v>
      </c>
      <c r="C1347" s="1" cm="1">
        <f t="array" ref="C1347">_xll.GetLatestPrice(F1347,"Actual","AssessmentDate")</f>
        <v>45826.645833333336</v>
      </c>
      <c r="D1347">
        <f t="shared" ref="D1347:D1394" si="42">YEAR(C1347)</f>
        <v>2025</v>
      </c>
      <c r="E1347">
        <f t="shared" ref="E1347:E1394" si="43">MONTH(C1347)</f>
        <v>6</v>
      </c>
      <c r="F1347" s="9" t="s">
        <v>2659</v>
      </c>
      <c r="G1347" s="9" t="s">
        <v>11</v>
      </c>
      <c r="H1347" s="9" t="s">
        <v>12</v>
      </c>
    </row>
    <row r="1348" spans="1:8" x14ac:dyDescent="0.25">
      <c r="A1348" t="s">
        <v>2660</v>
      </c>
      <c r="B1348" s="14" cm="1">
        <f t="array" ref="B1348">_xll.GetLatestPrice(F1348,,G1348)</f>
        <v>500</v>
      </c>
      <c r="C1348" s="1" cm="1">
        <f t="array" ref="C1348">_xll.GetLatestPrice(F1348,"Actual","AssessmentDate")</f>
        <v>45826.648125</v>
      </c>
      <c r="D1348">
        <f t="shared" si="42"/>
        <v>2025</v>
      </c>
      <c r="E1348">
        <f t="shared" si="43"/>
        <v>6</v>
      </c>
      <c r="F1348" s="9" t="s">
        <v>2661</v>
      </c>
      <c r="G1348" s="9" t="s">
        <v>11</v>
      </c>
      <c r="H1348" s="9" t="s">
        <v>12</v>
      </c>
    </row>
    <row r="1349" spans="1:8" x14ac:dyDescent="0.25">
      <c r="A1349" t="s">
        <v>2662</v>
      </c>
      <c r="B1349" s="14" cm="1">
        <f t="array" ref="B1349">_xll.GetLatestPrice(F1349,,G1349)</f>
        <v>482</v>
      </c>
      <c r="C1349" s="1" cm="1">
        <f t="array" ref="C1349">_xll.GetLatestPrice(F1349,"Actual","AssessmentDate")</f>
        <v>45826.645833333336</v>
      </c>
      <c r="D1349">
        <f t="shared" si="42"/>
        <v>2025</v>
      </c>
      <c r="E1349">
        <f t="shared" si="43"/>
        <v>6</v>
      </c>
      <c r="F1349" s="9" t="s">
        <v>2663</v>
      </c>
      <c r="G1349" s="9" t="s">
        <v>11</v>
      </c>
      <c r="H1349" s="9" t="s">
        <v>12</v>
      </c>
    </row>
    <row r="1350" spans="1:8" x14ac:dyDescent="0.25">
      <c r="A1350" t="s">
        <v>2664</v>
      </c>
      <c r="B1350" s="14" cm="1">
        <f t="array" ref="B1350">_xll.GetLatestPrice(F1350,,G1350)</f>
        <v>594</v>
      </c>
      <c r="C1350" s="1" cm="1">
        <f t="array" ref="C1350">_xll.GetLatestPrice(F1350,"Actual","AssessmentDate")</f>
        <v>45826.648125</v>
      </c>
      <c r="D1350">
        <f t="shared" si="42"/>
        <v>2025</v>
      </c>
      <c r="E1350">
        <f t="shared" si="43"/>
        <v>6</v>
      </c>
      <c r="F1350" s="9" t="s">
        <v>2665</v>
      </c>
      <c r="G1350" s="9" t="s">
        <v>11</v>
      </c>
      <c r="H1350" s="9" t="s">
        <v>12</v>
      </c>
    </row>
    <row r="1351" spans="1:8" x14ac:dyDescent="0.25">
      <c r="A1351" t="s">
        <v>2666</v>
      </c>
      <c r="B1351" s="14" cm="1">
        <f t="array" ref="B1351">_xll.GetLatestPrice(F1351,,G1351)</f>
        <v>470</v>
      </c>
      <c r="C1351" s="1" cm="1">
        <f t="array" ref="C1351">_xll.GetLatestPrice(F1351,"Actual","AssessmentDate")</f>
        <v>45826.645833333336</v>
      </c>
      <c r="D1351">
        <f t="shared" si="42"/>
        <v>2025</v>
      </c>
      <c r="E1351">
        <f t="shared" si="43"/>
        <v>6</v>
      </c>
      <c r="F1351" s="9" t="s">
        <v>2667</v>
      </c>
      <c r="G1351" s="9" t="s">
        <v>11</v>
      </c>
      <c r="H1351" s="9" t="s">
        <v>12</v>
      </c>
    </row>
    <row r="1352" spans="1:8" x14ac:dyDescent="0.25">
      <c r="A1352" t="s">
        <v>2668</v>
      </c>
      <c r="B1352" s="14" cm="1">
        <f t="array" ref="B1352">_xll.GetLatestPrice(F1352,,G1352)</f>
        <v>480</v>
      </c>
      <c r="C1352" s="1" cm="1">
        <f t="array" ref="C1352">_xll.GetLatestPrice(F1352,"Actual","AssessmentDate")</f>
        <v>45826.645833333336</v>
      </c>
      <c r="D1352">
        <f t="shared" si="42"/>
        <v>2025</v>
      </c>
      <c r="E1352">
        <f t="shared" si="43"/>
        <v>6</v>
      </c>
      <c r="F1352" s="9" t="s">
        <v>2669</v>
      </c>
      <c r="G1352" s="9" t="s">
        <v>11</v>
      </c>
      <c r="H1352" s="9" t="s">
        <v>12</v>
      </c>
    </row>
    <row r="1353" spans="1:8" x14ac:dyDescent="0.25">
      <c r="A1353" t="s">
        <v>2670</v>
      </c>
      <c r="B1353" s="14" cm="1">
        <f t="array" ref="B1353">_xll.GetLatestPrice(F1353,,G1353)</f>
        <v>355</v>
      </c>
      <c r="C1353" s="1" cm="1">
        <f t="array" ref="C1353">_xll.GetLatestPrice(F1353,"Actual","AssessmentDate")</f>
        <v>45826.645833333336</v>
      </c>
      <c r="D1353">
        <f t="shared" si="42"/>
        <v>2025</v>
      </c>
      <c r="E1353">
        <f t="shared" si="43"/>
        <v>6</v>
      </c>
      <c r="F1353" s="9" t="s">
        <v>2671</v>
      </c>
      <c r="G1353" s="9" t="s">
        <v>11</v>
      </c>
      <c r="H1353" s="9" t="s">
        <v>12</v>
      </c>
    </row>
    <row r="1354" spans="1:8" x14ac:dyDescent="0.25">
      <c r="A1354" t="s">
        <v>2672</v>
      </c>
      <c r="B1354" s="14" cm="1">
        <f t="array" ref="B1354">_xll.GetLatestPrice(F1354,,G1354)</f>
        <v>445</v>
      </c>
      <c r="C1354" s="1" cm="1">
        <f t="array" ref="C1354">_xll.GetLatestPrice(F1354,"Actual","AssessmentDate")</f>
        <v>45826.645833333336</v>
      </c>
      <c r="D1354">
        <f t="shared" si="42"/>
        <v>2025</v>
      </c>
      <c r="E1354">
        <f t="shared" si="43"/>
        <v>6</v>
      </c>
      <c r="F1354" s="9" t="s">
        <v>2673</v>
      </c>
      <c r="G1354" s="9" t="s">
        <v>11</v>
      </c>
      <c r="H1354" s="9" t="s">
        <v>12</v>
      </c>
    </row>
    <row r="1355" spans="1:8" x14ac:dyDescent="0.25">
      <c r="A1355" t="s">
        <v>2674</v>
      </c>
      <c r="B1355" s="14" cm="1">
        <f t="array" ref="B1355">_xll.GetLatestPrice(F1355,,G1355)</f>
        <v>470</v>
      </c>
      <c r="C1355" s="1" cm="1">
        <f t="array" ref="C1355">_xll.GetLatestPrice(F1355,"Actual","AssessmentDate")</f>
        <v>45826.645833333336</v>
      </c>
      <c r="D1355">
        <f t="shared" si="42"/>
        <v>2025</v>
      </c>
      <c r="E1355">
        <f t="shared" si="43"/>
        <v>6</v>
      </c>
      <c r="F1355" s="9" t="s">
        <v>2675</v>
      </c>
      <c r="G1355" s="9" t="s">
        <v>11</v>
      </c>
      <c r="H1355" s="9" t="s">
        <v>12</v>
      </c>
    </row>
    <row r="1356" spans="1:8" x14ac:dyDescent="0.25">
      <c r="A1356" t="s">
        <v>2676</v>
      </c>
      <c r="B1356" s="14" cm="1">
        <f t="array" ref="B1356">_xll.GetLatestPrice(F1356,,G1356)</f>
        <v>495</v>
      </c>
      <c r="C1356" s="1" cm="1">
        <f t="array" ref="C1356">_xll.GetLatestPrice(F1356,"Actual","AssessmentDate")</f>
        <v>45826.645833333336</v>
      </c>
      <c r="D1356">
        <f t="shared" si="42"/>
        <v>2025</v>
      </c>
      <c r="E1356">
        <f t="shared" si="43"/>
        <v>6</v>
      </c>
      <c r="F1356" s="9" t="s">
        <v>2677</v>
      </c>
      <c r="G1356" s="9" t="s">
        <v>11</v>
      </c>
      <c r="H1356" s="9" t="s">
        <v>12</v>
      </c>
    </row>
    <row r="1357" spans="1:8" x14ac:dyDescent="0.25">
      <c r="A1357" t="s">
        <v>2678</v>
      </c>
      <c r="B1357" s="14" cm="1">
        <f t="array" ref="B1357">_xll.GetLatestPrice(F1357,,G1357)</f>
        <v>545</v>
      </c>
      <c r="C1357" s="1" cm="1">
        <f t="array" ref="C1357">_xll.GetLatestPrice(F1357,"Actual","AssessmentDate")</f>
        <v>45826.645833333336</v>
      </c>
      <c r="D1357">
        <f t="shared" si="42"/>
        <v>2025</v>
      </c>
      <c r="E1357">
        <f t="shared" si="43"/>
        <v>6</v>
      </c>
      <c r="F1357" s="9" t="s">
        <v>2679</v>
      </c>
      <c r="G1357" s="9" t="s">
        <v>11</v>
      </c>
      <c r="H1357" s="9" t="s">
        <v>12</v>
      </c>
    </row>
    <row r="1358" spans="1:8" x14ac:dyDescent="0.25">
      <c r="A1358" t="s">
        <v>2680</v>
      </c>
      <c r="B1358" s="14" cm="1">
        <f t="array" ref="B1358">_xll.GetLatestPrice(F1358,,G1358)</f>
        <v>505</v>
      </c>
      <c r="C1358" s="1" cm="1">
        <f t="array" ref="C1358">_xll.GetLatestPrice(F1358,"Actual","AssessmentDate")</f>
        <v>45826.645833333336</v>
      </c>
      <c r="D1358">
        <f t="shared" si="42"/>
        <v>2025</v>
      </c>
      <c r="E1358">
        <f t="shared" si="43"/>
        <v>6</v>
      </c>
      <c r="F1358" s="9" t="s">
        <v>2681</v>
      </c>
      <c r="G1358" s="9" t="s">
        <v>11</v>
      </c>
      <c r="H1358" s="9" t="s">
        <v>12</v>
      </c>
    </row>
    <row r="1359" spans="1:8" x14ac:dyDescent="0.25">
      <c r="A1359" t="s">
        <v>2682</v>
      </c>
      <c r="B1359" s="14" cm="1">
        <f t="array" ref="B1359">_xll.GetLatestPrice(F1359,,G1359)</f>
        <v>505</v>
      </c>
      <c r="C1359" s="1" cm="1">
        <f t="array" ref="C1359">_xll.GetLatestPrice(F1359,"Actual","AssessmentDate")</f>
        <v>45826.645833333336</v>
      </c>
      <c r="D1359">
        <f t="shared" si="42"/>
        <v>2025</v>
      </c>
      <c r="E1359">
        <f t="shared" si="43"/>
        <v>6</v>
      </c>
      <c r="F1359" s="9" t="s">
        <v>2683</v>
      </c>
      <c r="G1359" s="9" t="s">
        <v>11</v>
      </c>
      <c r="H1359" s="9" t="s">
        <v>12</v>
      </c>
    </row>
    <row r="1360" spans="1:8" x14ac:dyDescent="0.25">
      <c r="A1360" t="s">
        <v>2684</v>
      </c>
      <c r="B1360" s="14" cm="1">
        <f t="array" ref="B1360">_xll.GetLatestPrice(F1360,,G1360)</f>
        <v>605</v>
      </c>
      <c r="C1360" s="1" cm="1">
        <f t="array" ref="C1360">_xll.GetLatestPrice(F1360,"Actual","AssessmentDate")</f>
        <v>45826.649791666663</v>
      </c>
      <c r="D1360">
        <f t="shared" si="42"/>
        <v>2025</v>
      </c>
      <c r="E1360">
        <f t="shared" si="43"/>
        <v>6</v>
      </c>
      <c r="F1360" s="9" t="s">
        <v>2685</v>
      </c>
      <c r="G1360" s="9" t="s">
        <v>11</v>
      </c>
      <c r="H1360" s="9" t="s">
        <v>12</v>
      </c>
    </row>
    <row r="1361" spans="1:8" x14ac:dyDescent="0.25">
      <c r="A1361" t="s">
        <v>2686</v>
      </c>
      <c r="B1361" s="14" cm="1">
        <f t="array" ref="B1361">_xll.GetLatestPrice(F1361,,G1361)</f>
        <v>535</v>
      </c>
      <c r="C1361" s="1" cm="1">
        <f t="array" ref="C1361">_xll.GetLatestPrice(F1361,"Actual","AssessmentDate")</f>
        <v>45826.649791666663</v>
      </c>
      <c r="D1361">
        <f t="shared" si="42"/>
        <v>2025</v>
      </c>
      <c r="E1361">
        <f t="shared" si="43"/>
        <v>6</v>
      </c>
      <c r="F1361" s="9" t="s">
        <v>2687</v>
      </c>
      <c r="G1361" s="9" t="s">
        <v>11</v>
      </c>
      <c r="H1361" s="9" t="s">
        <v>12</v>
      </c>
    </row>
    <row r="1362" spans="1:8" x14ac:dyDescent="0.25">
      <c r="A1362" t="s">
        <v>2688</v>
      </c>
      <c r="B1362" s="14" cm="1">
        <f t="array" ref="B1362">_xll.GetLatestPrice(F1362,,G1362)</f>
        <v>535</v>
      </c>
      <c r="C1362" s="1" cm="1">
        <f t="array" ref="C1362">_xll.GetLatestPrice(F1362,"Actual","AssessmentDate")</f>
        <v>45826.645833333336</v>
      </c>
      <c r="D1362">
        <f t="shared" si="42"/>
        <v>2025</v>
      </c>
      <c r="E1362">
        <f t="shared" si="43"/>
        <v>6</v>
      </c>
      <c r="F1362" s="9" t="s">
        <v>2689</v>
      </c>
      <c r="G1362" s="9" t="s">
        <v>11</v>
      </c>
      <c r="H1362" s="9" t="s">
        <v>12</v>
      </c>
    </row>
    <row r="1363" spans="1:8" x14ac:dyDescent="0.25">
      <c r="A1363" t="s">
        <v>2690</v>
      </c>
      <c r="B1363" s="14" cm="1">
        <f t="array" ref="B1363">_xll.GetLatestPrice(F1363,,G1363)</f>
        <v>540</v>
      </c>
      <c r="C1363" s="1" cm="1">
        <f t="array" ref="C1363">_xll.GetLatestPrice(F1363,"Actual","AssessmentDate")</f>
        <v>45826.645833333336</v>
      </c>
      <c r="D1363">
        <f t="shared" si="42"/>
        <v>2025</v>
      </c>
      <c r="E1363">
        <f t="shared" si="43"/>
        <v>6</v>
      </c>
      <c r="F1363" s="9" t="s">
        <v>2691</v>
      </c>
      <c r="G1363" s="9" t="s">
        <v>11</v>
      </c>
      <c r="H1363" s="9" t="s">
        <v>12</v>
      </c>
    </row>
    <row r="1364" spans="1:8" x14ac:dyDescent="0.25">
      <c r="A1364" t="s">
        <v>2692</v>
      </c>
      <c r="B1364" s="14" cm="1">
        <f t="array" ref="B1364">_xll.GetLatestPrice(F1364,,G1364)</f>
        <v>580</v>
      </c>
      <c r="C1364" s="1" cm="1">
        <f t="array" ref="C1364">_xll.GetLatestPrice(F1364,"Actual","AssessmentDate")</f>
        <v>45826.645833333336</v>
      </c>
      <c r="D1364">
        <f t="shared" si="42"/>
        <v>2025</v>
      </c>
      <c r="E1364">
        <f t="shared" si="43"/>
        <v>6</v>
      </c>
      <c r="F1364" s="9" t="s">
        <v>2693</v>
      </c>
      <c r="G1364" s="9" t="s">
        <v>11</v>
      </c>
      <c r="H1364" s="9" t="s">
        <v>12</v>
      </c>
    </row>
    <row r="1365" spans="1:8" x14ac:dyDescent="0.25">
      <c r="A1365" t="s">
        <v>2694</v>
      </c>
      <c r="B1365" s="14" cm="1">
        <f t="array" ref="B1365">_xll.GetLatestPrice(F1365,,G1365)</f>
        <v>580</v>
      </c>
      <c r="C1365" s="1" cm="1">
        <f t="array" ref="C1365">_xll.GetLatestPrice(F1365,"Actual","AssessmentDate")</f>
        <v>45826.645833333336</v>
      </c>
      <c r="D1365">
        <f t="shared" si="42"/>
        <v>2025</v>
      </c>
      <c r="E1365">
        <f t="shared" si="43"/>
        <v>6</v>
      </c>
      <c r="F1365" s="9" t="s">
        <v>2695</v>
      </c>
      <c r="G1365" s="9" t="s">
        <v>11</v>
      </c>
      <c r="H1365" s="9" t="s">
        <v>12</v>
      </c>
    </row>
    <row r="1366" spans="1:8" x14ac:dyDescent="0.25">
      <c r="A1366" t="s">
        <v>2696</v>
      </c>
      <c r="B1366" s="14" cm="1">
        <f t="array" ref="B1366">_xll.GetLatestPrice(F1366,,G1366)</f>
        <v>595</v>
      </c>
      <c r="C1366" s="1" cm="1">
        <f t="array" ref="C1366">_xll.GetLatestPrice(F1366,"Actual","AssessmentDate")</f>
        <v>45826.645833333336</v>
      </c>
      <c r="D1366">
        <f t="shared" si="42"/>
        <v>2025</v>
      </c>
      <c r="E1366">
        <f t="shared" si="43"/>
        <v>6</v>
      </c>
      <c r="F1366" s="9" t="s">
        <v>2697</v>
      </c>
      <c r="G1366" s="9" t="s">
        <v>11</v>
      </c>
      <c r="H1366" s="9" t="s">
        <v>12</v>
      </c>
    </row>
    <row r="1367" spans="1:8" x14ac:dyDescent="0.25">
      <c r="A1367" t="s">
        <v>2698</v>
      </c>
      <c r="B1367" s="14" cm="1">
        <f t="array" ref="B1367">_xll.GetLatestPrice(F1367,,G1367)</f>
        <v>585</v>
      </c>
      <c r="C1367" s="1" cm="1">
        <f t="array" ref="C1367">_xll.GetLatestPrice(F1367,"Actual","AssessmentDate")</f>
        <v>45826.645833333336</v>
      </c>
      <c r="D1367">
        <f t="shared" si="42"/>
        <v>2025</v>
      </c>
      <c r="E1367">
        <f t="shared" si="43"/>
        <v>6</v>
      </c>
      <c r="F1367" s="9" t="s">
        <v>2699</v>
      </c>
      <c r="G1367" s="9" t="s">
        <v>11</v>
      </c>
      <c r="H1367" s="9" t="s">
        <v>12</v>
      </c>
    </row>
    <row r="1368" spans="1:8" x14ac:dyDescent="0.25">
      <c r="A1368" t="s">
        <v>2700</v>
      </c>
      <c r="B1368" s="14" cm="1">
        <f t="array" ref="B1368">_xll.GetLatestPrice(F1368,,G1368)</f>
        <v>570</v>
      </c>
      <c r="C1368" s="1" cm="1">
        <f t="array" ref="C1368">_xll.GetLatestPrice(F1368,"Actual","AssessmentDate")</f>
        <v>45826.645833333336</v>
      </c>
      <c r="D1368">
        <f t="shared" si="42"/>
        <v>2025</v>
      </c>
      <c r="E1368">
        <f t="shared" si="43"/>
        <v>6</v>
      </c>
      <c r="F1368" s="9" t="s">
        <v>2701</v>
      </c>
      <c r="G1368" s="9" t="s">
        <v>11</v>
      </c>
      <c r="H1368" s="9" t="s">
        <v>12</v>
      </c>
    </row>
    <row r="1369" spans="1:8" x14ac:dyDescent="0.25">
      <c r="A1369" t="s">
        <v>2702</v>
      </c>
      <c r="B1369" s="14" cm="1">
        <f t="array" ref="B1369">_xll.GetLatestPrice(F1369,,G1369)</f>
        <v>640</v>
      </c>
      <c r="C1369" s="1" cm="1">
        <f t="array" ref="C1369">_xll.GetLatestPrice(F1369,"Actual","AssessmentDate")</f>
        <v>45826.645833333336</v>
      </c>
      <c r="D1369">
        <f t="shared" si="42"/>
        <v>2025</v>
      </c>
      <c r="E1369">
        <f t="shared" si="43"/>
        <v>6</v>
      </c>
      <c r="F1369" s="9" t="s">
        <v>2703</v>
      </c>
      <c r="G1369" s="9" t="s">
        <v>11</v>
      </c>
      <c r="H1369" s="9" t="s">
        <v>12</v>
      </c>
    </row>
    <row r="1370" spans="1:8" x14ac:dyDescent="0.25">
      <c r="A1370" t="s">
        <v>2704</v>
      </c>
      <c r="B1370" s="14" cm="1">
        <f t="array" ref="B1370">_xll.GetLatestPrice(F1370,,G1370)</f>
        <v>650</v>
      </c>
      <c r="C1370" s="1" cm="1">
        <f t="array" ref="C1370">_xll.GetLatestPrice(F1370,"Actual","AssessmentDate")</f>
        <v>45826.645833333336</v>
      </c>
      <c r="D1370">
        <f t="shared" si="42"/>
        <v>2025</v>
      </c>
      <c r="E1370">
        <f t="shared" si="43"/>
        <v>6</v>
      </c>
      <c r="F1370" s="9" t="s">
        <v>2705</v>
      </c>
      <c r="G1370" s="9" t="s">
        <v>11</v>
      </c>
      <c r="H1370" s="9" t="s">
        <v>12</v>
      </c>
    </row>
    <row r="1371" spans="1:8" x14ac:dyDescent="0.25">
      <c r="A1371" t="s">
        <v>2706</v>
      </c>
      <c r="B1371" s="14" cm="1">
        <f t="array" ref="B1371">_xll.GetLatestPrice(F1371,,G1371)</f>
        <v>482</v>
      </c>
      <c r="C1371" s="1" cm="1">
        <f t="array" ref="C1371">_xll.GetLatestPrice(F1371,"Actual","AssessmentDate")</f>
        <v>45826.645833333336</v>
      </c>
      <c r="D1371">
        <f t="shared" si="42"/>
        <v>2025</v>
      </c>
      <c r="E1371">
        <f t="shared" si="43"/>
        <v>6</v>
      </c>
      <c r="F1371" s="9" t="s">
        <v>2707</v>
      </c>
      <c r="G1371" s="9" t="s">
        <v>11</v>
      </c>
      <c r="H1371" s="9" t="s">
        <v>12</v>
      </c>
    </row>
    <row r="1372" spans="1:8" x14ac:dyDescent="0.25">
      <c r="A1372" t="s">
        <v>2708</v>
      </c>
      <c r="B1372" s="14" cm="1">
        <f t="array" ref="B1372">_xll.GetLatestPrice(F1372,,G1372)</f>
        <v>445</v>
      </c>
      <c r="C1372" s="1" cm="1">
        <f t="array" ref="C1372">_xll.GetLatestPrice(F1372,"Actual","AssessmentDate")</f>
        <v>45826.645833333336</v>
      </c>
      <c r="D1372">
        <f t="shared" si="42"/>
        <v>2025</v>
      </c>
      <c r="E1372">
        <f t="shared" si="43"/>
        <v>6</v>
      </c>
      <c r="F1372" s="9" t="s">
        <v>2709</v>
      </c>
      <c r="G1372" s="9" t="s">
        <v>11</v>
      </c>
      <c r="H1372" s="9" t="s">
        <v>12</v>
      </c>
    </row>
    <row r="1373" spans="1:8" x14ac:dyDescent="0.25">
      <c r="A1373" t="s">
        <v>2710</v>
      </c>
      <c r="B1373" s="14" cm="1">
        <f t="array" ref="B1373">_xll.GetLatestPrice(F1373,,G1373)</f>
        <v>420</v>
      </c>
      <c r="C1373" s="1" cm="1">
        <f t="array" ref="C1373">_xll.GetLatestPrice(F1373,"Actual","AssessmentDate")</f>
        <v>45826.645833333336</v>
      </c>
      <c r="D1373">
        <f t="shared" si="42"/>
        <v>2025</v>
      </c>
      <c r="E1373">
        <f t="shared" si="43"/>
        <v>6</v>
      </c>
      <c r="F1373" s="9" t="s">
        <v>2711</v>
      </c>
      <c r="G1373" s="9" t="s">
        <v>11</v>
      </c>
      <c r="H1373" s="9" t="s">
        <v>12</v>
      </c>
    </row>
    <row r="1374" spans="1:8" x14ac:dyDescent="0.25">
      <c r="A1374" t="s">
        <v>2712</v>
      </c>
      <c r="B1374" s="14" cm="1">
        <f t="array" ref="B1374">_xll.GetLatestPrice(F1374,,G1374)</f>
        <v>620</v>
      </c>
      <c r="C1374" s="1" cm="1">
        <f t="array" ref="C1374">_xll.GetLatestPrice(F1374,"Actual","AssessmentDate")</f>
        <v>45826.645833333336</v>
      </c>
      <c r="D1374">
        <f t="shared" si="42"/>
        <v>2025</v>
      </c>
      <c r="E1374">
        <f t="shared" si="43"/>
        <v>6</v>
      </c>
      <c r="F1374" s="9" t="s">
        <v>2713</v>
      </c>
      <c r="G1374" s="9" t="s">
        <v>11</v>
      </c>
      <c r="H1374" s="9" t="s">
        <v>12</v>
      </c>
    </row>
    <row r="1375" spans="1:8" x14ac:dyDescent="0.25">
      <c r="A1375" t="s">
        <v>2714</v>
      </c>
      <c r="B1375" s="14" cm="1">
        <f t="array" ref="B1375">_xll.GetLatestPrice(F1375,,G1375)</f>
        <v>15</v>
      </c>
      <c r="C1375" s="1" cm="1">
        <f t="array" ref="C1375">_xll.GetLatestPrice(F1375,"Actual","AssessmentDate")</f>
        <v>45497.685046296298</v>
      </c>
      <c r="D1375">
        <f t="shared" si="42"/>
        <v>2024</v>
      </c>
      <c r="E1375">
        <f t="shared" si="43"/>
        <v>7</v>
      </c>
      <c r="F1375" s="9" t="s">
        <v>2715</v>
      </c>
      <c r="G1375" s="9" t="s">
        <v>11</v>
      </c>
      <c r="H1375" s="9" t="s">
        <v>12</v>
      </c>
    </row>
    <row r="1376" spans="1:8" x14ac:dyDescent="0.25">
      <c r="A1376" t="s">
        <v>2716</v>
      </c>
      <c r="B1376" s="14" cm="1">
        <f t="array" ref="B1376">_xll.GetLatestPrice(F1376,,G1376)</f>
        <v>1425</v>
      </c>
      <c r="C1376" s="1" cm="1">
        <f t="array" ref="C1376">_xll.GetLatestPrice(F1376,"Actual","AssessmentDate")</f>
        <v>45826.645833333336</v>
      </c>
      <c r="D1376">
        <f t="shared" si="42"/>
        <v>2025</v>
      </c>
      <c r="E1376">
        <f t="shared" si="43"/>
        <v>6</v>
      </c>
      <c r="F1376" s="9" t="s">
        <v>2717</v>
      </c>
      <c r="G1376" s="9" t="s">
        <v>11</v>
      </c>
      <c r="H1376" s="9" t="s">
        <v>12</v>
      </c>
    </row>
    <row r="1377" spans="1:8" x14ac:dyDescent="0.25">
      <c r="A1377" t="s">
        <v>2718</v>
      </c>
      <c r="B1377" s="14" cm="1">
        <f t="array" ref="B1377">_xll.GetLatestPrice(F1377,,G1377)</f>
        <v>2225</v>
      </c>
      <c r="C1377" s="1" cm="1">
        <f t="array" ref="C1377">_xll.GetLatestPrice(F1377,"Actual","AssessmentDate")</f>
        <v>45826.645833333336</v>
      </c>
      <c r="D1377">
        <f t="shared" si="42"/>
        <v>2025</v>
      </c>
      <c r="E1377">
        <f t="shared" si="43"/>
        <v>6</v>
      </c>
      <c r="F1377" s="9" t="s">
        <v>2719</v>
      </c>
      <c r="G1377" s="9" t="s">
        <v>11</v>
      </c>
      <c r="H1377" s="9" t="s">
        <v>12</v>
      </c>
    </row>
    <row r="1378" spans="1:8" x14ac:dyDescent="0.25">
      <c r="A1378" t="s">
        <v>2720</v>
      </c>
      <c r="B1378" s="14" cm="1">
        <f t="array" ref="B1378">_xll.GetLatestPrice(F1378,,G1378)</f>
        <v>2355</v>
      </c>
      <c r="C1378" s="1" cm="1">
        <f t="array" ref="C1378">_xll.GetLatestPrice(F1378,"Actual","AssessmentDate")</f>
        <v>45826.645833333336</v>
      </c>
      <c r="D1378">
        <f t="shared" si="42"/>
        <v>2025</v>
      </c>
      <c r="E1378">
        <f t="shared" si="43"/>
        <v>6</v>
      </c>
      <c r="F1378" s="9" t="s">
        <v>2721</v>
      </c>
      <c r="G1378" s="9" t="s">
        <v>11</v>
      </c>
      <c r="H1378" s="9" t="s">
        <v>12</v>
      </c>
    </row>
    <row r="1379" spans="1:8" x14ac:dyDescent="0.25">
      <c r="A1379" t="s">
        <v>2722</v>
      </c>
      <c r="B1379" s="14" cm="1">
        <f t="array" ref="B1379">_xll.GetLatestPrice(F1379,,G1379)</f>
        <v>3960</v>
      </c>
      <c r="C1379" s="1" cm="1">
        <f t="array" ref="C1379">_xll.GetLatestPrice(F1379,"Actual","AssessmentDate")</f>
        <v>45826.645833333336</v>
      </c>
      <c r="D1379">
        <f t="shared" si="42"/>
        <v>2025</v>
      </c>
      <c r="E1379">
        <f t="shared" si="43"/>
        <v>6</v>
      </c>
      <c r="F1379" s="9" t="s">
        <v>2723</v>
      </c>
      <c r="G1379" s="9" t="s">
        <v>11</v>
      </c>
      <c r="H1379" s="9" t="s">
        <v>12</v>
      </c>
    </row>
    <row r="1380" spans="1:8" x14ac:dyDescent="0.25">
      <c r="A1380" t="s">
        <v>2724</v>
      </c>
      <c r="B1380" s="14" cm="1">
        <f t="array" ref="B1380">_xll.GetLatestPrice(F1380,,G1380)</f>
        <v>4640</v>
      </c>
      <c r="C1380" s="1" cm="1">
        <f t="array" ref="C1380">_xll.GetLatestPrice(F1380,"Actual","AssessmentDate")</f>
        <v>45826.645833333336</v>
      </c>
      <c r="D1380">
        <f t="shared" si="42"/>
        <v>2025</v>
      </c>
      <c r="E1380">
        <f t="shared" si="43"/>
        <v>6</v>
      </c>
      <c r="F1380" s="9" t="s">
        <v>2725</v>
      </c>
      <c r="G1380" s="9" t="s">
        <v>11</v>
      </c>
      <c r="H1380" s="9" t="s">
        <v>12</v>
      </c>
    </row>
    <row r="1381" spans="1:8" x14ac:dyDescent="0.25">
      <c r="A1381" t="s">
        <v>2726</v>
      </c>
      <c r="B1381" s="14" cm="1">
        <f t="array" ref="B1381">_xll.GetLatestPrice(F1381,,G1381)</f>
        <v>610</v>
      </c>
      <c r="C1381" s="1" cm="1">
        <f t="array" ref="C1381">_xll.GetLatestPrice(F1381,"Actual","AssessmentDate")</f>
        <v>45826.645833333336</v>
      </c>
      <c r="D1381">
        <f t="shared" si="42"/>
        <v>2025</v>
      </c>
      <c r="E1381">
        <f t="shared" si="43"/>
        <v>6</v>
      </c>
      <c r="F1381" s="9" t="s">
        <v>2727</v>
      </c>
      <c r="G1381" s="9" t="s">
        <v>11</v>
      </c>
      <c r="H1381" s="9" t="s">
        <v>12</v>
      </c>
    </row>
    <row r="1382" spans="1:8" x14ac:dyDescent="0.25">
      <c r="A1382" t="s">
        <v>2728</v>
      </c>
      <c r="B1382" s="14" cm="1">
        <f t="array" ref="B1382">_xll.GetLatestPrice(F1382,,G1382)</f>
        <v>453</v>
      </c>
      <c r="C1382" s="1" cm="1">
        <f t="array" ref="C1382">_xll.GetLatestPrice(F1382,"Actual","AssessmentDate")</f>
        <v>45826.645833333336</v>
      </c>
      <c r="D1382">
        <f t="shared" si="42"/>
        <v>2025</v>
      </c>
      <c r="E1382">
        <f t="shared" si="43"/>
        <v>6</v>
      </c>
      <c r="F1382" s="9" t="s">
        <v>2729</v>
      </c>
      <c r="G1382" s="9" t="s">
        <v>11</v>
      </c>
      <c r="H1382" s="9" t="s">
        <v>12</v>
      </c>
    </row>
    <row r="1383" spans="1:8" x14ac:dyDescent="0.25">
      <c r="A1383" t="s">
        <v>2730</v>
      </c>
      <c r="B1383" s="14" cm="1">
        <f t="array" ref="B1383">_xll.GetLatestPrice(F1383,,G1383)</f>
        <v>569</v>
      </c>
      <c r="C1383" s="1" cm="1">
        <f t="array" ref="C1383">_xll.GetLatestPrice(F1383,"Actual","AssessmentDate")</f>
        <v>45826.648125</v>
      </c>
      <c r="D1383">
        <f t="shared" si="42"/>
        <v>2025</v>
      </c>
      <c r="E1383">
        <f t="shared" si="43"/>
        <v>6</v>
      </c>
      <c r="F1383" s="9" t="s">
        <v>2731</v>
      </c>
      <c r="G1383" s="9" t="s">
        <v>11</v>
      </c>
      <c r="H1383" s="9" t="s">
        <v>12</v>
      </c>
    </row>
    <row r="1384" spans="1:8" x14ac:dyDescent="0.25">
      <c r="A1384" t="s">
        <v>2732</v>
      </c>
      <c r="B1384" s="14" cm="1">
        <f t="array" ref="B1384">_xll.GetLatestPrice(F1384,,G1384)</f>
        <v>483</v>
      </c>
      <c r="C1384" s="1" cm="1">
        <f t="array" ref="C1384">_xll.GetLatestPrice(F1384,"Actual","AssessmentDate")</f>
        <v>45826.645833333336</v>
      </c>
      <c r="D1384">
        <f t="shared" si="42"/>
        <v>2025</v>
      </c>
      <c r="E1384">
        <f t="shared" si="43"/>
        <v>6</v>
      </c>
      <c r="F1384" s="9" t="s">
        <v>2733</v>
      </c>
      <c r="G1384" s="9" t="s">
        <v>11</v>
      </c>
      <c r="H1384" s="9" t="s">
        <v>12</v>
      </c>
    </row>
    <row r="1385" spans="1:8" x14ac:dyDescent="0.25">
      <c r="A1385" t="s">
        <v>2734</v>
      </c>
      <c r="B1385" s="14" cm="1">
        <f t="array" ref="B1385">_xll.GetLatestPrice(F1385,,G1385)</f>
        <v>599</v>
      </c>
      <c r="C1385" s="1" cm="1">
        <f t="array" ref="C1385">_xll.GetLatestPrice(F1385,"Actual","AssessmentDate")</f>
        <v>45826.648125</v>
      </c>
      <c r="D1385">
        <f t="shared" si="42"/>
        <v>2025</v>
      </c>
      <c r="E1385">
        <f t="shared" si="43"/>
        <v>6</v>
      </c>
      <c r="F1385" s="9" t="s">
        <v>2735</v>
      </c>
      <c r="G1385" s="9" t="s">
        <v>11</v>
      </c>
      <c r="H1385" s="9" t="s">
        <v>12</v>
      </c>
    </row>
    <row r="1386" spans="1:8" x14ac:dyDescent="0.25">
      <c r="A1386" t="s">
        <v>2736</v>
      </c>
      <c r="B1386" s="14" cm="1">
        <f t="array" ref="B1386">_xll.GetLatestPrice(F1386,,G1386)</f>
        <v>2245</v>
      </c>
      <c r="C1386" s="1" cm="1">
        <f t="array" ref="C1386">_xll.GetLatestPrice(F1386,"Actual","AssessmentDate")</f>
        <v>45826.645833333336</v>
      </c>
      <c r="D1386">
        <f t="shared" si="42"/>
        <v>2025</v>
      </c>
      <c r="E1386">
        <f t="shared" si="43"/>
        <v>6</v>
      </c>
      <c r="F1386" s="9" t="s">
        <v>2737</v>
      </c>
      <c r="G1386" s="9" t="s">
        <v>11</v>
      </c>
      <c r="H1386" s="9" t="s">
        <v>12</v>
      </c>
    </row>
    <row r="1387" spans="1:8" x14ac:dyDescent="0.25">
      <c r="A1387" t="s">
        <v>2738</v>
      </c>
      <c r="B1387" s="14" cm="1">
        <f t="array" ref="B1387">_xll.GetLatestPrice(F1387,,G1387)</f>
        <v>2030</v>
      </c>
      <c r="C1387" s="1" cm="1">
        <f t="array" ref="C1387">_xll.GetLatestPrice(F1387,"Actual","AssessmentDate")</f>
        <v>45826.645833333336</v>
      </c>
      <c r="D1387">
        <f t="shared" si="42"/>
        <v>2025</v>
      </c>
      <c r="E1387">
        <f t="shared" si="43"/>
        <v>6</v>
      </c>
      <c r="F1387" s="9" t="s">
        <v>2739</v>
      </c>
      <c r="G1387" s="9" t="s">
        <v>11</v>
      </c>
      <c r="H1387" s="9" t="s">
        <v>12</v>
      </c>
    </row>
    <row r="1388" spans="1:8" x14ac:dyDescent="0.25">
      <c r="A1388" t="s">
        <v>2740</v>
      </c>
      <c r="B1388" s="14" cm="1">
        <f t="array" ref="B1388">_xll.GetLatestPrice(F1388,,G1388)</f>
        <v>1070</v>
      </c>
      <c r="C1388" s="1" cm="1">
        <f t="array" ref="C1388">_xll.GetLatestPrice(F1388,"Actual","AssessmentDate")</f>
        <v>45826.645833333336</v>
      </c>
      <c r="D1388">
        <f t="shared" si="42"/>
        <v>2025</v>
      </c>
      <c r="E1388">
        <f t="shared" si="43"/>
        <v>6</v>
      </c>
      <c r="F1388" s="9" t="s">
        <v>2741</v>
      </c>
      <c r="G1388" s="9" t="s">
        <v>11</v>
      </c>
      <c r="H1388" s="9" t="s">
        <v>12</v>
      </c>
    </row>
    <row r="1389" spans="1:8" x14ac:dyDescent="0.25">
      <c r="A1389" t="s">
        <v>2742</v>
      </c>
      <c r="B1389" s="14" cm="1">
        <f t="array" ref="B1389">_xll.GetLatestPrice(F1389,,G1389)</f>
        <v>1160</v>
      </c>
      <c r="C1389" s="1" cm="1">
        <f t="array" ref="C1389">_xll.GetLatestPrice(F1389,"Actual","AssessmentDate")</f>
        <v>45826.645833333336</v>
      </c>
      <c r="D1389">
        <f t="shared" si="42"/>
        <v>2025</v>
      </c>
      <c r="E1389">
        <f t="shared" si="43"/>
        <v>6</v>
      </c>
      <c r="F1389" s="9" t="s">
        <v>2743</v>
      </c>
      <c r="G1389" s="9" t="s">
        <v>11</v>
      </c>
      <c r="H1389" s="9" t="s">
        <v>12</v>
      </c>
    </row>
    <row r="1390" spans="1:8" x14ac:dyDescent="0.25">
      <c r="A1390" t="s">
        <v>2744</v>
      </c>
      <c r="B1390" s="14" cm="1">
        <f t="array" ref="B1390">_xll.GetLatestPrice(F1390,,G1390)</f>
        <v>525</v>
      </c>
      <c r="C1390" s="1" cm="1">
        <f t="array" ref="C1390">_xll.GetLatestPrice(F1390,"Actual","AssessmentDate")</f>
        <v>45826.645833333336</v>
      </c>
      <c r="D1390">
        <f t="shared" si="42"/>
        <v>2025</v>
      </c>
      <c r="E1390">
        <f t="shared" si="43"/>
        <v>6</v>
      </c>
      <c r="F1390" s="9" t="s">
        <v>2745</v>
      </c>
      <c r="G1390" s="9" t="s">
        <v>11</v>
      </c>
      <c r="H1390" s="9" t="s">
        <v>12</v>
      </c>
    </row>
    <row r="1391" spans="1:8" x14ac:dyDescent="0.25">
      <c r="A1391" t="s">
        <v>2746</v>
      </c>
      <c r="B1391" s="14" cm="1">
        <f t="array" ref="B1391">_xll.GetLatestPrice(F1391,,G1391)</f>
        <v>515</v>
      </c>
      <c r="C1391" s="1" cm="1">
        <f t="array" ref="C1391">_xll.GetLatestPrice(F1391,"Actual","AssessmentDate")</f>
        <v>45826.645833333336</v>
      </c>
      <c r="D1391">
        <f t="shared" si="42"/>
        <v>2025</v>
      </c>
      <c r="E1391">
        <f t="shared" si="43"/>
        <v>6</v>
      </c>
      <c r="F1391" s="9" t="s">
        <v>2747</v>
      </c>
      <c r="G1391" s="9" t="s">
        <v>11</v>
      </c>
      <c r="H1391" s="9" t="s">
        <v>12</v>
      </c>
    </row>
    <row r="1392" spans="1:8" x14ac:dyDescent="0.25">
      <c r="A1392" t="s">
        <v>2748</v>
      </c>
      <c r="B1392" s="14" cm="1">
        <f t="array" ref="B1392">_xll.GetLatestPrice(F1392,,G1392)</f>
        <v>460</v>
      </c>
      <c r="C1392" s="1" cm="1">
        <f t="array" ref="C1392">_xll.GetLatestPrice(F1392,"Actual","AssessmentDate")</f>
        <v>45826.645833333336</v>
      </c>
      <c r="D1392">
        <f t="shared" si="42"/>
        <v>2025</v>
      </c>
      <c r="E1392">
        <f t="shared" si="43"/>
        <v>6</v>
      </c>
      <c r="F1392" s="9" t="s">
        <v>2749</v>
      </c>
      <c r="G1392" s="9" t="s">
        <v>11</v>
      </c>
      <c r="H1392" s="9" t="s">
        <v>12</v>
      </c>
    </row>
    <row r="1393" spans="1:8" x14ac:dyDescent="0.25">
      <c r="A1393" t="s">
        <v>2750</v>
      </c>
      <c r="B1393" s="14" cm="1">
        <f t="array" ref="B1393">_xll.GetLatestPrice(F1393,,G1393)</f>
        <v>572</v>
      </c>
      <c r="C1393" s="1" cm="1">
        <f t="array" ref="C1393">_xll.GetLatestPrice(F1393,"Actual","AssessmentDate")</f>
        <v>45826.648125</v>
      </c>
      <c r="D1393">
        <f t="shared" si="42"/>
        <v>2025</v>
      </c>
      <c r="E1393">
        <f t="shared" si="43"/>
        <v>6</v>
      </c>
      <c r="F1393" s="9" t="s">
        <v>2751</v>
      </c>
      <c r="G1393" s="9" t="s">
        <v>11</v>
      </c>
      <c r="H1393" s="9" t="s">
        <v>12</v>
      </c>
    </row>
    <row r="1394" spans="1:8" x14ac:dyDescent="0.25">
      <c r="A1394" t="s">
        <v>2752</v>
      </c>
      <c r="B1394" s="14" cm="1">
        <f t="array" ref="B1394">_xll.GetLatestPrice(F1394,,G1394)</f>
        <v>595</v>
      </c>
      <c r="C1394" s="1" cm="1">
        <f t="array" ref="C1394">_xll.GetLatestPrice(F1394,"Actual","AssessmentDate")</f>
        <v>45826.648125</v>
      </c>
      <c r="D1394">
        <f t="shared" si="42"/>
        <v>2025</v>
      </c>
      <c r="E1394">
        <f t="shared" si="43"/>
        <v>6</v>
      </c>
      <c r="F1394" s="9" t="s">
        <v>2753</v>
      </c>
      <c r="G1394" s="9" t="s">
        <v>11</v>
      </c>
      <c r="H1394" s="9" t="s">
        <v>12</v>
      </c>
    </row>
    <row r="1395" spans="1:8" x14ac:dyDescent="0.25">
      <c r="A1395" t="s">
        <v>2754</v>
      </c>
      <c r="B1395" s="14" cm="1">
        <f t="array" ref="B1395">_xll.GetLatestPrice(F1395,,G1395)</f>
        <v>570</v>
      </c>
      <c r="C1395" s="1" cm="1">
        <f t="array" ref="C1395">_xll.GetLatestPrice(F1395,"Actual","AssessmentDate")</f>
        <v>45826.645833333336</v>
      </c>
      <c r="D1395">
        <f t="shared" ref="D1395:D1397" si="44">YEAR(C1395)</f>
        <v>2025</v>
      </c>
      <c r="E1395">
        <f t="shared" ref="E1395:E1397" si="45">MONTH(C1395)</f>
        <v>6</v>
      </c>
      <c r="F1395" s="9" t="s">
        <v>2755</v>
      </c>
      <c r="G1395" s="9" t="s">
        <v>11</v>
      </c>
      <c r="H1395" s="9" t="s">
        <v>2756</v>
      </c>
    </row>
    <row r="1396" spans="1:8" x14ac:dyDescent="0.25">
      <c r="A1396" t="s">
        <v>2757</v>
      </c>
      <c r="B1396" s="14" cm="1">
        <f t="array" ref="B1396">_xll.GetLatestPrice(F1396,,G1396)</f>
        <v>570</v>
      </c>
      <c r="C1396" s="1" cm="1">
        <f t="array" ref="C1396">_xll.GetLatestPrice(F1396,"Actual","AssessmentDate")</f>
        <v>45826.645833333336</v>
      </c>
      <c r="D1396">
        <f t="shared" si="44"/>
        <v>2025</v>
      </c>
      <c r="E1396">
        <f t="shared" si="45"/>
        <v>6</v>
      </c>
      <c r="F1396" s="9" t="s">
        <v>2758</v>
      </c>
      <c r="G1396" s="9" t="s">
        <v>11</v>
      </c>
      <c r="H1396" s="9" t="s">
        <v>2756</v>
      </c>
    </row>
    <row r="1397" spans="1:8" x14ac:dyDescent="0.25">
      <c r="A1397" t="s">
        <v>2759</v>
      </c>
      <c r="B1397" s="14" cm="1">
        <f t="array" ref="B1397">_xll.GetLatestPrice(F1397,,G1397)</f>
        <v>565</v>
      </c>
      <c r="C1397" s="1" cm="1">
        <f t="array" ref="C1397">_xll.GetLatestPrice(F1397,"Actual","AssessmentDate")</f>
        <v>45826.645833333336</v>
      </c>
      <c r="D1397">
        <f t="shared" si="44"/>
        <v>2025</v>
      </c>
      <c r="E1397">
        <f t="shared" si="45"/>
        <v>6</v>
      </c>
      <c r="F1397" s="9" t="s">
        <v>2760</v>
      </c>
      <c r="G1397" s="9" t="s">
        <v>11</v>
      </c>
      <c r="H1397" s="9" t="s">
        <v>2756</v>
      </c>
    </row>
    <row r="1398" spans="1:8" x14ac:dyDescent="0.25">
      <c r="A1398" s="16" t="s">
        <v>2795</v>
      </c>
      <c r="B1398" s="18" cm="1">
        <f t="array" ref="B1398">_xll.GetLatestPrice(F1398,,G1398)</f>
        <v>665</v>
      </c>
      <c r="C1398" s="17" cm="1">
        <f t="array" ref="C1398">_xll.GetLatestPrice(F1398,"Actual","AssessmentDate")</f>
        <v>45848.613171296296</v>
      </c>
      <c r="D1398" s="16">
        <f t="shared" ref="D1398:D1399" si="46">YEAR(C1398)</f>
        <v>2025</v>
      </c>
      <c r="E1398" s="16">
        <f t="shared" ref="E1398:E1399" si="47">MONTH(C1398)</f>
        <v>7</v>
      </c>
      <c r="F1398" s="9" t="s">
        <v>2797</v>
      </c>
      <c r="G1398" s="9" t="s">
        <v>11</v>
      </c>
      <c r="H1398" s="9" t="s">
        <v>2756</v>
      </c>
    </row>
    <row r="1399" spans="1:8" x14ac:dyDescent="0.25">
      <c r="A1399" s="16" t="s">
        <v>2796</v>
      </c>
      <c r="B1399" s="14" t="str" cm="1">
        <f t="array" ref="B1399">_xll.GetLatestPrice(F1399,,G1399)</f>
        <v>#N/A N/A</v>
      </c>
      <c r="C1399" s="17" t="str" cm="1">
        <f t="array" ref="C1399">_xll.GetLatestPrice(F1399,"Actual","AssessmentDate")</f>
        <v>#N/A No price available for Actual</v>
      </c>
      <c r="D1399" s="16" t="e">
        <f t="shared" si="46"/>
        <v>#VALUE!</v>
      </c>
      <c r="E1399" s="16" t="e">
        <f t="shared" si="47"/>
        <v>#VALUE!</v>
      </c>
      <c r="F1399" s="9" t="s">
        <v>2808</v>
      </c>
      <c r="G1399" s="9" t="s">
        <v>11</v>
      </c>
      <c r="H1399" s="9" t="s">
        <v>2756</v>
      </c>
    </row>
    <row r="1400" spans="1:8" x14ac:dyDescent="0.25">
      <c r="A1400" s="16" t="s">
        <v>2798</v>
      </c>
      <c r="B1400" s="14" t="str" cm="1">
        <f t="array" ref="B1400">_xll.GetLatestPrice(F1400,,G1400)</f>
        <v>#N/A N/A</v>
      </c>
      <c r="C1400" s="17" t="str" cm="1">
        <f t="array" ref="C1400">_xll.GetLatestPrice(F1400,"Actual","AssessmentDate")</f>
        <v>#N/A No price available for Actual</v>
      </c>
      <c r="D1400" s="16" t="e">
        <f t="shared" ref="D1400:D1409" si="48">YEAR(C1400)</f>
        <v>#VALUE!</v>
      </c>
      <c r="E1400" s="16" t="e">
        <f t="shared" ref="E1400:E1409" si="49">MONTH(C1400)</f>
        <v>#VALUE!</v>
      </c>
      <c r="F1400" s="9" t="s">
        <v>2809</v>
      </c>
      <c r="G1400" s="9" t="s">
        <v>11</v>
      </c>
      <c r="H1400" s="9" t="s">
        <v>2756</v>
      </c>
    </row>
    <row r="1401" spans="1:8" x14ac:dyDescent="0.25">
      <c r="A1401" s="16" t="s">
        <v>2799</v>
      </c>
      <c r="B1401" s="14" t="str" cm="1">
        <f t="array" ref="B1401">_xll.GetLatestPrice(F1401,,G1401)</f>
        <v>#N/A N/A</v>
      </c>
      <c r="C1401" s="17" t="str" cm="1">
        <f t="array" ref="C1401">_xll.GetLatestPrice(F1401,"Actual","AssessmentDate")</f>
        <v>#N/A No price available for Actual</v>
      </c>
      <c r="D1401" s="16" t="e">
        <f t="shared" si="48"/>
        <v>#VALUE!</v>
      </c>
      <c r="E1401" s="16" t="e">
        <f t="shared" si="49"/>
        <v>#VALUE!</v>
      </c>
      <c r="F1401" s="9" t="s">
        <v>2810</v>
      </c>
      <c r="G1401" s="9" t="s">
        <v>11</v>
      </c>
      <c r="H1401" s="9" t="s">
        <v>2756</v>
      </c>
    </row>
    <row r="1402" spans="1:8" x14ac:dyDescent="0.25">
      <c r="A1402" s="16" t="s">
        <v>2800</v>
      </c>
      <c r="B1402" s="14" t="str" cm="1">
        <f t="array" ref="B1402">_xll.GetLatestPrice(F1402,,G1402)</f>
        <v>#N/A N/A</v>
      </c>
      <c r="C1402" s="17" t="str" cm="1">
        <f t="array" ref="C1402">_xll.GetLatestPrice(F1402,"Actual","AssessmentDate")</f>
        <v>#N/A No price available for Actual</v>
      </c>
      <c r="D1402" s="16" t="e">
        <f t="shared" si="48"/>
        <v>#VALUE!</v>
      </c>
      <c r="E1402" s="16" t="e">
        <f t="shared" si="49"/>
        <v>#VALUE!</v>
      </c>
      <c r="F1402" s="9" t="s">
        <v>2811</v>
      </c>
      <c r="G1402" s="9" t="s">
        <v>11</v>
      </c>
      <c r="H1402" s="9" t="s">
        <v>2756</v>
      </c>
    </row>
    <row r="1403" spans="1:8" x14ac:dyDescent="0.25">
      <c r="A1403" s="16" t="s">
        <v>2801</v>
      </c>
      <c r="B1403" s="14" t="str" cm="1">
        <f t="array" ref="B1403">_xll.GetLatestPrice(F1403,,G1403)</f>
        <v>#N/A N/A</v>
      </c>
      <c r="C1403" s="17" t="str" cm="1">
        <f t="array" ref="C1403">_xll.GetLatestPrice(F1403,"Actual","AssessmentDate")</f>
        <v>#N/A No price available for Actual</v>
      </c>
      <c r="D1403" s="16" t="e">
        <f t="shared" si="48"/>
        <v>#VALUE!</v>
      </c>
      <c r="E1403" s="16" t="e">
        <f t="shared" si="49"/>
        <v>#VALUE!</v>
      </c>
      <c r="F1403" s="9" t="s">
        <v>2812</v>
      </c>
      <c r="G1403" s="9" t="s">
        <v>11</v>
      </c>
      <c r="H1403" s="9" t="s">
        <v>2756</v>
      </c>
    </row>
    <row r="1404" spans="1:8" x14ac:dyDescent="0.25">
      <c r="A1404" s="16" t="s">
        <v>2802</v>
      </c>
      <c r="B1404" s="14" t="str" cm="1">
        <f t="array" ref="B1404">_xll.GetLatestPrice(F1404,,G1404)</f>
        <v>#N/A N/A</v>
      </c>
      <c r="C1404" s="17" t="str" cm="1">
        <f t="array" ref="C1404">_xll.GetLatestPrice(F1404,"Actual","AssessmentDate")</f>
        <v>#N/A No price available for Actual</v>
      </c>
      <c r="D1404" s="16" t="e">
        <f t="shared" si="48"/>
        <v>#VALUE!</v>
      </c>
      <c r="E1404" s="16" t="e">
        <f t="shared" si="49"/>
        <v>#VALUE!</v>
      </c>
      <c r="F1404" s="9" t="s">
        <v>2813</v>
      </c>
      <c r="G1404" s="9" t="s">
        <v>11</v>
      </c>
      <c r="H1404" s="9" t="s">
        <v>2756</v>
      </c>
    </row>
    <row r="1405" spans="1:8" x14ac:dyDescent="0.25">
      <c r="A1405" s="16" t="s">
        <v>2803</v>
      </c>
      <c r="B1405" s="14" t="str" cm="1">
        <f t="array" ref="B1405">_xll.GetLatestPrice(F1405,,G1405)</f>
        <v>#N/A N/A</v>
      </c>
      <c r="C1405" s="17" t="str" cm="1">
        <f t="array" ref="C1405">_xll.GetLatestPrice(F1405,"Actual","AssessmentDate")</f>
        <v>#N/A No price available for Actual</v>
      </c>
      <c r="D1405" s="16" t="e">
        <f t="shared" si="48"/>
        <v>#VALUE!</v>
      </c>
      <c r="E1405" s="16" t="e">
        <f t="shared" si="49"/>
        <v>#VALUE!</v>
      </c>
      <c r="F1405" s="9" t="s">
        <v>2814</v>
      </c>
      <c r="G1405" s="9" t="s">
        <v>11</v>
      </c>
      <c r="H1405" s="9" t="s">
        <v>2756</v>
      </c>
    </row>
    <row r="1406" spans="1:8" x14ac:dyDescent="0.25">
      <c r="A1406" s="16" t="s">
        <v>2804</v>
      </c>
      <c r="B1406" s="14" t="str" cm="1">
        <f t="array" ref="B1406">_xll.GetLatestPrice(F1406,,G1406)</f>
        <v>#N/A N/A</v>
      </c>
      <c r="C1406" s="17" t="str" cm="1">
        <f t="array" ref="C1406">_xll.GetLatestPrice(F1406,"Actual","AssessmentDate")</f>
        <v>#N/A No price available for Actual</v>
      </c>
      <c r="D1406" s="16" t="e">
        <f t="shared" si="48"/>
        <v>#VALUE!</v>
      </c>
      <c r="E1406" s="16" t="e">
        <f t="shared" si="49"/>
        <v>#VALUE!</v>
      </c>
      <c r="F1406" s="9" t="s">
        <v>2815</v>
      </c>
      <c r="G1406" s="9" t="s">
        <v>11</v>
      </c>
      <c r="H1406" s="9" t="s">
        <v>2756</v>
      </c>
    </row>
    <row r="1407" spans="1:8" x14ac:dyDescent="0.25">
      <c r="A1407" s="16" t="s">
        <v>2805</v>
      </c>
      <c r="B1407" s="14" t="str" cm="1">
        <f t="array" ref="B1407">_xll.GetLatestPrice(F1407,,G1407)</f>
        <v>#N/A N/A</v>
      </c>
      <c r="C1407" s="17" t="str" cm="1">
        <f t="array" ref="C1407">_xll.GetLatestPrice(F1407,"Actual","AssessmentDate")</f>
        <v>#N/A No price available for Actual</v>
      </c>
      <c r="D1407" s="16" t="e">
        <f t="shared" si="48"/>
        <v>#VALUE!</v>
      </c>
      <c r="E1407" s="16" t="e">
        <f t="shared" si="49"/>
        <v>#VALUE!</v>
      </c>
      <c r="F1407" s="9" t="s">
        <v>2816</v>
      </c>
      <c r="G1407" s="9" t="s">
        <v>11</v>
      </c>
      <c r="H1407" s="9" t="s">
        <v>2756</v>
      </c>
    </row>
    <row r="1408" spans="1:8" x14ac:dyDescent="0.25">
      <c r="A1408" s="16" t="s">
        <v>2806</v>
      </c>
      <c r="B1408" s="14" t="str" cm="1">
        <f t="array" ref="B1408">_xll.GetLatestPrice(F1408,,G1408)</f>
        <v>#N/A N/A</v>
      </c>
      <c r="C1408" s="17" t="str" cm="1">
        <f t="array" ref="C1408">_xll.GetLatestPrice(F1408,"Actual","AssessmentDate")</f>
        <v>#N/A No price available for Actual</v>
      </c>
      <c r="D1408" s="16" t="e">
        <f t="shared" si="48"/>
        <v>#VALUE!</v>
      </c>
      <c r="E1408" s="16" t="e">
        <f t="shared" si="49"/>
        <v>#VALUE!</v>
      </c>
      <c r="F1408" s="9" t="s">
        <v>2817</v>
      </c>
      <c r="G1408" s="9" t="s">
        <v>11</v>
      </c>
      <c r="H1408" s="9" t="s">
        <v>2756</v>
      </c>
    </row>
    <row r="1409" spans="1:8" x14ac:dyDescent="0.25">
      <c r="A1409" s="16" t="s">
        <v>2807</v>
      </c>
      <c r="B1409" s="14" t="str" cm="1">
        <f t="array" ref="B1409">_xll.GetLatestPrice(F1409,,G1409)</f>
        <v>#N/A N/A</v>
      </c>
      <c r="C1409" s="17" t="str" cm="1">
        <f t="array" ref="C1409">_xll.GetLatestPrice(F1409,"Actual","AssessmentDate")</f>
        <v>#N/A No price available for Actual</v>
      </c>
      <c r="D1409" s="16" t="e">
        <f t="shared" si="48"/>
        <v>#VALUE!</v>
      </c>
      <c r="E1409" s="16" t="e">
        <f t="shared" si="49"/>
        <v>#VALUE!</v>
      </c>
      <c r="F1409" s="9" t="s">
        <v>2818</v>
      </c>
      <c r="G1409" s="9" t="s">
        <v>11</v>
      </c>
      <c r="H1409" s="9" t="s">
        <v>2756</v>
      </c>
    </row>
  </sheetData>
  <autoFilter ref="A1:I1409" xr:uid="{E2881339-0A45-43DC-ABC1-E8A4AEDCD9AB}"/>
  <phoneticPr fontId="7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00B0B-AA85-4E30-9C2C-4A9DCFA77816}">
  <dimension ref="B2:J1394"/>
  <sheetViews>
    <sheetView workbookViewId="0">
      <selection activeCell="B4" sqref="B4"/>
    </sheetView>
  </sheetViews>
  <sheetFormatPr defaultRowHeight="15" x14ac:dyDescent="0.25"/>
  <cols>
    <col min="1" max="1" width="22.7109375" customWidth="1"/>
    <col min="2" max="2" width="21.85546875" customWidth="1"/>
    <col min="6" max="6" width="15.5703125" bestFit="1" customWidth="1"/>
    <col min="7" max="7" width="9.28515625" customWidth="1"/>
    <col min="8" max="8" width="15.5703125" hidden="1" customWidth="1"/>
    <col min="9" max="9" width="14.5703125" hidden="1" customWidth="1"/>
    <col min="10" max="10" width="15.5703125" hidden="1" customWidth="1"/>
  </cols>
  <sheetData>
    <row r="2" spans="2:10" x14ac:dyDescent="0.25">
      <c r="H2" s="2" t="s">
        <v>2761</v>
      </c>
      <c r="I2" s="2" t="s">
        <v>2762</v>
      </c>
      <c r="J2" t="s">
        <v>10</v>
      </c>
    </row>
    <row r="3" spans="2:10" x14ac:dyDescent="0.25">
      <c r="B3" s="2" t="s">
        <v>2763</v>
      </c>
      <c r="C3" s="2" t="s">
        <v>2764</v>
      </c>
      <c r="D3" s="2" t="s">
        <v>2765</v>
      </c>
      <c r="E3" s="2"/>
      <c r="F3" s="2"/>
      <c r="H3" s="2" t="s">
        <v>2766</v>
      </c>
      <c r="I3" s="2" t="s">
        <v>2766</v>
      </c>
      <c r="J3" t="s">
        <v>14</v>
      </c>
    </row>
    <row r="4" spans="2:10" x14ac:dyDescent="0.25">
      <c r="B4" s="7">
        <v>45848</v>
      </c>
      <c r="C4" s="3">
        <f>YEAR(_SPECIFIEDvarPubDate)</f>
        <v>2025</v>
      </c>
      <c r="D4" s="4">
        <f>MONTH(_SPECIFIEDvarPubDate)</f>
        <v>7</v>
      </c>
      <c r="H4" s="6" cm="1">
        <f t="array" ref="H4">_xll.GetPrice("FP-LBR-1185","Actual","AssessmentDate",_SPECIFIEDvarPubDate-5)</f>
        <v>45840.654768518521</v>
      </c>
      <c r="I4" s="6" cm="1">
        <f t="array" ref="I4">_xll.GetPrice("FP-LBR-1185","Actual","AssessmentDate",IF(_xll.GetPrice("FP-LBR-1185","Actual","PreliminaryPrice",EDATE(_SPECIFIEDvarPubDate,-12)),_xll.GetPrice("FP-LBR-1185","Actual","AssessmentDate",EDATE(_SPECIFIEDvarPubDate,-12))-1,_xll.GetPrice("FP-LBR-1185","Actual","AssessmentDate",EDATE(_SPECIFIEDvarPubDate,-12))))</f>
        <v>45475.650150462963</v>
      </c>
      <c r="J4" t="s">
        <v>16</v>
      </c>
    </row>
    <row r="5" spans="2:10" x14ac:dyDescent="0.25">
      <c r="J5" t="s">
        <v>18</v>
      </c>
    </row>
    <row r="6" spans="2:10" x14ac:dyDescent="0.25">
      <c r="J6" t="s">
        <v>20</v>
      </c>
    </row>
    <row r="7" spans="2:10" x14ac:dyDescent="0.25">
      <c r="J7" t="s">
        <v>22</v>
      </c>
    </row>
    <row r="8" spans="2:10" x14ac:dyDescent="0.25">
      <c r="J8" t="s">
        <v>24</v>
      </c>
    </row>
    <row r="9" spans="2:10" x14ac:dyDescent="0.25">
      <c r="J9" t="s">
        <v>26</v>
      </c>
    </row>
    <row r="10" spans="2:10" x14ac:dyDescent="0.25">
      <c r="B10" t="s">
        <v>2767</v>
      </c>
      <c r="J10" t="s">
        <v>28</v>
      </c>
    </row>
    <row r="11" spans="2:10" x14ac:dyDescent="0.25">
      <c r="J11" t="s">
        <v>30</v>
      </c>
    </row>
    <row r="12" spans="2:10" x14ac:dyDescent="0.25">
      <c r="J12" t="s">
        <v>32</v>
      </c>
    </row>
    <row r="13" spans="2:10" x14ac:dyDescent="0.25">
      <c r="J13" t="s">
        <v>34</v>
      </c>
    </row>
    <row r="14" spans="2:10" x14ac:dyDescent="0.25">
      <c r="J14" t="s">
        <v>36</v>
      </c>
    </row>
    <row r="15" spans="2:10" x14ac:dyDescent="0.25">
      <c r="J15" t="s">
        <v>38</v>
      </c>
    </row>
    <row r="16" spans="2:10" x14ac:dyDescent="0.25">
      <c r="J16" t="s">
        <v>40</v>
      </c>
    </row>
    <row r="17" spans="10:10" x14ac:dyDescent="0.25">
      <c r="J17" t="s">
        <v>42</v>
      </c>
    </row>
    <row r="18" spans="10:10" x14ac:dyDescent="0.25">
      <c r="J18" t="s">
        <v>44</v>
      </c>
    </row>
    <row r="19" spans="10:10" x14ac:dyDescent="0.25">
      <c r="J19" t="s">
        <v>46</v>
      </c>
    </row>
    <row r="20" spans="10:10" x14ac:dyDescent="0.25">
      <c r="J20" t="s">
        <v>48</v>
      </c>
    </row>
    <row r="21" spans="10:10" x14ac:dyDescent="0.25">
      <c r="J21" t="s">
        <v>50</v>
      </c>
    </row>
    <row r="22" spans="10:10" x14ac:dyDescent="0.25">
      <c r="J22" t="s">
        <v>52</v>
      </c>
    </row>
    <row r="23" spans="10:10" x14ac:dyDescent="0.25">
      <c r="J23" t="s">
        <v>54</v>
      </c>
    </row>
    <row r="24" spans="10:10" x14ac:dyDescent="0.25">
      <c r="J24" t="s">
        <v>56</v>
      </c>
    </row>
    <row r="25" spans="10:10" x14ac:dyDescent="0.25">
      <c r="J25" t="s">
        <v>58</v>
      </c>
    </row>
    <row r="26" spans="10:10" x14ac:dyDescent="0.25">
      <c r="J26" t="s">
        <v>60</v>
      </c>
    </row>
    <row r="27" spans="10:10" x14ac:dyDescent="0.25">
      <c r="J27" t="s">
        <v>62</v>
      </c>
    </row>
    <row r="28" spans="10:10" x14ac:dyDescent="0.25">
      <c r="J28" t="s">
        <v>64</v>
      </c>
    </row>
    <row r="29" spans="10:10" x14ac:dyDescent="0.25">
      <c r="J29" t="s">
        <v>66</v>
      </c>
    </row>
    <row r="30" spans="10:10" x14ac:dyDescent="0.25">
      <c r="J30" t="s">
        <v>68</v>
      </c>
    </row>
    <row r="31" spans="10:10" x14ac:dyDescent="0.25">
      <c r="J31" t="s">
        <v>70</v>
      </c>
    </row>
    <row r="32" spans="10:10" x14ac:dyDescent="0.25">
      <c r="J32" t="s">
        <v>72</v>
      </c>
    </row>
    <row r="33" spans="10:10" x14ac:dyDescent="0.25">
      <c r="J33" t="s">
        <v>74</v>
      </c>
    </row>
    <row r="34" spans="10:10" x14ac:dyDescent="0.25">
      <c r="J34" t="s">
        <v>76</v>
      </c>
    </row>
    <row r="35" spans="10:10" x14ac:dyDescent="0.25">
      <c r="J35" t="s">
        <v>78</v>
      </c>
    </row>
    <row r="36" spans="10:10" x14ac:dyDescent="0.25">
      <c r="J36" t="s">
        <v>80</v>
      </c>
    </row>
    <row r="37" spans="10:10" x14ac:dyDescent="0.25">
      <c r="J37" t="s">
        <v>82</v>
      </c>
    </row>
    <row r="38" spans="10:10" x14ac:dyDescent="0.25">
      <c r="J38" t="s">
        <v>84</v>
      </c>
    </row>
    <row r="39" spans="10:10" x14ac:dyDescent="0.25">
      <c r="J39" t="s">
        <v>86</v>
      </c>
    </row>
    <row r="40" spans="10:10" x14ac:dyDescent="0.25">
      <c r="J40" t="s">
        <v>88</v>
      </c>
    </row>
    <row r="41" spans="10:10" x14ac:dyDescent="0.25">
      <c r="J41" t="s">
        <v>90</v>
      </c>
    </row>
    <row r="42" spans="10:10" x14ac:dyDescent="0.25">
      <c r="J42" t="s">
        <v>92</v>
      </c>
    </row>
    <row r="43" spans="10:10" x14ac:dyDescent="0.25">
      <c r="J43" t="s">
        <v>94</v>
      </c>
    </row>
    <row r="44" spans="10:10" x14ac:dyDescent="0.25">
      <c r="J44" t="s">
        <v>96</v>
      </c>
    </row>
    <row r="45" spans="10:10" x14ac:dyDescent="0.25">
      <c r="J45" t="s">
        <v>98</v>
      </c>
    </row>
    <row r="46" spans="10:10" x14ac:dyDescent="0.25">
      <c r="J46" t="s">
        <v>100</v>
      </c>
    </row>
    <row r="47" spans="10:10" x14ac:dyDescent="0.25">
      <c r="J47" t="s">
        <v>102</v>
      </c>
    </row>
    <row r="48" spans="10:10" x14ac:dyDescent="0.25">
      <c r="J48" t="s">
        <v>104</v>
      </c>
    </row>
    <row r="49" spans="10:10" x14ac:dyDescent="0.25">
      <c r="J49" t="s">
        <v>106</v>
      </c>
    </row>
    <row r="50" spans="10:10" x14ac:dyDescent="0.25">
      <c r="J50" t="s">
        <v>108</v>
      </c>
    </row>
    <row r="51" spans="10:10" x14ac:dyDescent="0.25">
      <c r="J51" t="s">
        <v>110</v>
      </c>
    </row>
    <row r="52" spans="10:10" x14ac:dyDescent="0.25">
      <c r="J52" t="s">
        <v>82</v>
      </c>
    </row>
    <row r="53" spans="10:10" x14ac:dyDescent="0.25">
      <c r="J53" t="s">
        <v>114</v>
      </c>
    </row>
    <row r="54" spans="10:10" x14ac:dyDescent="0.25">
      <c r="J54" t="s">
        <v>116</v>
      </c>
    </row>
    <row r="55" spans="10:10" x14ac:dyDescent="0.25">
      <c r="J55" t="s">
        <v>118</v>
      </c>
    </row>
    <row r="56" spans="10:10" x14ac:dyDescent="0.25">
      <c r="J56" t="s">
        <v>120</v>
      </c>
    </row>
    <row r="57" spans="10:10" x14ac:dyDescent="0.25">
      <c r="J57" t="s">
        <v>122</v>
      </c>
    </row>
    <row r="58" spans="10:10" x14ac:dyDescent="0.25">
      <c r="J58" t="s">
        <v>124</v>
      </c>
    </row>
    <row r="59" spans="10:10" x14ac:dyDescent="0.25">
      <c r="J59" t="s">
        <v>126</v>
      </c>
    </row>
    <row r="60" spans="10:10" x14ac:dyDescent="0.25">
      <c r="J60" t="s">
        <v>128</v>
      </c>
    </row>
    <row r="61" spans="10:10" x14ac:dyDescent="0.25">
      <c r="J61" t="s">
        <v>130</v>
      </c>
    </row>
    <row r="62" spans="10:10" x14ac:dyDescent="0.25">
      <c r="J62" t="s">
        <v>132</v>
      </c>
    </row>
    <row r="63" spans="10:10" x14ac:dyDescent="0.25">
      <c r="J63" t="s">
        <v>134</v>
      </c>
    </row>
    <row r="64" spans="10:10" x14ac:dyDescent="0.25">
      <c r="J64" t="s">
        <v>136</v>
      </c>
    </row>
    <row r="65" spans="10:10" x14ac:dyDescent="0.25">
      <c r="J65" t="s">
        <v>138</v>
      </c>
    </row>
    <row r="66" spans="10:10" x14ac:dyDescent="0.25">
      <c r="J66" t="s">
        <v>140</v>
      </c>
    </row>
    <row r="67" spans="10:10" x14ac:dyDescent="0.25">
      <c r="J67" t="s">
        <v>142</v>
      </c>
    </row>
    <row r="68" spans="10:10" x14ac:dyDescent="0.25">
      <c r="J68" t="s">
        <v>144</v>
      </c>
    </row>
    <row r="69" spans="10:10" x14ac:dyDescent="0.25">
      <c r="J69" t="s">
        <v>146</v>
      </c>
    </row>
    <row r="70" spans="10:10" x14ac:dyDescent="0.25">
      <c r="J70" t="s">
        <v>148</v>
      </c>
    </row>
    <row r="71" spans="10:10" x14ac:dyDescent="0.25">
      <c r="J71" t="s">
        <v>150</v>
      </c>
    </row>
    <row r="72" spans="10:10" x14ac:dyDescent="0.25">
      <c r="J72" t="s">
        <v>152</v>
      </c>
    </row>
    <row r="73" spans="10:10" x14ac:dyDescent="0.25">
      <c r="J73" t="s">
        <v>154</v>
      </c>
    </row>
    <row r="74" spans="10:10" x14ac:dyDescent="0.25">
      <c r="J74" t="s">
        <v>156</v>
      </c>
    </row>
    <row r="75" spans="10:10" x14ac:dyDescent="0.25">
      <c r="J75" t="s">
        <v>158</v>
      </c>
    </row>
    <row r="76" spans="10:10" x14ac:dyDescent="0.25">
      <c r="J76" t="s">
        <v>160</v>
      </c>
    </row>
    <row r="77" spans="10:10" x14ac:dyDescent="0.25">
      <c r="J77" t="s">
        <v>162</v>
      </c>
    </row>
    <row r="78" spans="10:10" x14ac:dyDescent="0.25">
      <c r="J78" t="s">
        <v>164</v>
      </c>
    </row>
    <row r="79" spans="10:10" x14ac:dyDescent="0.25">
      <c r="J79" t="s">
        <v>166</v>
      </c>
    </row>
    <row r="80" spans="10:10" x14ac:dyDescent="0.25">
      <c r="J80" t="s">
        <v>168</v>
      </c>
    </row>
    <row r="81" spans="10:10" x14ac:dyDescent="0.25">
      <c r="J81" t="s">
        <v>170</v>
      </c>
    </row>
    <row r="82" spans="10:10" x14ac:dyDescent="0.25">
      <c r="J82" t="s">
        <v>172</v>
      </c>
    </row>
    <row r="83" spans="10:10" x14ac:dyDescent="0.25">
      <c r="J83" t="s">
        <v>174</v>
      </c>
    </row>
    <row r="84" spans="10:10" x14ac:dyDescent="0.25">
      <c r="J84" t="s">
        <v>176</v>
      </c>
    </row>
    <row r="85" spans="10:10" x14ac:dyDescent="0.25">
      <c r="J85" t="s">
        <v>178</v>
      </c>
    </row>
    <row r="86" spans="10:10" x14ac:dyDescent="0.25">
      <c r="J86" t="s">
        <v>180</v>
      </c>
    </row>
    <row r="87" spans="10:10" x14ac:dyDescent="0.25">
      <c r="J87" t="s">
        <v>182</v>
      </c>
    </row>
    <row r="88" spans="10:10" x14ac:dyDescent="0.25">
      <c r="J88" t="s">
        <v>184</v>
      </c>
    </row>
    <row r="89" spans="10:10" x14ac:dyDescent="0.25">
      <c r="J89" t="s">
        <v>186</v>
      </c>
    </row>
    <row r="90" spans="10:10" x14ac:dyDescent="0.25">
      <c r="J90" t="s">
        <v>188</v>
      </c>
    </row>
    <row r="91" spans="10:10" x14ac:dyDescent="0.25">
      <c r="J91" t="s">
        <v>190</v>
      </c>
    </row>
    <row r="92" spans="10:10" x14ac:dyDescent="0.25">
      <c r="J92" t="s">
        <v>192</v>
      </c>
    </row>
    <row r="93" spans="10:10" x14ac:dyDescent="0.25">
      <c r="J93" t="s">
        <v>194</v>
      </c>
    </row>
    <row r="94" spans="10:10" x14ac:dyDescent="0.25">
      <c r="J94" t="s">
        <v>196</v>
      </c>
    </row>
    <row r="95" spans="10:10" x14ac:dyDescent="0.25">
      <c r="J95" t="s">
        <v>198</v>
      </c>
    </row>
    <row r="96" spans="10:10" x14ac:dyDescent="0.25">
      <c r="J96" t="s">
        <v>200</v>
      </c>
    </row>
    <row r="97" spans="10:10" x14ac:dyDescent="0.25">
      <c r="J97" t="s">
        <v>202</v>
      </c>
    </row>
    <row r="98" spans="10:10" x14ac:dyDescent="0.25">
      <c r="J98" t="s">
        <v>204</v>
      </c>
    </row>
    <row r="99" spans="10:10" x14ac:dyDescent="0.25">
      <c r="J99" t="s">
        <v>206</v>
      </c>
    </row>
    <row r="100" spans="10:10" x14ac:dyDescent="0.25">
      <c r="J100" t="s">
        <v>208</v>
      </c>
    </row>
    <row r="101" spans="10:10" x14ac:dyDescent="0.25">
      <c r="J101" t="s">
        <v>210</v>
      </c>
    </row>
    <row r="102" spans="10:10" x14ac:dyDescent="0.25">
      <c r="J102" t="s">
        <v>212</v>
      </c>
    </row>
    <row r="103" spans="10:10" x14ac:dyDescent="0.25">
      <c r="J103" t="s">
        <v>214</v>
      </c>
    </row>
    <row r="104" spans="10:10" x14ac:dyDescent="0.25">
      <c r="J104" t="s">
        <v>216</v>
      </c>
    </row>
    <row r="105" spans="10:10" x14ac:dyDescent="0.25">
      <c r="J105" t="s">
        <v>218</v>
      </c>
    </row>
    <row r="106" spans="10:10" x14ac:dyDescent="0.25">
      <c r="J106" t="s">
        <v>220</v>
      </c>
    </row>
    <row r="107" spans="10:10" x14ac:dyDescent="0.25">
      <c r="J107" t="s">
        <v>222</v>
      </c>
    </row>
    <row r="108" spans="10:10" x14ac:dyDescent="0.25">
      <c r="J108" t="s">
        <v>224</v>
      </c>
    </row>
    <row r="109" spans="10:10" x14ac:dyDescent="0.25">
      <c r="J109" t="s">
        <v>226</v>
      </c>
    </row>
    <row r="110" spans="10:10" x14ac:dyDescent="0.25">
      <c r="J110" t="s">
        <v>228</v>
      </c>
    </row>
    <row r="111" spans="10:10" x14ac:dyDescent="0.25">
      <c r="J111" t="s">
        <v>230</v>
      </c>
    </row>
    <row r="112" spans="10:10" x14ac:dyDescent="0.25">
      <c r="J112" t="s">
        <v>232</v>
      </c>
    </row>
    <row r="113" spans="10:10" x14ac:dyDescent="0.25">
      <c r="J113" t="s">
        <v>234</v>
      </c>
    </row>
    <row r="114" spans="10:10" x14ac:dyDescent="0.25">
      <c r="J114" t="s">
        <v>236</v>
      </c>
    </row>
    <row r="115" spans="10:10" x14ac:dyDescent="0.25">
      <c r="J115" t="s">
        <v>238</v>
      </c>
    </row>
    <row r="116" spans="10:10" x14ac:dyDescent="0.25">
      <c r="J116" t="s">
        <v>240</v>
      </c>
    </row>
    <row r="117" spans="10:10" x14ac:dyDescent="0.25">
      <c r="J117" t="s">
        <v>242</v>
      </c>
    </row>
    <row r="118" spans="10:10" x14ac:dyDescent="0.25">
      <c r="J118" t="s">
        <v>244</v>
      </c>
    </row>
    <row r="119" spans="10:10" x14ac:dyDescent="0.25">
      <c r="J119" t="s">
        <v>246</v>
      </c>
    </row>
    <row r="120" spans="10:10" x14ac:dyDescent="0.25">
      <c r="J120" t="s">
        <v>248</v>
      </c>
    </row>
    <row r="121" spans="10:10" x14ac:dyDescent="0.25">
      <c r="J121" t="s">
        <v>250</v>
      </c>
    </row>
    <row r="122" spans="10:10" x14ac:dyDescent="0.25">
      <c r="J122" t="s">
        <v>252</v>
      </c>
    </row>
    <row r="123" spans="10:10" x14ac:dyDescent="0.25">
      <c r="J123" t="s">
        <v>254</v>
      </c>
    </row>
    <row r="124" spans="10:10" x14ac:dyDescent="0.25">
      <c r="J124" t="s">
        <v>256</v>
      </c>
    </row>
    <row r="125" spans="10:10" x14ac:dyDescent="0.25">
      <c r="J125" t="s">
        <v>258</v>
      </c>
    </row>
    <row r="126" spans="10:10" x14ac:dyDescent="0.25">
      <c r="J126" t="s">
        <v>260</v>
      </c>
    </row>
    <row r="127" spans="10:10" x14ac:dyDescent="0.25">
      <c r="J127" t="s">
        <v>262</v>
      </c>
    </row>
    <row r="128" spans="10:10" x14ac:dyDescent="0.25">
      <c r="J128" t="s">
        <v>264</v>
      </c>
    </row>
    <row r="129" spans="10:10" x14ac:dyDescent="0.25">
      <c r="J129" t="s">
        <v>266</v>
      </c>
    </row>
    <row r="130" spans="10:10" x14ac:dyDescent="0.25">
      <c r="J130" t="s">
        <v>268</v>
      </c>
    </row>
    <row r="131" spans="10:10" x14ac:dyDescent="0.25">
      <c r="J131" t="s">
        <v>270</v>
      </c>
    </row>
    <row r="132" spans="10:10" x14ac:dyDescent="0.25">
      <c r="J132" t="s">
        <v>272</v>
      </c>
    </row>
    <row r="133" spans="10:10" x14ac:dyDescent="0.25">
      <c r="J133" t="s">
        <v>274</v>
      </c>
    </row>
    <row r="134" spans="10:10" x14ac:dyDescent="0.25">
      <c r="J134" t="s">
        <v>276</v>
      </c>
    </row>
    <row r="135" spans="10:10" x14ac:dyDescent="0.25">
      <c r="J135" t="s">
        <v>278</v>
      </c>
    </row>
    <row r="136" spans="10:10" x14ac:dyDescent="0.25">
      <c r="J136" t="s">
        <v>280</v>
      </c>
    </row>
    <row r="137" spans="10:10" x14ac:dyDescent="0.25">
      <c r="J137" t="s">
        <v>282</v>
      </c>
    </row>
    <row r="138" spans="10:10" x14ac:dyDescent="0.25">
      <c r="J138" t="s">
        <v>284</v>
      </c>
    </row>
    <row r="139" spans="10:10" x14ac:dyDescent="0.25">
      <c r="J139" t="s">
        <v>286</v>
      </c>
    </row>
    <row r="140" spans="10:10" x14ac:dyDescent="0.25">
      <c r="J140" t="s">
        <v>288</v>
      </c>
    </row>
    <row r="141" spans="10:10" x14ac:dyDescent="0.25">
      <c r="J141" t="s">
        <v>290</v>
      </c>
    </row>
    <row r="142" spans="10:10" x14ac:dyDescent="0.25">
      <c r="J142" t="s">
        <v>292</v>
      </c>
    </row>
    <row r="143" spans="10:10" x14ac:dyDescent="0.25">
      <c r="J143" t="s">
        <v>294</v>
      </c>
    </row>
    <row r="144" spans="10:10" x14ac:dyDescent="0.25">
      <c r="J144" t="s">
        <v>296</v>
      </c>
    </row>
    <row r="145" spans="10:10" x14ac:dyDescent="0.25">
      <c r="J145" t="s">
        <v>298</v>
      </c>
    </row>
    <row r="146" spans="10:10" x14ac:dyDescent="0.25">
      <c r="J146" t="s">
        <v>300</v>
      </c>
    </row>
    <row r="147" spans="10:10" x14ac:dyDescent="0.25">
      <c r="J147" t="s">
        <v>302</v>
      </c>
    </row>
    <row r="148" spans="10:10" x14ac:dyDescent="0.25">
      <c r="J148" t="s">
        <v>304</v>
      </c>
    </row>
    <row r="149" spans="10:10" x14ac:dyDescent="0.25">
      <c r="J149" t="s">
        <v>306</v>
      </c>
    </row>
    <row r="150" spans="10:10" x14ac:dyDescent="0.25">
      <c r="J150" t="s">
        <v>308</v>
      </c>
    </row>
    <row r="151" spans="10:10" x14ac:dyDescent="0.25">
      <c r="J151" t="s">
        <v>276</v>
      </c>
    </row>
    <row r="152" spans="10:10" x14ac:dyDescent="0.25">
      <c r="J152" t="s">
        <v>311</v>
      </c>
    </row>
    <row r="153" spans="10:10" x14ac:dyDescent="0.25">
      <c r="J153" t="s">
        <v>313</v>
      </c>
    </row>
    <row r="154" spans="10:10" x14ac:dyDescent="0.25">
      <c r="J154" t="s">
        <v>315</v>
      </c>
    </row>
    <row r="155" spans="10:10" x14ac:dyDescent="0.25">
      <c r="J155" t="s">
        <v>317</v>
      </c>
    </row>
    <row r="156" spans="10:10" x14ac:dyDescent="0.25">
      <c r="J156" t="s">
        <v>319</v>
      </c>
    </row>
    <row r="157" spans="10:10" x14ac:dyDescent="0.25">
      <c r="J157" t="s">
        <v>321</v>
      </c>
    </row>
    <row r="158" spans="10:10" x14ac:dyDescent="0.25">
      <c r="J158" t="s">
        <v>323</v>
      </c>
    </row>
    <row r="159" spans="10:10" x14ac:dyDescent="0.25">
      <c r="J159" t="s">
        <v>325</v>
      </c>
    </row>
    <row r="160" spans="10:10" x14ac:dyDescent="0.25">
      <c r="J160" t="s">
        <v>327</v>
      </c>
    </row>
    <row r="161" spans="10:10" x14ac:dyDescent="0.25">
      <c r="J161" t="s">
        <v>329</v>
      </c>
    </row>
    <row r="162" spans="10:10" x14ac:dyDescent="0.25">
      <c r="J162" t="s">
        <v>331</v>
      </c>
    </row>
    <row r="163" spans="10:10" x14ac:dyDescent="0.25">
      <c r="J163" t="s">
        <v>333</v>
      </c>
    </row>
    <row r="164" spans="10:10" x14ac:dyDescent="0.25">
      <c r="J164" t="s">
        <v>313</v>
      </c>
    </row>
    <row r="165" spans="10:10" x14ac:dyDescent="0.25">
      <c r="J165" t="s">
        <v>336</v>
      </c>
    </row>
    <row r="166" spans="10:10" x14ac:dyDescent="0.25">
      <c r="J166" t="s">
        <v>338</v>
      </c>
    </row>
    <row r="167" spans="10:10" x14ac:dyDescent="0.25">
      <c r="J167" t="s">
        <v>340</v>
      </c>
    </row>
    <row r="168" spans="10:10" x14ac:dyDescent="0.25">
      <c r="J168" t="s">
        <v>342</v>
      </c>
    </row>
    <row r="169" spans="10:10" x14ac:dyDescent="0.25">
      <c r="J169" t="s">
        <v>272</v>
      </c>
    </row>
    <row r="170" spans="10:10" x14ac:dyDescent="0.25">
      <c r="J170" t="s">
        <v>345</v>
      </c>
    </row>
    <row r="171" spans="10:10" x14ac:dyDescent="0.25">
      <c r="J171" t="s">
        <v>331</v>
      </c>
    </row>
    <row r="172" spans="10:10" x14ac:dyDescent="0.25">
      <c r="J172" t="s">
        <v>348</v>
      </c>
    </row>
    <row r="173" spans="10:10" x14ac:dyDescent="0.25">
      <c r="J173" t="s">
        <v>350</v>
      </c>
    </row>
    <row r="174" spans="10:10" x14ac:dyDescent="0.25">
      <c r="J174" t="s">
        <v>352</v>
      </c>
    </row>
    <row r="175" spans="10:10" x14ac:dyDescent="0.25">
      <c r="J175" t="s">
        <v>354</v>
      </c>
    </row>
    <row r="176" spans="10:10" x14ac:dyDescent="0.25">
      <c r="J176" t="s">
        <v>356</v>
      </c>
    </row>
    <row r="177" spans="10:10" x14ac:dyDescent="0.25">
      <c r="J177" t="s">
        <v>358</v>
      </c>
    </row>
    <row r="178" spans="10:10" x14ac:dyDescent="0.25">
      <c r="J178" t="s">
        <v>360</v>
      </c>
    </row>
    <row r="179" spans="10:10" x14ac:dyDescent="0.25">
      <c r="J179" t="s">
        <v>362</v>
      </c>
    </row>
    <row r="180" spans="10:10" x14ac:dyDescent="0.25">
      <c r="J180" t="s">
        <v>364</v>
      </c>
    </row>
    <row r="181" spans="10:10" x14ac:dyDescent="0.25">
      <c r="J181" t="s">
        <v>366</v>
      </c>
    </row>
    <row r="182" spans="10:10" x14ac:dyDescent="0.25">
      <c r="J182" t="s">
        <v>368</v>
      </c>
    </row>
    <row r="183" spans="10:10" x14ac:dyDescent="0.25">
      <c r="J183" t="s">
        <v>370</v>
      </c>
    </row>
    <row r="184" spans="10:10" x14ac:dyDescent="0.25">
      <c r="J184" t="s">
        <v>372</v>
      </c>
    </row>
    <row r="185" spans="10:10" x14ac:dyDescent="0.25">
      <c r="J185" t="s">
        <v>374</v>
      </c>
    </row>
    <row r="186" spans="10:10" x14ac:dyDescent="0.25">
      <c r="J186" t="s">
        <v>376</v>
      </c>
    </row>
    <row r="187" spans="10:10" x14ac:dyDescent="0.25">
      <c r="J187" t="s">
        <v>378</v>
      </c>
    </row>
    <row r="188" spans="10:10" x14ac:dyDescent="0.25">
      <c r="J188" t="s">
        <v>380</v>
      </c>
    </row>
    <row r="189" spans="10:10" x14ac:dyDescent="0.25">
      <c r="J189" t="s">
        <v>382</v>
      </c>
    </row>
    <row r="190" spans="10:10" x14ac:dyDescent="0.25">
      <c r="J190" t="s">
        <v>384</v>
      </c>
    </row>
    <row r="191" spans="10:10" x14ac:dyDescent="0.25">
      <c r="J191" t="s">
        <v>386</v>
      </c>
    </row>
    <row r="192" spans="10:10" x14ac:dyDescent="0.25">
      <c r="J192" t="s">
        <v>388</v>
      </c>
    </row>
    <row r="193" spans="10:10" x14ac:dyDescent="0.25">
      <c r="J193" t="s">
        <v>390</v>
      </c>
    </row>
    <row r="194" spans="10:10" x14ac:dyDescent="0.25">
      <c r="J194" t="s">
        <v>392</v>
      </c>
    </row>
    <row r="195" spans="10:10" x14ac:dyDescent="0.25">
      <c r="J195" t="s">
        <v>394</v>
      </c>
    </row>
    <row r="196" spans="10:10" x14ac:dyDescent="0.25">
      <c r="J196" t="s">
        <v>396</v>
      </c>
    </row>
    <row r="197" spans="10:10" x14ac:dyDescent="0.25">
      <c r="J197" t="s">
        <v>398</v>
      </c>
    </row>
    <row r="198" spans="10:10" x14ac:dyDescent="0.25">
      <c r="J198" t="s">
        <v>400</v>
      </c>
    </row>
    <row r="199" spans="10:10" x14ac:dyDescent="0.25">
      <c r="J199" t="s">
        <v>402</v>
      </c>
    </row>
    <row r="200" spans="10:10" x14ac:dyDescent="0.25">
      <c r="J200" t="s">
        <v>404</v>
      </c>
    </row>
    <row r="201" spans="10:10" x14ac:dyDescent="0.25">
      <c r="J201" t="s">
        <v>406</v>
      </c>
    </row>
    <row r="202" spans="10:10" x14ac:dyDescent="0.25">
      <c r="J202" t="s">
        <v>408</v>
      </c>
    </row>
    <row r="203" spans="10:10" x14ac:dyDescent="0.25">
      <c r="J203" t="s">
        <v>410</v>
      </c>
    </row>
    <row r="204" spans="10:10" x14ac:dyDescent="0.25">
      <c r="J204" t="s">
        <v>412</v>
      </c>
    </row>
    <row r="205" spans="10:10" x14ac:dyDescent="0.25">
      <c r="J205" t="s">
        <v>414</v>
      </c>
    </row>
    <row r="206" spans="10:10" x14ac:dyDescent="0.25">
      <c r="J206" t="s">
        <v>416</v>
      </c>
    </row>
    <row r="207" spans="10:10" x14ac:dyDescent="0.25">
      <c r="J207" t="s">
        <v>418</v>
      </c>
    </row>
    <row r="208" spans="10:10" x14ac:dyDescent="0.25">
      <c r="J208" t="s">
        <v>420</v>
      </c>
    </row>
    <row r="209" spans="10:10" x14ac:dyDescent="0.25">
      <c r="J209" t="s">
        <v>422</v>
      </c>
    </row>
    <row r="210" spans="10:10" x14ac:dyDescent="0.25">
      <c r="J210" t="s">
        <v>424</v>
      </c>
    </row>
    <row r="211" spans="10:10" x14ac:dyDescent="0.25">
      <c r="J211" t="s">
        <v>426</v>
      </c>
    </row>
    <row r="212" spans="10:10" x14ac:dyDescent="0.25">
      <c r="J212" t="s">
        <v>428</v>
      </c>
    </row>
    <row r="213" spans="10:10" x14ac:dyDescent="0.25">
      <c r="J213" t="s">
        <v>430</v>
      </c>
    </row>
    <row r="214" spans="10:10" x14ac:dyDescent="0.25">
      <c r="J214" t="s">
        <v>432</v>
      </c>
    </row>
    <row r="215" spans="10:10" x14ac:dyDescent="0.25">
      <c r="J215" t="s">
        <v>434</v>
      </c>
    </row>
    <row r="216" spans="10:10" x14ac:dyDescent="0.25">
      <c r="J216" t="s">
        <v>436</v>
      </c>
    </row>
    <row r="217" spans="10:10" x14ac:dyDescent="0.25">
      <c r="J217" t="s">
        <v>438</v>
      </c>
    </row>
    <row r="218" spans="10:10" x14ac:dyDescent="0.25">
      <c r="J218" t="s">
        <v>440</v>
      </c>
    </row>
    <row r="219" spans="10:10" x14ac:dyDescent="0.25">
      <c r="J219" t="s">
        <v>442</v>
      </c>
    </row>
    <row r="220" spans="10:10" x14ac:dyDescent="0.25">
      <c r="J220" t="s">
        <v>444</v>
      </c>
    </row>
    <row r="221" spans="10:10" x14ac:dyDescent="0.25">
      <c r="J221" t="s">
        <v>446</v>
      </c>
    </row>
    <row r="222" spans="10:10" x14ac:dyDescent="0.25">
      <c r="J222" t="s">
        <v>448</v>
      </c>
    </row>
    <row r="223" spans="10:10" x14ac:dyDescent="0.25">
      <c r="J223" t="s">
        <v>450</v>
      </c>
    </row>
    <row r="224" spans="10:10" x14ac:dyDescent="0.25">
      <c r="J224" t="s">
        <v>452</v>
      </c>
    </row>
    <row r="225" spans="10:10" x14ac:dyDescent="0.25">
      <c r="J225" t="s">
        <v>454</v>
      </c>
    </row>
    <row r="226" spans="10:10" x14ac:dyDescent="0.25">
      <c r="J226" t="s">
        <v>456</v>
      </c>
    </row>
    <row r="227" spans="10:10" x14ac:dyDescent="0.25">
      <c r="J227" t="s">
        <v>458</v>
      </c>
    </row>
    <row r="228" spans="10:10" x14ac:dyDescent="0.25">
      <c r="J228" t="s">
        <v>460</v>
      </c>
    </row>
    <row r="229" spans="10:10" x14ac:dyDescent="0.25">
      <c r="J229" t="s">
        <v>462</v>
      </c>
    </row>
    <row r="230" spans="10:10" x14ac:dyDescent="0.25">
      <c r="J230" t="s">
        <v>464</v>
      </c>
    </row>
    <row r="231" spans="10:10" x14ac:dyDescent="0.25">
      <c r="J231" t="s">
        <v>466</v>
      </c>
    </row>
    <row r="232" spans="10:10" x14ac:dyDescent="0.25">
      <c r="J232" t="s">
        <v>468</v>
      </c>
    </row>
    <row r="233" spans="10:10" x14ac:dyDescent="0.25">
      <c r="J233" t="s">
        <v>470</v>
      </c>
    </row>
    <row r="234" spans="10:10" x14ac:dyDescent="0.25">
      <c r="J234" t="s">
        <v>358</v>
      </c>
    </row>
    <row r="235" spans="10:10" x14ac:dyDescent="0.25">
      <c r="J235" t="s">
        <v>473</v>
      </c>
    </row>
    <row r="236" spans="10:10" x14ac:dyDescent="0.25">
      <c r="J236" t="s">
        <v>475</v>
      </c>
    </row>
    <row r="237" spans="10:10" x14ac:dyDescent="0.25">
      <c r="J237" t="s">
        <v>477</v>
      </c>
    </row>
    <row r="238" spans="10:10" x14ac:dyDescent="0.25">
      <c r="J238" t="s">
        <v>388</v>
      </c>
    </row>
    <row r="239" spans="10:10" x14ac:dyDescent="0.25">
      <c r="J239" t="s">
        <v>388</v>
      </c>
    </row>
    <row r="240" spans="10:10" x14ac:dyDescent="0.25">
      <c r="J240" t="s">
        <v>481</v>
      </c>
    </row>
    <row r="241" spans="10:10" x14ac:dyDescent="0.25">
      <c r="J241" t="s">
        <v>483</v>
      </c>
    </row>
    <row r="242" spans="10:10" x14ac:dyDescent="0.25">
      <c r="J242" t="s">
        <v>485</v>
      </c>
    </row>
    <row r="243" spans="10:10" x14ac:dyDescent="0.25">
      <c r="J243" t="s">
        <v>487</v>
      </c>
    </row>
    <row r="244" spans="10:10" x14ac:dyDescent="0.25">
      <c r="J244" t="s">
        <v>489</v>
      </c>
    </row>
    <row r="245" spans="10:10" x14ac:dyDescent="0.25">
      <c r="J245" t="s">
        <v>491</v>
      </c>
    </row>
    <row r="246" spans="10:10" x14ac:dyDescent="0.25">
      <c r="J246" t="s">
        <v>493</v>
      </c>
    </row>
    <row r="247" spans="10:10" x14ac:dyDescent="0.25">
      <c r="J247" t="s">
        <v>495</v>
      </c>
    </row>
    <row r="248" spans="10:10" x14ac:dyDescent="0.25">
      <c r="J248" t="s">
        <v>497</v>
      </c>
    </row>
    <row r="249" spans="10:10" x14ac:dyDescent="0.25">
      <c r="J249" t="s">
        <v>499</v>
      </c>
    </row>
    <row r="250" spans="10:10" x14ac:dyDescent="0.25">
      <c r="J250" t="s">
        <v>501</v>
      </c>
    </row>
    <row r="251" spans="10:10" x14ac:dyDescent="0.25">
      <c r="J251" t="s">
        <v>503</v>
      </c>
    </row>
    <row r="252" spans="10:10" x14ac:dyDescent="0.25">
      <c r="J252" t="s">
        <v>505</v>
      </c>
    </row>
    <row r="253" spans="10:10" x14ac:dyDescent="0.25">
      <c r="J253" t="s">
        <v>507</v>
      </c>
    </row>
    <row r="254" spans="10:10" x14ac:dyDescent="0.25">
      <c r="J254" t="s">
        <v>509</v>
      </c>
    </row>
    <row r="255" spans="10:10" x14ac:dyDescent="0.25">
      <c r="J255" t="s">
        <v>511</v>
      </c>
    </row>
    <row r="256" spans="10:10" x14ac:dyDescent="0.25">
      <c r="J256" t="s">
        <v>513</v>
      </c>
    </row>
    <row r="257" spans="10:10" x14ac:dyDescent="0.25">
      <c r="J257" t="s">
        <v>515</v>
      </c>
    </row>
    <row r="258" spans="10:10" x14ac:dyDescent="0.25">
      <c r="J258" t="s">
        <v>517</v>
      </c>
    </row>
    <row r="259" spans="10:10" x14ac:dyDescent="0.25">
      <c r="J259" t="s">
        <v>519</v>
      </c>
    </row>
    <row r="260" spans="10:10" x14ac:dyDescent="0.25">
      <c r="J260" t="s">
        <v>521</v>
      </c>
    </row>
    <row r="261" spans="10:10" x14ac:dyDescent="0.25">
      <c r="J261" t="s">
        <v>523</v>
      </c>
    </row>
    <row r="262" spans="10:10" x14ac:dyDescent="0.25">
      <c r="J262" t="s">
        <v>525</v>
      </c>
    </row>
    <row r="263" spans="10:10" x14ac:dyDescent="0.25">
      <c r="J263" t="s">
        <v>527</v>
      </c>
    </row>
    <row r="264" spans="10:10" x14ac:dyDescent="0.25">
      <c r="J264" t="s">
        <v>529</v>
      </c>
    </row>
    <row r="265" spans="10:10" x14ac:dyDescent="0.25">
      <c r="J265" t="s">
        <v>531</v>
      </c>
    </row>
    <row r="266" spans="10:10" x14ac:dyDescent="0.25">
      <c r="J266" t="s">
        <v>533</v>
      </c>
    </row>
    <row r="267" spans="10:10" x14ac:dyDescent="0.25">
      <c r="J267" t="s">
        <v>535</v>
      </c>
    </row>
    <row r="268" spans="10:10" x14ac:dyDescent="0.25">
      <c r="J268" t="s">
        <v>537</v>
      </c>
    </row>
    <row r="269" spans="10:10" x14ac:dyDescent="0.25">
      <c r="J269" t="s">
        <v>539</v>
      </c>
    </row>
    <row r="270" spans="10:10" x14ac:dyDescent="0.25">
      <c r="J270" t="s">
        <v>370</v>
      </c>
    </row>
    <row r="271" spans="10:10" x14ac:dyDescent="0.25">
      <c r="J271" t="s">
        <v>542</v>
      </c>
    </row>
    <row r="272" spans="10:10" x14ac:dyDescent="0.25">
      <c r="J272" t="s">
        <v>544</v>
      </c>
    </row>
    <row r="273" spans="10:10" x14ac:dyDescent="0.25">
      <c r="J273" t="s">
        <v>546</v>
      </c>
    </row>
    <row r="274" spans="10:10" x14ac:dyDescent="0.25">
      <c r="J274" t="s">
        <v>398</v>
      </c>
    </row>
    <row r="275" spans="10:10" x14ac:dyDescent="0.25">
      <c r="J275" t="s">
        <v>398</v>
      </c>
    </row>
    <row r="276" spans="10:10" x14ac:dyDescent="0.25">
      <c r="J276" t="s">
        <v>550</v>
      </c>
    </row>
    <row r="277" spans="10:10" x14ac:dyDescent="0.25">
      <c r="J277" t="s">
        <v>552</v>
      </c>
    </row>
    <row r="278" spans="10:10" x14ac:dyDescent="0.25">
      <c r="J278" t="s">
        <v>554</v>
      </c>
    </row>
    <row r="279" spans="10:10" x14ac:dyDescent="0.25">
      <c r="J279" t="s">
        <v>556</v>
      </c>
    </row>
    <row r="280" spans="10:10" x14ac:dyDescent="0.25">
      <c r="J280" t="s">
        <v>558</v>
      </c>
    </row>
    <row r="281" spans="10:10" x14ac:dyDescent="0.25">
      <c r="J281" t="s">
        <v>560</v>
      </c>
    </row>
    <row r="282" spans="10:10" x14ac:dyDescent="0.25">
      <c r="J282" t="s">
        <v>562</v>
      </c>
    </row>
    <row r="283" spans="10:10" x14ac:dyDescent="0.25">
      <c r="J283" t="s">
        <v>564</v>
      </c>
    </row>
    <row r="284" spans="10:10" x14ac:dyDescent="0.25">
      <c r="J284" t="s">
        <v>566</v>
      </c>
    </row>
    <row r="285" spans="10:10" x14ac:dyDescent="0.25">
      <c r="J285" t="s">
        <v>568</v>
      </c>
    </row>
    <row r="286" spans="10:10" x14ac:dyDescent="0.25">
      <c r="J286" t="s">
        <v>570</v>
      </c>
    </row>
    <row r="287" spans="10:10" x14ac:dyDescent="0.25">
      <c r="J287" t="s">
        <v>572</v>
      </c>
    </row>
    <row r="288" spans="10:10" x14ac:dyDescent="0.25">
      <c r="J288" t="s">
        <v>574</v>
      </c>
    </row>
    <row r="289" spans="10:10" x14ac:dyDescent="0.25">
      <c r="J289" t="s">
        <v>576</v>
      </c>
    </row>
    <row r="290" spans="10:10" x14ac:dyDescent="0.25">
      <c r="J290" t="s">
        <v>578</v>
      </c>
    </row>
    <row r="291" spans="10:10" x14ac:dyDescent="0.25">
      <c r="J291" t="s">
        <v>580</v>
      </c>
    </row>
    <row r="292" spans="10:10" x14ac:dyDescent="0.25">
      <c r="J292" t="s">
        <v>582</v>
      </c>
    </row>
    <row r="293" spans="10:10" x14ac:dyDescent="0.25">
      <c r="J293" t="s">
        <v>584</v>
      </c>
    </row>
    <row r="294" spans="10:10" x14ac:dyDescent="0.25">
      <c r="J294" t="s">
        <v>586</v>
      </c>
    </row>
    <row r="295" spans="10:10" x14ac:dyDescent="0.25">
      <c r="J295" t="s">
        <v>588</v>
      </c>
    </row>
    <row r="296" spans="10:10" x14ac:dyDescent="0.25">
      <c r="J296" t="s">
        <v>590</v>
      </c>
    </row>
    <row r="297" spans="10:10" x14ac:dyDescent="0.25">
      <c r="J297" t="s">
        <v>592</v>
      </c>
    </row>
    <row r="298" spans="10:10" x14ac:dyDescent="0.25">
      <c r="J298" t="s">
        <v>594</v>
      </c>
    </row>
    <row r="299" spans="10:10" x14ac:dyDescent="0.25">
      <c r="J299" t="s">
        <v>596</v>
      </c>
    </row>
    <row r="300" spans="10:10" x14ac:dyDescent="0.25">
      <c r="J300" t="s">
        <v>598</v>
      </c>
    </row>
    <row r="301" spans="10:10" x14ac:dyDescent="0.25">
      <c r="J301" t="s">
        <v>600</v>
      </c>
    </row>
    <row r="302" spans="10:10" x14ac:dyDescent="0.25">
      <c r="J302" t="s">
        <v>602</v>
      </c>
    </row>
    <row r="303" spans="10:10" x14ac:dyDescent="0.25">
      <c r="J303" t="s">
        <v>604</v>
      </c>
    </row>
    <row r="304" spans="10:10" x14ac:dyDescent="0.25">
      <c r="J304" t="s">
        <v>606</v>
      </c>
    </row>
    <row r="305" spans="10:10" x14ac:dyDescent="0.25">
      <c r="J305" t="s">
        <v>608</v>
      </c>
    </row>
    <row r="306" spans="10:10" x14ac:dyDescent="0.25">
      <c r="J306" t="s">
        <v>610</v>
      </c>
    </row>
    <row r="307" spans="10:10" x14ac:dyDescent="0.25">
      <c r="J307" t="s">
        <v>612</v>
      </c>
    </row>
    <row r="308" spans="10:10" x14ac:dyDescent="0.25">
      <c r="J308" t="s">
        <v>614</v>
      </c>
    </row>
    <row r="309" spans="10:10" x14ac:dyDescent="0.25">
      <c r="J309" t="s">
        <v>616</v>
      </c>
    </row>
    <row r="310" spans="10:10" x14ac:dyDescent="0.25">
      <c r="J310" t="s">
        <v>618</v>
      </c>
    </row>
    <row r="311" spans="10:10" x14ac:dyDescent="0.25">
      <c r="J311" t="s">
        <v>620</v>
      </c>
    </row>
    <row r="312" spans="10:10" x14ac:dyDescent="0.25">
      <c r="J312" t="s">
        <v>622</v>
      </c>
    </row>
    <row r="313" spans="10:10" x14ac:dyDescent="0.25">
      <c r="J313" t="s">
        <v>624</v>
      </c>
    </row>
    <row r="314" spans="10:10" x14ac:dyDescent="0.25">
      <c r="J314" t="s">
        <v>626</v>
      </c>
    </row>
    <row r="315" spans="10:10" x14ac:dyDescent="0.25">
      <c r="J315" t="s">
        <v>628</v>
      </c>
    </row>
    <row r="316" spans="10:10" x14ac:dyDescent="0.25">
      <c r="J316" t="s">
        <v>630</v>
      </c>
    </row>
    <row r="317" spans="10:10" x14ac:dyDescent="0.25">
      <c r="J317" t="s">
        <v>632</v>
      </c>
    </row>
    <row r="318" spans="10:10" x14ac:dyDescent="0.25">
      <c r="J318" t="s">
        <v>634</v>
      </c>
    </row>
    <row r="319" spans="10:10" x14ac:dyDescent="0.25">
      <c r="J319" t="s">
        <v>636</v>
      </c>
    </row>
    <row r="320" spans="10:10" x14ac:dyDescent="0.25">
      <c r="J320" t="s">
        <v>638</v>
      </c>
    </row>
    <row r="321" spans="10:10" x14ac:dyDescent="0.25">
      <c r="J321" t="s">
        <v>640</v>
      </c>
    </row>
    <row r="322" spans="10:10" x14ac:dyDescent="0.25">
      <c r="J322" t="s">
        <v>642</v>
      </c>
    </row>
    <row r="323" spans="10:10" x14ac:dyDescent="0.25">
      <c r="J323" t="s">
        <v>644</v>
      </c>
    </row>
    <row r="324" spans="10:10" x14ac:dyDescent="0.25">
      <c r="J324" t="s">
        <v>646</v>
      </c>
    </row>
    <row r="325" spans="10:10" x14ac:dyDescent="0.25">
      <c r="J325" t="s">
        <v>648</v>
      </c>
    </row>
    <row r="326" spans="10:10" x14ac:dyDescent="0.25">
      <c r="J326" t="s">
        <v>650</v>
      </c>
    </row>
    <row r="327" spans="10:10" x14ac:dyDescent="0.25">
      <c r="J327" t="s">
        <v>652</v>
      </c>
    </row>
    <row r="328" spans="10:10" x14ac:dyDescent="0.25">
      <c r="J328" t="s">
        <v>654</v>
      </c>
    </row>
    <row r="329" spans="10:10" x14ac:dyDescent="0.25">
      <c r="J329" t="s">
        <v>656</v>
      </c>
    </row>
    <row r="330" spans="10:10" x14ac:dyDescent="0.25">
      <c r="J330" t="s">
        <v>658</v>
      </c>
    </row>
    <row r="331" spans="10:10" x14ac:dyDescent="0.25">
      <c r="J331" t="s">
        <v>660</v>
      </c>
    </row>
    <row r="332" spans="10:10" x14ac:dyDescent="0.25">
      <c r="J332" t="s">
        <v>662</v>
      </c>
    </row>
    <row r="333" spans="10:10" x14ac:dyDescent="0.25">
      <c r="J333" t="s">
        <v>664</v>
      </c>
    </row>
    <row r="334" spans="10:10" x14ac:dyDescent="0.25">
      <c r="J334" t="s">
        <v>666</v>
      </c>
    </row>
    <row r="335" spans="10:10" x14ac:dyDescent="0.25">
      <c r="J335" t="s">
        <v>668</v>
      </c>
    </row>
    <row r="336" spans="10:10" x14ac:dyDescent="0.25">
      <c r="J336" t="s">
        <v>670</v>
      </c>
    </row>
    <row r="337" spans="10:10" x14ac:dyDescent="0.25">
      <c r="J337" t="s">
        <v>672</v>
      </c>
    </row>
    <row r="338" spans="10:10" x14ac:dyDescent="0.25">
      <c r="J338" t="s">
        <v>674</v>
      </c>
    </row>
    <row r="339" spans="10:10" x14ac:dyDescent="0.25">
      <c r="J339" t="s">
        <v>676</v>
      </c>
    </row>
    <row r="340" spans="10:10" x14ac:dyDescent="0.25">
      <c r="J340" t="s">
        <v>678</v>
      </c>
    </row>
    <row r="341" spans="10:10" x14ac:dyDescent="0.25">
      <c r="J341" t="s">
        <v>680</v>
      </c>
    </row>
    <row r="342" spans="10:10" x14ac:dyDescent="0.25">
      <c r="J342" t="s">
        <v>682</v>
      </c>
    </row>
    <row r="343" spans="10:10" x14ac:dyDescent="0.25">
      <c r="J343" t="s">
        <v>684</v>
      </c>
    </row>
    <row r="344" spans="10:10" x14ac:dyDescent="0.25">
      <c r="J344" t="s">
        <v>686</v>
      </c>
    </row>
    <row r="345" spans="10:10" x14ac:dyDescent="0.25">
      <c r="J345" t="s">
        <v>688</v>
      </c>
    </row>
    <row r="346" spans="10:10" x14ac:dyDescent="0.25">
      <c r="J346" t="s">
        <v>690</v>
      </c>
    </row>
    <row r="347" spans="10:10" x14ac:dyDescent="0.25">
      <c r="J347" t="s">
        <v>692</v>
      </c>
    </row>
    <row r="348" spans="10:10" x14ac:dyDescent="0.25">
      <c r="J348" t="s">
        <v>694</v>
      </c>
    </row>
    <row r="349" spans="10:10" x14ac:dyDescent="0.25">
      <c r="J349" t="s">
        <v>696</v>
      </c>
    </row>
    <row r="350" spans="10:10" x14ac:dyDescent="0.25">
      <c r="J350" t="s">
        <v>698</v>
      </c>
    </row>
    <row r="351" spans="10:10" x14ac:dyDescent="0.25">
      <c r="J351" t="s">
        <v>700</v>
      </c>
    </row>
    <row r="352" spans="10:10" x14ac:dyDescent="0.25">
      <c r="J352" t="s">
        <v>702</v>
      </c>
    </row>
    <row r="353" spans="10:10" x14ac:dyDescent="0.25">
      <c r="J353" t="s">
        <v>704</v>
      </c>
    </row>
    <row r="354" spans="10:10" x14ac:dyDescent="0.25">
      <c r="J354" t="s">
        <v>706</v>
      </c>
    </row>
    <row r="355" spans="10:10" x14ac:dyDescent="0.25">
      <c r="J355" t="s">
        <v>708</v>
      </c>
    </row>
    <row r="356" spans="10:10" x14ac:dyDescent="0.25">
      <c r="J356" t="s">
        <v>710</v>
      </c>
    </row>
    <row r="357" spans="10:10" x14ac:dyDescent="0.25">
      <c r="J357" t="s">
        <v>712</v>
      </c>
    </row>
    <row r="358" spans="10:10" x14ac:dyDescent="0.25">
      <c r="J358" t="s">
        <v>714</v>
      </c>
    </row>
    <row r="359" spans="10:10" x14ac:dyDescent="0.25">
      <c r="J359" t="s">
        <v>716</v>
      </c>
    </row>
    <row r="360" spans="10:10" x14ac:dyDescent="0.25">
      <c r="J360" t="s">
        <v>718</v>
      </c>
    </row>
    <row r="361" spans="10:10" x14ac:dyDescent="0.25">
      <c r="J361" t="s">
        <v>720</v>
      </c>
    </row>
    <row r="362" spans="10:10" x14ac:dyDescent="0.25">
      <c r="J362" t="s">
        <v>722</v>
      </c>
    </row>
    <row r="363" spans="10:10" x14ac:dyDescent="0.25">
      <c r="J363" t="s">
        <v>724</v>
      </c>
    </row>
    <row r="364" spans="10:10" x14ac:dyDescent="0.25">
      <c r="J364" t="s">
        <v>726</v>
      </c>
    </row>
    <row r="365" spans="10:10" x14ac:dyDescent="0.25">
      <c r="J365" t="s">
        <v>728</v>
      </c>
    </row>
    <row r="366" spans="10:10" x14ac:dyDescent="0.25">
      <c r="J366" t="s">
        <v>730</v>
      </c>
    </row>
    <row r="367" spans="10:10" x14ac:dyDescent="0.25">
      <c r="J367" t="s">
        <v>732</v>
      </c>
    </row>
    <row r="368" spans="10:10" x14ac:dyDescent="0.25">
      <c r="J368" t="s">
        <v>734</v>
      </c>
    </row>
    <row r="369" spans="10:10" x14ac:dyDescent="0.25">
      <c r="J369" t="s">
        <v>736</v>
      </c>
    </row>
    <row r="370" spans="10:10" x14ac:dyDescent="0.25">
      <c r="J370" t="s">
        <v>738</v>
      </c>
    </row>
    <row r="371" spans="10:10" x14ac:dyDescent="0.25">
      <c r="J371" t="s">
        <v>740</v>
      </c>
    </row>
    <row r="372" spans="10:10" x14ac:dyDescent="0.25">
      <c r="J372" t="s">
        <v>742</v>
      </c>
    </row>
    <row r="373" spans="10:10" x14ac:dyDescent="0.25">
      <c r="J373" t="s">
        <v>744</v>
      </c>
    </row>
    <row r="374" spans="10:10" x14ac:dyDescent="0.25">
      <c r="J374" t="s">
        <v>746</v>
      </c>
    </row>
    <row r="375" spans="10:10" x14ac:dyDescent="0.25">
      <c r="J375" t="s">
        <v>748</v>
      </c>
    </row>
    <row r="376" spans="10:10" x14ac:dyDescent="0.25">
      <c r="J376" t="s">
        <v>750</v>
      </c>
    </row>
    <row r="377" spans="10:10" x14ac:dyDescent="0.25">
      <c r="J377" t="s">
        <v>752</v>
      </c>
    </row>
    <row r="378" spans="10:10" x14ac:dyDescent="0.25">
      <c r="J378" t="s">
        <v>754</v>
      </c>
    </row>
    <row r="379" spans="10:10" x14ac:dyDescent="0.25">
      <c r="J379" t="s">
        <v>756</v>
      </c>
    </row>
    <row r="380" spans="10:10" x14ac:dyDescent="0.25">
      <c r="J380" t="s">
        <v>758</v>
      </c>
    </row>
    <row r="381" spans="10:10" x14ac:dyDescent="0.25">
      <c r="J381" t="s">
        <v>760</v>
      </c>
    </row>
    <row r="382" spans="10:10" x14ac:dyDescent="0.25">
      <c r="J382" t="s">
        <v>762</v>
      </c>
    </row>
    <row r="383" spans="10:10" x14ac:dyDescent="0.25">
      <c r="J383" t="s">
        <v>764</v>
      </c>
    </row>
    <row r="384" spans="10:10" x14ac:dyDescent="0.25">
      <c r="J384" t="s">
        <v>766</v>
      </c>
    </row>
    <row r="385" spans="10:10" x14ac:dyDescent="0.25">
      <c r="J385" t="s">
        <v>768</v>
      </c>
    </row>
    <row r="386" spans="10:10" x14ac:dyDescent="0.25">
      <c r="J386" t="s">
        <v>770</v>
      </c>
    </row>
    <row r="387" spans="10:10" x14ac:dyDescent="0.25">
      <c r="J387" t="s">
        <v>772</v>
      </c>
    </row>
    <row r="388" spans="10:10" x14ac:dyDescent="0.25">
      <c r="J388" t="s">
        <v>774</v>
      </c>
    </row>
    <row r="389" spans="10:10" x14ac:dyDescent="0.25">
      <c r="J389" t="s">
        <v>776</v>
      </c>
    </row>
    <row r="390" spans="10:10" x14ac:dyDescent="0.25">
      <c r="J390" t="s">
        <v>778</v>
      </c>
    </row>
    <row r="391" spans="10:10" x14ac:dyDescent="0.25">
      <c r="J391" t="s">
        <v>780</v>
      </c>
    </row>
    <row r="392" spans="10:10" x14ac:dyDescent="0.25">
      <c r="J392" t="s">
        <v>782</v>
      </c>
    </row>
    <row r="393" spans="10:10" x14ac:dyDescent="0.25">
      <c r="J393" t="s">
        <v>784</v>
      </c>
    </row>
    <row r="394" spans="10:10" x14ac:dyDescent="0.25">
      <c r="J394" t="s">
        <v>786</v>
      </c>
    </row>
    <row r="395" spans="10:10" x14ac:dyDescent="0.25">
      <c r="J395" t="s">
        <v>788</v>
      </c>
    </row>
    <row r="396" spans="10:10" x14ac:dyDescent="0.25">
      <c r="J396" t="s">
        <v>790</v>
      </c>
    </row>
    <row r="397" spans="10:10" x14ac:dyDescent="0.25">
      <c r="J397" t="s">
        <v>792</v>
      </c>
    </row>
    <row r="398" spans="10:10" x14ac:dyDescent="0.25">
      <c r="J398" t="s">
        <v>794</v>
      </c>
    </row>
    <row r="399" spans="10:10" x14ac:dyDescent="0.25">
      <c r="J399" t="s">
        <v>796</v>
      </c>
    </row>
    <row r="400" spans="10:10" x14ac:dyDescent="0.25">
      <c r="J400" t="s">
        <v>798</v>
      </c>
    </row>
    <row r="401" spans="10:10" x14ac:dyDescent="0.25">
      <c r="J401" t="s">
        <v>800</v>
      </c>
    </row>
    <row r="402" spans="10:10" x14ac:dyDescent="0.25">
      <c r="J402" t="s">
        <v>802</v>
      </c>
    </row>
    <row r="403" spans="10:10" x14ac:dyDescent="0.25">
      <c r="J403" t="s">
        <v>804</v>
      </c>
    </row>
    <row r="404" spans="10:10" x14ac:dyDescent="0.25">
      <c r="J404" t="s">
        <v>806</v>
      </c>
    </row>
    <row r="405" spans="10:10" x14ac:dyDescent="0.25">
      <c r="J405" t="s">
        <v>808</v>
      </c>
    </row>
    <row r="406" spans="10:10" x14ac:dyDescent="0.25">
      <c r="J406" t="s">
        <v>810</v>
      </c>
    </row>
    <row r="407" spans="10:10" x14ac:dyDescent="0.25">
      <c r="J407" t="s">
        <v>812</v>
      </c>
    </row>
    <row r="408" spans="10:10" x14ac:dyDescent="0.25">
      <c r="J408" t="s">
        <v>814</v>
      </c>
    </row>
    <row r="409" spans="10:10" x14ac:dyDescent="0.25">
      <c r="J409" t="s">
        <v>816</v>
      </c>
    </row>
    <row r="410" spans="10:10" x14ac:dyDescent="0.25">
      <c r="J410" t="s">
        <v>818</v>
      </c>
    </row>
    <row r="411" spans="10:10" x14ac:dyDescent="0.25">
      <c r="J411" t="s">
        <v>820</v>
      </c>
    </row>
    <row r="412" spans="10:10" x14ac:dyDescent="0.25">
      <c r="J412" t="s">
        <v>822</v>
      </c>
    </row>
    <row r="413" spans="10:10" x14ac:dyDescent="0.25">
      <c r="J413" t="s">
        <v>824</v>
      </c>
    </row>
    <row r="414" spans="10:10" x14ac:dyDescent="0.25">
      <c r="J414" t="s">
        <v>826</v>
      </c>
    </row>
    <row r="415" spans="10:10" x14ac:dyDescent="0.25">
      <c r="J415" t="s">
        <v>828</v>
      </c>
    </row>
    <row r="416" spans="10:10" x14ac:dyDescent="0.25">
      <c r="J416" t="s">
        <v>830</v>
      </c>
    </row>
    <row r="417" spans="10:10" x14ac:dyDescent="0.25">
      <c r="J417" t="s">
        <v>832</v>
      </c>
    </row>
    <row r="418" spans="10:10" x14ac:dyDescent="0.25">
      <c r="J418" t="s">
        <v>834</v>
      </c>
    </row>
    <row r="419" spans="10:10" x14ac:dyDescent="0.25">
      <c r="J419" t="s">
        <v>836</v>
      </c>
    </row>
    <row r="420" spans="10:10" x14ac:dyDescent="0.25">
      <c r="J420" t="s">
        <v>838</v>
      </c>
    </row>
    <row r="421" spans="10:10" x14ac:dyDescent="0.25">
      <c r="J421" t="s">
        <v>840</v>
      </c>
    </row>
    <row r="422" spans="10:10" x14ac:dyDescent="0.25">
      <c r="J422" t="s">
        <v>842</v>
      </c>
    </row>
    <row r="423" spans="10:10" x14ac:dyDescent="0.25">
      <c r="J423" t="s">
        <v>844</v>
      </c>
    </row>
    <row r="424" spans="10:10" x14ac:dyDescent="0.25">
      <c r="J424" t="s">
        <v>846</v>
      </c>
    </row>
    <row r="425" spans="10:10" x14ac:dyDescent="0.25">
      <c r="J425" t="s">
        <v>848</v>
      </c>
    </row>
    <row r="426" spans="10:10" x14ac:dyDescent="0.25">
      <c r="J426" t="s">
        <v>850</v>
      </c>
    </row>
    <row r="427" spans="10:10" x14ac:dyDescent="0.25">
      <c r="J427" t="s">
        <v>852</v>
      </c>
    </row>
    <row r="428" spans="10:10" x14ac:dyDescent="0.25">
      <c r="J428" t="s">
        <v>854</v>
      </c>
    </row>
    <row r="429" spans="10:10" x14ac:dyDescent="0.25">
      <c r="J429" t="s">
        <v>856</v>
      </c>
    </row>
    <row r="430" spans="10:10" x14ac:dyDescent="0.25">
      <c r="J430" t="s">
        <v>858</v>
      </c>
    </row>
    <row r="431" spans="10:10" x14ac:dyDescent="0.25">
      <c r="J431" t="s">
        <v>860</v>
      </c>
    </row>
    <row r="432" spans="10:10" x14ac:dyDescent="0.25">
      <c r="J432" t="s">
        <v>862</v>
      </c>
    </row>
    <row r="433" spans="10:10" x14ac:dyDescent="0.25">
      <c r="J433" t="s">
        <v>864</v>
      </c>
    </row>
    <row r="434" spans="10:10" x14ac:dyDescent="0.25">
      <c r="J434" t="s">
        <v>866</v>
      </c>
    </row>
    <row r="435" spans="10:10" x14ac:dyDescent="0.25">
      <c r="J435" t="s">
        <v>868</v>
      </c>
    </row>
    <row r="436" spans="10:10" x14ac:dyDescent="0.25">
      <c r="J436" t="s">
        <v>870</v>
      </c>
    </row>
    <row r="437" spans="10:10" x14ac:dyDescent="0.25">
      <c r="J437" t="s">
        <v>872</v>
      </c>
    </row>
    <row r="438" spans="10:10" x14ac:dyDescent="0.25">
      <c r="J438" t="s">
        <v>874</v>
      </c>
    </row>
    <row r="439" spans="10:10" x14ac:dyDescent="0.25">
      <c r="J439" t="s">
        <v>876</v>
      </c>
    </row>
    <row r="440" spans="10:10" x14ac:dyDescent="0.25">
      <c r="J440" t="s">
        <v>878</v>
      </c>
    </row>
    <row r="441" spans="10:10" x14ac:dyDescent="0.25">
      <c r="J441" t="s">
        <v>880</v>
      </c>
    </row>
    <row r="442" spans="10:10" x14ac:dyDescent="0.25">
      <c r="J442" t="s">
        <v>882</v>
      </c>
    </row>
    <row r="443" spans="10:10" x14ac:dyDescent="0.25">
      <c r="J443" t="s">
        <v>884</v>
      </c>
    </row>
    <row r="444" spans="10:10" x14ac:dyDescent="0.25">
      <c r="J444" t="s">
        <v>886</v>
      </c>
    </row>
    <row r="445" spans="10:10" x14ac:dyDescent="0.25">
      <c r="J445" t="s">
        <v>888</v>
      </c>
    </row>
    <row r="446" spans="10:10" x14ac:dyDescent="0.25">
      <c r="J446" t="s">
        <v>890</v>
      </c>
    </row>
    <row r="447" spans="10:10" x14ac:dyDescent="0.25">
      <c r="J447" t="s">
        <v>892</v>
      </c>
    </row>
    <row r="448" spans="10:10" x14ac:dyDescent="0.25">
      <c r="J448" t="s">
        <v>894</v>
      </c>
    </row>
    <row r="449" spans="10:10" x14ac:dyDescent="0.25">
      <c r="J449" t="s">
        <v>896</v>
      </c>
    </row>
    <row r="450" spans="10:10" x14ac:dyDescent="0.25">
      <c r="J450" t="s">
        <v>898</v>
      </c>
    </row>
    <row r="451" spans="10:10" x14ac:dyDescent="0.25">
      <c r="J451" t="s">
        <v>900</v>
      </c>
    </row>
    <row r="452" spans="10:10" x14ac:dyDescent="0.25">
      <c r="J452" t="s">
        <v>902</v>
      </c>
    </row>
    <row r="453" spans="10:10" x14ac:dyDescent="0.25">
      <c r="J453" t="s">
        <v>904</v>
      </c>
    </row>
    <row r="454" spans="10:10" x14ac:dyDescent="0.25">
      <c r="J454" t="s">
        <v>906</v>
      </c>
    </row>
    <row r="455" spans="10:10" x14ac:dyDescent="0.25">
      <c r="J455" t="s">
        <v>908</v>
      </c>
    </row>
    <row r="456" spans="10:10" x14ac:dyDescent="0.25">
      <c r="J456" t="s">
        <v>910</v>
      </c>
    </row>
    <row r="457" spans="10:10" x14ac:dyDescent="0.25">
      <c r="J457" t="s">
        <v>912</v>
      </c>
    </row>
    <row r="458" spans="10:10" x14ac:dyDescent="0.25">
      <c r="J458" t="s">
        <v>914</v>
      </c>
    </row>
    <row r="459" spans="10:10" x14ac:dyDescent="0.25">
      <c r="J459" t="s">
        <v>916</v>
      </c>
    </row>
    <row r="460" spans="10:10" x14ac:dyDescent="0.25">
      <c r="J460" t="s">
        <v>918</v>
      </c>
    </row>
    <row r="461" spans="10:10" x14ac:dyDescent="0.25">
      <c r="J461" t="s">
        <v>920</v>
      </c>
    </row>
    <row r="462" spans="10:10" x14ac:dyDescent="0.25">
      <c r="J462" t="s">
        <v>922</v>
      </c>
    </row>
    <row r="463" spans="10:10" x14ac:dyDescent="0.25">
      <c r="J463" t="s">
        <v>924</v>
      </c>
    </row>
    <row r="464" spans="10:10" x14ac:dyDescent="0.25">
      <c r="J464" t="s">
        <v>926</v>
      </c>
    </row>
    <row r="465" spans="10:10" x14ac:dyDescent="0.25">
      <c r="J465" t="s">
        <v>928</v>
      </c>
    </row>
    <row r="466" spans="10:10" x14ac:dyDescent="0.25">
      <c r="J466" t="s">
        <v>930</v>
      </c>
    </row>
    <row r="467" spans="10:10" x14ac:dyDescent="0.25">
      <c r="J467" t="s">
        <v>932</v>
      </c>
    </row>
    <row r="468" spans="10:10" x14ac:dyDescent="0.25">
      <c r="J468" t="s">
        <v>934</v>
      </c>
    </row>
    <row r="469" spans="10:10" x14ac:dyDescent="0.25">
      <c r="J469" t="s">
        <v>936</v>
      </c>
    </row>
    <row r="470" spans="10:10" x14ac:dyDescent="0.25">
      <c r="J470" t="s">
        <v>938</v>
      </c>
    </row>
    <row r="471" spans="10:10" x14ac:dyDescent="0.25">
      <c r="J471" t="s">
        <v>940</v>
      </c>
    </row>
    <row r="472" spans="10:10" x14ac:dyDescent="0.25">
      <c r="J472" t="s">
        <v>942</v>
      </c>
    </row>
    <row r="473" spans="10:10" x14ac:dyDescent="0.25">
      <c r="J473" t="s">
        <v>944</v>
      </c>
    </row>
    <row r="474" spans="10:10" x14ac:dyDescent="0.25">
      <c r="J474" t="s">
        <v>946</v>
      </c>
    </row>
    <row r="475" spans="10:10" x14ac:dyDescent="0.25">
      <c r="J475" t="s">
        <v>948</v>
      </c>
    </row>
    <row r="476" spans="10:10" x14ac:dyDescent="0.25">
      <c r="J476" t="s">
        <v>950</v>
      </c>
    </row>
    <row r="477" spans="10:10" x14ac:dyDescent="0.25">
      <c r="J477" t="s">
        <v>952</v>
      </c>
    </row>
    <row r="478" spans="10:10" x14ac:dyDescent="0.25">
      <c r="J478" t="s">
        <v>954</v>
      </c>
    </row>
    <row r="479" spans="10:10" x14ac:dyDescent="0.25">
      <c r="J479" t="s">
        <v>956</v>
      </c>
    </row>
    <row r="480" spans="10:10" x14ac:dyDescent="0.25">
      <c r="J480" t="s">
        <v>958</v>
      </c>
    </row>
    <row r="481" spans="10:10" x14ac:dyDescent="0.25">
      <c r="J481" t="s">
        <v>960</v>
      </c>
    </row>
    <row r="482" spans="10:10" x14ac:dyDescent="0.25">
      <c r="J482" t="s">
        <v>962</v>
      </c>
    </row>
    <row r="483" spans="10:10" x14ac:dyDescent="0.25">
      <c r="J483" t="s">
        <v>964</v>
      </c>
    </row>
    <row r="484" spans="10:10" x14ac:dyDescent="0.25">
      <c r="J484" t="s">
        <v>966</v>
      </c>
    </row>
    <row r="485" spans="10:10" x14ac:dyDescent="0.25">
      <c r="J485" t="s">
        <v>968</v>
      </c>
    </row>
    <row r="486" spans="10:10" x14ac:dyDescent="0.25">
      <c r="J486" t="s">
        <v>970</v>
      </c>
    </row>
    <row r="487" spans="10:10" x14ac:dyDescent="0.25">
      <c r="J487" t="s">
        <v>972</v>
      </c>
    </row>
    <row r="488" spans="10:10" x14ac:dyDescent="0.25">
      <c r="J488" t="s">
        <v>974</v>
      </c>
    </row>
    <row r="489" spans="10:10" x14ac:dyDescent="0.25">
      <c r="J489" t="s">
        <v>976</v>
      </c>
    </row>
    <row r="490" spans="10:10" x14ac:dyDescent="0.25">
      <c r="J490" t="s">
        <v>978</v>
      </c>
    </row>
    <row r="491" spans="10:10" x14ac:dyDescent="0.25">
      <c r="J491" t="s">
        <v>980</v>
      </c>
    </row>
    <row r="492" spans="10:10" x14ac:dyDescent="0.25">
      <c r="J492" t="s">
        <v>982</v>
      </c>
    </row>
    <row r="493" spans="10:10" x14ac:dyDescent="0.25">
      <c r="J493" t="s">
        <v>984</v>
      </c>
    </row>
    <row r="494" spans="10:10" x14ac:dyDescent="0.25">
      <c r="J494" t="s">
        <v>986</v>
      </c>
    </row>
    <row r="495" spans="10:10" x14ac:dyDescent="0.25">
      <c r="J495" t="s">
        <v>988</v>
      </c>
    </row>
    <row r="496" spans="10:10" x14ac:dyDescent="0.25">
      <c r="J496" t="s">
        <v>990</v>
      </c>
    </row>
    <row r="497" spans="10:10" x14ac:dyDescent="0.25">
      <c r="J497" t="s">
        <v>992</v>
      </c>
    </row>
    <row r="498" spans="10:10" x14ac:dyDescent="0.25">
      <c r="J498" t="s">
        <v>994</v>
      </c>
    </row>
    <row r="499" spans="10:10" x14ac:dyDescent="0.25">
      <c r="J499" t="s">
        <v>996</v>
      </c>
    </row>
    <row r="500" spans="10:10" x14ac:dyDescent="0.25">
      <c r="J500" t="s">
        <v>998</v>
      </c>
    </row>
    <row r="501" spans="10:10" x14ac:dyDescent="0.25">
      <c r="J501" t="s">
        <v>1000</v>
      </c>
    </row>
    <row r="502" spans="10:10" x14ac:dyDescent="0.25">
      <c r="J502" t="s">
        <v>1002</v>
      </c>
    </row>
    <row r="503" spans="10:10" x14ac:dyDescent="0.25">
      <c r="J503" t="s">
        <v>1004</v>
      </c>
    </row>
    <row r="504" spans="10:10" x14ac:dyDescent="0.25">
      <c r="J504" t="s">
        <v>1006</v>
      </c>
    </row>
    <row r="505" spans="10:10" x14ac:dyDescent="0.25">
      <c r="J505" t="s">
        <v>1008</v>
      </c>
    </row>
    <row r="506" spans="10:10" x14ac:dyDescent="0.25">
      <c r="J506" t="s">
        <v>1010</v>
      </c>
    </row>
    <row r="507" spans="10:10" x14ac:dyDescent="0.25">
      <c r="J507" t="s">
        <v>1012</v>
      </c>
    </row>
    <row r="508" spans="10:10" x14ac:dyDescent="0.25">
      <c r="J508" t="s">
        <v>1014</v>
      </c>
    </row>
    <row r="509" spans="10:10" x14ac:dyDescent="0.25">
      <c r="J509" t="s">
        <v>1016</v>
      </c>
    </row>
    <row r="510" spans="10:10" x14ac:dyDescent="0.25">
      <c r="J510" t="s">
        <v>1018</v>
      </c>
    </row>
    <row r="511" spans="10:10" x14ac:dyDescent="0.25">
      <c r="J511" t="s">
        <v>1020</v>
      </c>
    </row>
    <row r="512" spans="10:10" x14ac:dyDescent="0.25">
      <c r="J512" t="s">
        <v>1022</v>
      </c>
    </row>
    <row r="513" spans="10:10" x14ac:dyDescent="0.25">
      <c r="J513" t="s">
        <v>1024</v>
      </c>
    </row>
    <row r="514" spans="10:10" x14ac:dyDescent="0.25">
      <c r="J514" t="s">
        <v>1026</v>
      </c>
    </row>
    <row r="515" spans="10:10" x14ac:dyDescent="0.25">
      <c r="J515" t="s">
        <v>1028</v>
      </c>
    </row>
    <row r="516" spans="10:10" x14ac:dyDescent="0.25">
      <c r="J516" t="s">
        <v>1030</v>
      </c>
    </row>
    <row r="517" spans="10:10" x14ac:dyDescent="0.25">
      <c r="J517" t="s">
        <v>1032</v>
      </c>
    </row>
    <row r="518" spans="10:10" x14ac:dyDescent="0.25">
      <c r="J518" t="s">
        <v>1034</v>
      </c>
    </row>
    <row r="519" spans="10:10" x14ac:dyDescent="0.25">
      <c r="J519" t="s">
        <v>1036</v>
      </c>
    </row>
    <row r="520" spans="10:10" x14ac:dyDescent="0.25">
      <c r="J520" t="s">
        <v>1038</v>
      </c>
    </row>
    <row r="521" spans="10:10" x14ac:dyDescent="0.25">
      <c r="J521" t="s">
        <v>1040</v>
      </c>
    </row>
    <row r="522" spans="10:10" x14ac:dyDescent="0.25">
      <c r="J522" t="s">
        <v>1042</v>
      </c>
    </row>
    <row r="523" spans="10:10" x14ac:dyDescent="0.25">
      <c r="J523" t="s">
        <v>1044</v>
      </c>
    </row>
    <row r="524" spans="10:10" x14ac:dyDescent="0.25">
      <c r="J524" t="s">
        <v>1046</v>
      </c>
    </row>
    <row r="525" spans="10:10" x14ac:dyDescent="0.25">
      <c r="J525" t="s">
        <v>1048</v>
      </c>
    </row>
    <row r="526" spans="10:10" x14ac:dyDescent="0.25">
      <c r="J526" t="s">
        <v>1050</v>
      </c>
    </row>
    <row r="527" spans="10:10" x14ac:dyDescent="0.25">
      <c r="J527" t="s">
        <v>1052</v>
      </c>
    </row>
    <row r="528" spans="10:10" x14ac:dyDescent="0.25">
      <c r="J528" t="s">
        <v>1054</v>
      </c>
    </row>
    <row r="529" spans="10:10" x14ac:dyDescent="0.25">
      <c r="J529" t="s">
        <v>1056</v>
      </c>
    </row>
    <row r="530" spans="10:10" x14ac:dyDescent="0.25">
      <c r="J530" t="s">
        <v>1058</v>
      </c>
    </row>
    <row r="531" spans="10:10" x14ac:dyDescent="0.25">
      <c r="J531" t="s">
        <v>1060</v>
      </c>
    </row>
    <row r="532" spans="10:10" x14ac:dyDescent="0.25">
      <c r="J532" t="s">
        <v>1062</v>
      </c>
    </row>
    <row r="533" spans="10:10" x14ac:dyDescent="0.25">
      <c r="J533" t="s">
        <v>1064</v>
      </c>
    </row>
    <row r="534" spans="10:10" x14ac:dyDescent="0.25">
      <c r="J534" t="s">
        <v>1066</v>
      </c>
    </row>
    <row r="535" spans="10:10" x14ac:dyDescent="0.25">
      <c r="J535" t="s">
        <v>1068</v>
      </c>
    </row>
    <row r="536" spans="10:10" x14ac:dyDescent="0.25">
      <c r="J536" t="s">
        <v>1070</v>
      </c>
    </row>
    <row r="537" spans="10:10" x14ac:dyDescent="0.25">
      <c r="J537" t="s">
        <v>1072</v>
      </c>
    </row>
    <row r="538" spans="10:10" x14ac:dyDescent="0.25">
      <c r="J538" t="s">
        <v>1074</v>
      </c>
    </row>
    <row r="539" spans="10:10" x14ac:dyDescent="0.25">
      <c r="J539" t="s">
        <v>1076</v>
      </c>
    </row>
    <row r="540" spans="10:10" x14ac:dyDescent="0.25">
      <c r="J540" t="s">
        <v>1078</v>
      </c>
    </row>
    <row r="541" spans="10:10" x14ac:dyDescent="0.25">
      <c r="J541" t="s">
        <v>1080</v>
      </c>
    </row>
    <row r="542" spans="10:10" x14ac:dyDescent="0.25">
      <c r="J542" t="s">
        <v>1082</v>
      </c>
    </row>
    <row r="543" spans="10:10" x14ac:dyDescent="0.25">
      <c r="J543" t="s">
        <v>1084</v>
      </c>
    </row>
    <row r="544" spans="10:10" x14ac:dyDescent="0.25">
      <c r="J544" t="s">
        <v>1086</v>
      </c>
    </row>
    <row r="545" spans="10:10" x14ac:dyDescent="0.25">
      <c r="J545" t="s">
        <v>1088</v>
      </c>
    </row>
    <row r="546" spans="10:10" x14ac:dyDescent="0.25">
      <c r="J546" t="s">
        <v>1090</v>
      </c>
    </row>
    <row r="547" spans="10:10" x14ac:dyDescent="0.25">
      <c r="J547" t="s">
        <v>1092</v>
      </c>
    </row>
    <row r="548" spans="10:10" x14ac:dyDescent="0.25">
      <c r="J548" t="s">
        <v>1094</v>
      </c>
    </row>
    <row r="549" spans="10:10" x14ac:dyDescent="0.25">
      <c r="J549" t="s">
        <v>1096</v>
      </c>
    </row>
    <row r="550" spans="10:10" x14ac:dyDescent="0.25">
      <c r="J550" t="s">
        <v>1098</v>
      </c>
    </row>
    <row r="551" spans="10:10" x14ac:dyDescent="0.25">
      <c r="J551" t="s">
        <v>1100</v>
      </c>
    </row>
    <row r="552" spans="10:10" x14ac:dyDescent="0.25">
      <c r="J552" t="s">
        <v>1102</v>
      </c>
    </row>
    <row r="553" spans="10:10" x14ac:dyDescent="0.25">
      <c r="J553" t="s">
        <v>1104</v>
      </c>
    </row>
    <row r="554" spans="10:10" x14ac:dyDescent="0.25">
      <c r="J554" t="s">
        <v>1106</v>
      </c>
    </row>
    <row r="555" spans="10:10" x14ac:dyDescent="0.25">
      <c r="J555" t="s">
        <v>1108</v>
      </c>
    </row>
    <row r="556" spans="10:10" x14ac:dyDescent="0.25">
      <c r="J556" t="s">
        <v>1110</v>
      </c>
    </row>
    <row r="557" spans="10:10" x14ac:dyDescent="0.25">
      <c r="J557" t="s">
        <v>1112</v>
      </c>
    </row>
    <row r="558" spans="10:10" x14ac:dyDescent="0.25">
      <c r="J558" t="s">
        <v>1114</v>
      </c>
    </row>
    <row r="559" spans="10:10" x14ac:dyDescent="0.25">
      <c r="J559" t="s">
        <v>1116</v>
      </c>
    </row>
    <row r="560" spans="10:10" x14ac:dyDescent="0.25">
      <c r="J560" t="s">
        <v>1118</v>
      </c>
    </row>
    <row r="561" spans="10:10" x14ac:dyDescent="0.25">
      <c r="J561" t="s">
        <v>1120</v>
      </c>
    </row>
    <row r="562" spans="10:10" x14ac:dyDescent="0.25">
      <c r="J562" t="s">
        <v>1122</v>
      </c>
    </row>
    <row r="563" spans="10:10" x14ac:dyDescent="0.25">
      <c r="J563" t="s">
        <v>1124</v>
      </c>
    </row>
    <row r="564" spans="10:10" x14ac:dyDescent="0.25">
      <c r="J564" t="s">
        <v>1126</v>
      </c>
    </row>
    <row r="565" spans="10:10" x14ac:dyDescent="0.25">
      <c r="J565" t="s">
        <v>1128</v>
      </c>
    </row>
    <row r="566" spans="10:10" x14ac:dyDescent="0.25">
      <c r="J566" t="s">
        <v>1130</v>
      </c>
    </row>
    <row r="567" spans="10:10" x14ac:dyDescent="0.25">
      <c r="J567" t="s">
        <v>1132</v>
      </c>
    </row>
    <row r="568" spans="10:10" x14ac:dyDescent="0.25">
      <c r="J568" t="s">
        <v>1134</v>
      </c>
    </row>
    <row r="569" spans="10:10" x14ac:dyDescent="0.25">
      <c r="J569" t="s">
        <v>1136</v>
      </c>
    </row>
    <row r="570" spans="10:10" x14ac:dyDescent="0.25">
      <c r="J570" t="s">
        <v>1138</v>
      </c>
    </row>
    <row r="571" spans="10:10" x14ac:dyDescent="0.25">
      <c r="J571" t="s">
        <v>1140</v>
      </c>
    </row>
    <row r="572" spans="10:10" x14ac:dyDescent="0.25">
      <c r="J572" t="s">
        <v>1142</v>
      </c>
    </row>
    <row r="573" spans="10:10" x14ac:dyDescent="0.25">
      <c r="J573" t="s">
        <v>1144</v>
      </c>
    </row>
    <row r="574" spans="10:10" x14ac:dyDescent="0.25">
      <c r="J574" t="s">
        <v>1146</v>
      </c>
    </row>
    <row r="575" spans="10:10" x14ac:dyDescent="0.25">
      <c r="J575" t="s">
        <v>1148</v>
      </c>
    </row>
    <row r="576" spans="10:10" x14ac:dyDescent="0.25">
      <c r="J576" t="s">
        <v>1150</v>
      </c>
    </row>
    <row r="577" spans="10:10" x14ac:dyDescent="0.25">
      <c r="J577" t="s">
        <v>1152</v>
      </c>
    </row>
    <row r="578" spans="10:10" x14ac:dyDescent="0.25">
      <c r="J578" t="s">
        <v>1154</v>
      </c>
    </row>
    <row r="579" spans="10:10" x14ac:dyDescent="0.25">
      <c r="J579" t="s">
        <v>1156</v>
      </c>
    </row>
    <row r="580" spans="10:10" x14ac:dyDescent="0.25">
      <c r="J580" t="s">
        <v>1158</v>
      </c>
    </row>
    <row r="581" spans="10:10" x14ac:dyDescent="0.25">
      <c r="J581" t="s">
        <v>1160</v>
      </c>
    </row>
    <row r="582" spans="10:10" x14ac:dyDescent="0.25">
      <c r="J582" t="s">
        <v>1162</v>
      </c>
    </row>
    <row r="583" spans="10:10" x14ac:dyDescent="0.25">
      <c r="J583" t="s">
        <v>1164</v>
      </c>
    </row>
    <row r="584" spans="10:10" x14ac:dyDescent="0.25">
      <c r="J584" t="s">
        <v>1166</v>
      </c>
    </row>
    <row r="585" spans="10:10" x14ac:dyDescent="0.25">
      <c r="J585" t="s">
        <v>1168</v>
      </c>
    </row>
    <row r="586" spans="10:10" x14ac:dyDescent="0.25">
      <c r="J586" t="s">
        <v>1170</v>
      </c>
    </row>
    <row r="587" spans="10:10" x14ac:dyDescent="0.25">
      <c r="J587" t="s">
        <v>1172</v>
      </c>
    </row>
    <row r="588" spans="10:10" x14ac:dyDescent="0.25">
      <c r="J588" t="s">
        <v>1174</v>
      </c>
    </row>
    <row r="589" spans="10:10" x14ac:dyDescent="0.25">
      <c r="J589" t="s">
        <v>1176</v>
      </c>
    </row>
    <row r="590" spans="10:10" x14ac:dyDescent="0.25">
      <c r="J590" t="s">
        <v>1178</v>
      </c>
    </row>
    <row r="591" spans="10:10" x14ac:dyDescent="0.25">
      <c r="J591" t="s">
        <v>1180</v>
      </c>
    </row>
    <row r="592" spans="10:10" x14ac:dyDescent="0.25">
      <c r="J592" t="s">
        <v>1182</v>
      </c>
    </row>
    <row r="593" spans="10:10" x14ac:dyDescent="0.25">
      <c r="J593" t="s">
        <v>1184</v>
      </c>
    </row>
    <row r="594" spans="10:10" x14ac:dyDescent="0.25">
      <c r="J594" t="s">
        <v>1186</v>
      </c>
    </row>
    <row r="595" spans="10:10" x14ac:dyDescent="0.25">
      <c r="J595" t="s">
        <v>1188</v>
      </c>
    </row>
    <row r="596" spans="10:10" x14ac:dyDescent="0.25">
      <c r="J596" t="s">
        <v>1190</v>
      </c>
    </row>
    <row r="597" spans="10:10" x14ac:dyDescent="0.25">
      <c r="J597" t="s">
        <v>1192</v>
      </c>
    </row>
    <row r="598" spans="10:10" x14ac:dyDescent="0.25">
      <c r="J598" t="s">
        <v>1194</v>
      </c>
    </row>
    <row r="599" spans="10:10" x14ac:dyDescent="0.25">
      <c r="J599" t="s">
        <v>1196</v>
      </c>
    </row>
    <row r="600" spans="10:10" x14ac:dyDescent="0.25">
      <c r="J600" t="s">
        <v>1198</v>
      </c>
    </row>
    <row r="601" spans="10:10" x14ac:dyDescent="0.25">
      <c r="J601" t="s">
        <v>1200</v>
      </c>
    </row>
    <row r="602" spans="10:10" x14ac:dyDescent="0.25">
      <c r="J602" t="s">
        <v>1202</v>
      </c>
    </row>
    <row r="603" spans="10:10" x14ac:dyDescent="0.25">
      <c r="J603" t="s">
        <v>1204</v>
      </c>
    </row>
    <row r="604" spans="10:10" x14ac:dyDescent="0.25">
      <c r="J604" t="s">
        <v>1206</v>
      </c>
    </row>
    <row r="605" spans="10:10" x14ac:dyDescent="0.25">
      <c r="J605" t="s">
        <v>1208</v>
      </c>
    </row>
    <row r="606" spans="10:10" x14ac:dyDescent="0.25">
      <c r="J606" t="s">
        <v>1210</v>
      </c>
    </row>
    <row r="607" spans="10:10" x14ac:dyDescent="0.25">
      <c r="J607" t="s">
        <v>1212</v>
      </c>
    </row>
    <row r="608" spans="10:10" x14ac:dyDescent="0.25">
      <c r="J608" t="s">
        <v>1214</v>
      </c>
    </row>
    <row r="609" spans="10:10" x14ac:dyDescent="0.25">
      <c r="J609" t="s">
        <v>1216</v>
      </c>
    </row>
    <row r="610" spans="10:10" x14ac:dyDescent="0.25">
      <c r="J610" t="s">
        <v>1218</v>
      </c>
    </row>
    <row r="611" spans="10:10" x14ac:dyDescent="0.25">
      <c r="J611" t="s">
        <v>1220</v>
      </c>
    </row>
    <row r="612" spans="10:10" x14ac:dyDescent="0.25">
      <c r="J612" t="s">
        <v>1222</v>
      </c>
    </row>
    <row r="613" spans="10:10" x14ac:dyDescent="0.25">
      <c r="J613" t="s">
        <v>1224</v>
      </c>
    </row>
    <row r="614" spans="10:10" x14ac:dyDescent="0.25">
      <c r="J614" t="s">
        <v>1226</v>
      </c>
    </row>
    <row r="615" spans="10:10" x14ac:dyDescent="0.25">
      <c r="J615" t="s">
        <v>1228</v>
      </c>
    </row>
    <row r="616" spans="10:10" x14ac:dyDescent="0.25">
      <c r="J616" t="s">
        <v>1230</v>
      </c>
    </row>
    <row r="617" spans="10:10" x14ac:dyDescent="0.25">
      <c r="J617" t="s">
        <v>1232</v>
      </c>
    </row>
    <row r="618" spans="10:10" x14ac:dyDescent="0.25">
      <c r="J618" t="s">
        <v>1234</v>
      </c>
    </row>
    <row r="619" spans="10:10" x14ac:dyDescent="0.25">
      <c r="J619" t="s">
        <v>1236</v>
      </c>
    </row>
    <row r="620" spans="10:10" x14ac:dyDescent="0.25">
      <c r="J620" t="s">
        <v>1238</v>
      </c>
    </row>
    <row r="621" spans="10:10" x14ac:dyDescent="0.25">
      <c r="J621" t="s">
        <v>1240</v>
      </c>
    </row>
    <row r="622" spans="10:10" x14ac:dyDescent="0.25">
      <c r="J622" t="s">
        <v>1242</v>
      </c>
    </row>
    <row r="623" spans="10:10" x14ac:dyDescent="0.25">
      <c r="J623" t="s">
        <v>1244</v>
      </c>
    </row>
    <row r="624" spans="10:10" x14ac:dyDescent="0.25">
      <c r="J624" t="s">
        <v>1246</v>
      </c>
    </row>
    <row r="625" spans="10:10" x14ac:dyDescent="0.25">
      <c r="J625" t="s">
        <v>1248</v>
      </c>
    </row>
    <row r="626" spans="10:10" x14ac:dyDescent="0.25">
      <c r="J626" t="s">
        <v>1250</v>
      </c>
    </row>
    <row r="627" spans="10:10" x14ac:dyDescent="0.25">
      <c r="J627" t="s">
        <v>1252</v>
      </c>
    </row>
    <row r="628" spans="10:10" x14ac:dyDescent="0.25">
      <c r="J628" t="s">
        <v>1254</v>
      </c>
    </row>
    <row r="629" spans="10:10" x14ac:dyDescent="0.25">
      <c r="J629" t="s">
        <v>1256</v>
      </c>
    </row>
    <row r="630" spans="10:10" x14ac:dyDescent="0.25">
      <c r="J630" t="s">
        <v>1258</v>
      </c>
    </row>
    <row r="631" spans="10:10" x14ac:dyDescent="0.25">
      <c r="J631" t="s">
        <v>1260</v>
      </c>
    </row>
    <row r="632" spans="10:10" x14ac:dyDescent="0.25">
      <c r="J632" t="s">
        <v>1262</v>
      </c>
    </row>
    <row r="633" spans="10:10" x14ac:dyDescent="0.25">
      <c r="J633" t="s">
        <v>1264</v>
      </c>
    </row>
    <row r="634" spans="10:10" x14ac:dyDescent="0.25">
      <c r="J634" t="s">
        <v>1266</v>
      </c>
    </row>
    <row r="635" spans="10:10" x14ac:dyDescent="0.25">
      <c r="J635" t="s">
        <v>1268</v>
      </c>
    </row>
    <row r="636" spans="10:10" x14ac:dyDescent="0.25">
      <c r="J636" t="s">
        <v>1270</v>
      </c>
    </row>
    <row r="637" spans="10:10" x14ac:dyDescent="0.25">
      <c r="J637" t="s">
        <v>1272</v>
      </c>
    </row>
    <row r="638" spans="10:10" x14ac:dyDescent="0.25">
      <c r="J638" t="s">
        <v>1274</v>
      </c>
    </row>
    <row r="639" spans="10:10" x14ac:dyDescent="0.25">
      <c r="J639" t="s">
        <v>1276</v>
      </c>
    </row>
    <row r="640" spans="10:10" x14ac:dyDescent="0.25">
      <c r="J640" t="s">
        <v>1278</v>
      </c>
    </row>
    <row r="641" spans="10:10" x14ac:dyDescent="0.25">
      <c r="J641" t="s">
        <v>1280</v>
      </c>
    </row>
    <row r="642" spans="10:10" x14ac:dyDescent="0.25">
      <c r="J642" t="s">
        <v>1282</v>
      </c>
    </row>
    <row r="643" spans="10:10" x14ac:dyDescent="0.25">
      <c r="J643" t="s">
        <v>1284</v>
      </c>
    </row>
    <row r="644" spans="10:10" x14ac:dyDescent="0.25">
      <c r="J644" t="s">
        <v>1286</v>
      </c>
    </row>
    <row r="645" spans="10:10" x14ac:dyDescent="0.25">
      <c r="J645" t="s">
        <v>1288</v>
      </c>
    </row>
    <row r="646" spans="10:10" x14ac:dyDescent="0.25">
      <c r="J646" t="s">
        <v>1290</v>
      </c>
    </row>
    <row r="647" spans="10:10" x14ac:dyDescent="0.25">
      <c r="J647" t="s">
        <v>1292</v>
      </c>
    </row>
    <row r="648" spans="10:10" x14ac:dyDescent="0.25">
      <c r="J648" t="s">
        <v>1294</v>
      </c>
    </row>
    <row r="649" spans="10:10" x14ac:dyDescent="0.25">
      <c r="J649" t="s">
        <v>1296</v>
      </c>
    </row>
    <row r="650" spans="10:10" x14ac:dyDescent="0.25">
      <c r="J650" t="s">
        <v>1298</v>
      </c>
    </row>
    <row r="651" spans="10:10" x14ac:dyDescent="0.25">
      <c r="J651" t="s">
        <v>1300</v>
      </c>
    </row>
    <row r="652" spans="10:10" x14ac:dyDescent="0.25">
      <c r="J652" t="s">
        <v>1302</v>
      </c>
    </row>
    <row r="653" spans="10:10" x14ac:dyDescent="0.25">
      <c r="J653" t="s">
        <v>1304</v>
      </c>
    </row>
    <row r="654" spans="10:10" x14ac:dyDescent="0.25">
      <c r="J654" t="s">
        <v>1306</v>
      </c>
    </row>
    <row r="655" spans="10:10" x14ac:dyDescent="0.25">
      <c r="J655" t="s">
        <v>1308</v>
      </c>
    </row>
    <row r="656" spans="10:10" x14ac:dyDescent="0.25">
      <c r="J656" t="s">
        <v>1310</v>
      </c>
    </row>
    <row r="657" spans="10:10" x14ac:dyDescent="0.25">
      <c r="J657" t="s">
        <v>1312</v>
      </c>
    </row>
    <row r="658" spans="10:10" x14ac:dyDescent="0.25">
      <c r="J658" t="s">
        <v>1314</v>
      </c>
    </row>
    <row r="659" spans="10:10" x14ac:dyDescent="0.25">
      <c r="J659" t="s">
        <v>1316</v>
      </c>
    </row>
    <row r="660" spans="10:10" x14ac:dyDescent="0.25">
      <c r="J660" t="s">
        <v>1318</v>
      </c>
    </row>
    <row r="661" spans="10:10" x14ac:dyDescent="0.25">
      <c r="J661" t="s">
        <v>1320</v>
      </c>
    </row>
    <row r="662" spans="10:10" x14ac:dyDescent="0.25">
      <c r="J662" t="s">
        <v>1322</v>
      </c>
    </row>
    <row r="663" spans="10:10" x14ac:dyDescent="0.25">
      <c r="J663" t="s">
        <v>1324</v>
      </c>
    </row>
    <row r="664" spans="10:10" x14ac:dyDescent="0.25">
      <c r="J664" t="s">
        <v>1326</v>
      </c>
    </row>
    <row r="665" spans="10:10" x14ac:dyDescent="0.25">
      <c r="J665" t="s">
        <v>1328</v>
      </c>
    </row>
    <row r="666" spans="10:10" x14ac:dyDescent="0.25">
      <c r="J666" t="s">
        <v>1330</v>
      </c>
    </row>
    <row r="667" spans="10:10" x14ac:dyDescent="0.25">
      <c r="J667" t="s">
        <v>1332</v>
      </c>
    </row>
    <row r="668" spans="10:10" x14ac:dyDescent="0.25">
      <c r="J668" t="s">
        <v>1334</v>
      </c>
    </row>
    <row r="669" spans="10:10" x14ac:dyDescent="0.25">
      <c r="J669" t="s">
        <v>1336</v>
      </c>
    </row>
    <row r="670" spans="10:10" x14ac:dyDescent="0.25">
      <c r="J670" t="s">
        <v>1338</v>
      </c>
    </row>
    <row r="671" spans="10:10" x14ac:dyDescent="0.25">
      <c r="J671" t="s">
        <v>1340</v>
      </c>
    </row>
    <row r="672" spans="10:10" x14ac:dyDescent="0.25">
      <c r="J672" t="s">
        <v>1342</v>
      </c>
    </row>
    <row r="673" spans="10:10" x14ac:dyDescent="0.25">
      <c r="J673" t="s">
        <v>1344</v>
      </c>
    </row>
    <row r="674" spans="10:10" x14ac:dyDescent="0.25">
      <c r="J674" t="s">
        <v>1346</v>
      </c>
    </row>
    <row r="675" spans="10:10" x14ac:dyDescent="0.25">
      <c r="J675" t="s">
        <v>1348</v>
      </c>
    </row>
    <row r="676" spans="10:10" x14ac:dyDescent="0.25">
      <c r="J676" t="s">
        <v>1350</v>
      </c>
    </row>
    <row r="677" spans="10:10" x14ac:dyDescent="0.25">
      <c r="J677" t="s">
        <v>1352</v>
      </c>
    </row>
    <row r="678" spans="10:10" x14ac:dyDescent="0.25">
      <c r="J678" t="s">
        <v>1354</v>
      </c>
    </row>
    <row r="679" spans="10:10" x14ac:dyDescent="0.25">
      <c r="J679" t="s">
        <v>1356</v>
      </c>
    </row>
    <row r="680" spans="10:10" x14ac:dyDescent="0.25">
      <c r="J680" t="s">
        <v>1358</v>
      </c>
    </row>
    <row r="681" spans="10:10" x14ac:dyDescent="0.25">
      <c r="J681" t="s">
        <v>1360</v>
      </c>
    </row>
    <row r="682" spans="10:10" x14ac:dyDescent="0.25">
      <c r="J682" t="s">
        <v>1362</v>
      </c>
    </row>
    <row r="683" spans="10:10" x14ac:dyDescent="0.25">
      <c r="J683" t="s">
        <v>1364</v>
      </c>
    </row>
    <row r="684" spans="10:10" x14ac:dyDescent="0.25">
      <c r="J684" t="s">
        <v>1366</v>
      </c>
    </row>
    <row r="685" spans="10:10" x14ac:dyDescent="0.25">
      <c r="J685" t="s">
        <v>1368</v>
      </c>
    </row>
    <row r="686" spans="10:10" x14ac:dyDescent="0.25">
      <c r="J686" t="s">
        <v>1370</v>
      </c>
    </row>
    <row r="687" spans="10:10" x14ac:dyDescent="0.25">
      <c r="J687" t="s">
        <v>1372</v>
      </c>
    </row>
    <row r="688" spans="10:10" x14ac:dyDescent="0.25">
      <c r="J688" t="s">
        <v>1374</v>
      </c>
    </row>
    <row r="689" spans="10:10" x14ac:dyDescent="0.25">
      <c r="J689" t="s">
        <v>1376</v>
      </c>
    </row>
    <row r="690" spans="10:10" x14ac:dyDescent="0.25">
      <c r="J690" t="s">
        <v>1378</v>
      </c>
    </row>
    <row r="691" spans="10:10" x14ac:dyDescent="0.25">
      <c r="J691" t="s">
        <v>1380</v>
      </c>
    </row>
    <row r="692" spans="10:10" x14ac:dyDescent="0.25">
      <c r="J692" t="s">
        <v>1382</v>
      </c>
    </row>
    <row r="693" spans="10:10" x14ac:dyDescent="0.25">
      <c r="J693" t="s">
        <v>1384</v>
      </c>
    </row>
    <row r="694" spans="10:10" x14ac:dyDescent="0.25">
      <c r="J694" t="s">
        <v>1386</v>
      </c>
    </row>
    <row r="695" spans="10:10" x14ac:dyDescent="0.25">
      <c r="J695" t="s">
        <v>1388</v>
      </c>
    </row>
    <row r="696" spans="10:10" x14ac:dyDescent="0.25">
      <c r="J696" t="s">
        <v>1390</v>
      </c>
    </row>
    <row r="697" spans="10:10" x14ac:dyDescent="0.25">
      <c r="J697" t="s">
        <v>1392</v>
      </c>
    </row>
    <row r="698" spans="10:10" x14ac:dyDescent="0.25">
      <c r="J698" t="s">
        <v>1394</v>
      </c>
    </row>
    <row r="699" spans="10:10" x14ac:dyDescent="0.25">
      <c r="J699" t="s">
        <v>1396</v>
      </c>
    </row>
    <row r="700" spans="10:10" x14ac:dyDescent="0.25">
      <c r="J700" t="s">
        <v>1398</v>
      </c>
    </row>
    <row r="701" spans="10:10" x14ac:dyDescent="0.25">
      <c r="J701" t="s">
        <v>1400</v>
      </c>
    </row>
    <row r="702" spans="10:10" x14ac:dyDescent="0.25">
      <c r="J702" t="s">
        <v>1402</v>
      </c>
    </row>
    <row r="703" spans="10:10" x14ac:dyDescent="0.25">
      <c r="J703" t="s">
        <v>1404</v>
      </c>
    </row>
    <row r="704" spans="10:10" x14ac:dyDescent="0.25">
      <c r="J704" t="s">
        <v>1406</v>
      </c>
    </row>
    <row r="705" spans="10:10" x14ac:dyDescent="0.25">
      <c r="J705" t="s">
        <v>1408</v>
      </c>
    </row>
    <row r="706" spans="10:10" x14ac:dyDescent="0.25">
      <c r="J706" t="s">
        <v>1410</v>
      </c>
    </row>
    <row r="707" spans="10:10" x14ac:dyDescent="0.25">
      <c r="J707" t="s">
        <v>1412</v>
      </c>
    </row>
    <row r="708" spans="10:10" x14ac:dyDescent="0.25">
      <c r="J708" t="s">
        <v>1414</v>
      </c>
    </row>
    <row r="709" spans="10:10" x14ac:dyDescent="0.25">
      <c r="J709" t="s">
        <v>1416</v>
      </c>
    </row>
    <row r="710" spans="10:10" x14ac:dyDescent="0.25">
      <c r="J710" t="s">
        <v>1418</v>
      </c>
    </row>
    <row r="711" spans="10:10" x14ac:dyDescent="0.25">
      <c r="J711" t="s">
        <v>1420</v>
      </c>
    </row>
    <row r="712" spans="10:10" x14ac:dyDescent="0.25">
      <c r="J712" t="s">
        <v>1422</v>
      </c>
    </row>
    <row r="713" spans="10:10" x14ac:dyDescent="0.25">
      <c r="J713" t="s">
        <v>1424</v>
      </c>
    </row>
    <row r="714" spans="10:10" x14ac:dyDescent="0.25">
      <c r="J714" t="s">
        <v>1426</v>
      </c>
    </row>
    <row r="715" spans="10:10" x14ac:dyDescent="0.25">
      <c r="J715" t="s">
        <v>1428</v>
      </c>
    </row>
    <row r="716" spans="10:10" x14ac:dyDescent="0.25">
      <c r="J716" t="s">
        <v>1430</v>
      </c>
    </row>
    <row r="717" spans="10:10" x14ac:dyDescent="0.25">
      <c r="J717" t="s">
        <v>1432</v>
      </c>
    </row>
    <row r="718" spans="10:10" x14ac:dyDescent="0.25">
      <c r="J718" t="s">
        <v>1434</v>
      </c>
    </row>
    <row r="719" spans="10:10" x14ac:dyDescent="0.25">
      <c r="J719" t="s">
        <v>1436</v>
      </c>
    </row>
    <row r="720" spans="10:10" x14ac:dyDescent="0.25">
      <c r="J720" t="s">
        <v>1438</v>
      </c>
    </row>
    <row r="721" spans="10:10" x14ac:dyDescent="0.25">
      <c r="J721" t="s">
        <v>1440</v>
      </c>
    </row>
    <row r="722" spans="10:10" x14ac:dyDescent="0.25">
      <c r="J722" t="s">
        <v>1442</v>
      </c>
    </row>
    <row r="723" spans="10:10" x14ac:dyDescent="0.25">
      <c r="J723" t="s">
        <v>1444</v>
      </c>
    </row>
    <row r="724" spans="10:10" x14ac:dyDescent="0.25">
      <c r="J724" t="s">
        <v>1446</v>
      </c>
    </row>
    <row r="725" spans="10:10" x14ac:dyDescent="0.25">
      <c r="J725" t="s">
        <v>1448</v>
      </c>
    </row>
    <row r="726" spans="10:10" x14ac:dyDescent="0.25">
      <c r="J726" t="s">
        <v>1450</v>
      </c>
    </row>
    <row r="727" spans="10:10" x14ac:dyDescent="0.25">
      <c r="J727" t="s">
        <v>1452</v>
      </c>
    </row>
    <row r="728" spans="10:10" x14ac:dyDescent="0.25">
      <c r="J728" t="s">
        <v>1454</v>
      </c>
    </row>
    <row r="729" spans="10:10" x14ac:dyDescent="0.25">
      <c r="J729" t="s">
        <v>1456</v>
      </c>
    </row>
    <row r="730" spans="10:10" x14ac:dyDescent="0.25">
      <c r="J730" t="s">
        <v>1458</v>
      </c>
    </row>
    <row r="731" spans="10:10" x14ac:dyDescent="0.25">
      <c r="J731" t="s">
        <v>1460</v>
      </c>
    </row>
    <row r="732" spans="10:10" x14ac:dyDescent="0.25">
      <c r="J732" t="s">
        <v>1462</v>
      </c>
    </row>
    <row r="733" spans="10:10" x14ac:dyDescent="0.25">
      <c r="J733" t="s">
        <v>1464</v>
      </c>
    </row>
    <row r="734" spans="10:10" x14ac:dyDescent="0.25">
      <c r="J734" t="s">
        <v>1466</v>
      </c>
    </row>
    <row r="735" spans="10:10" x14ac:dyDescent="0.25">
      <c r="J735" t="s">
        <v>1468</v>
      </c>
    </row>
    <row r="736" spans="10:10" x14ac:dyDescent="0.25">
      <c r="J736" t="s">
        <v>1470</v>
      </c>
    </row>
    <row r="737" spans="10:10" x14ac:dyDescent="0.25">
      <c r="J737" t="s">
        <v>1472</v>
      </c>
    </row>
    <row r="738" spans="10:10" x14ac:dyDescent="0.25">
      <c r="J738" t="s">
        <v>1474</v>
      </c>
    </row>
    <row r="739" spans="10:10" x14ac:dyDescent="0.25">
      <c r="J739" t="s">
        <v>1476</v>
      </c>
    </row>
    <row r="740" spans="10:10" x14ac:dyDescent="0.25">
      <c r="J740" t="s">
        <v>1478</v>
      </c>
    </row>
    <row r="741" spans="10:10" x14ac:dyDescent="0.25">
      <c r="J741" t="s">
        <v>1480</v>
      </c>
    </row>
    <row r="742" spans="10:10" x14ac:dyDescent="0.25">
      <c r="J742" t="s">
        <v>1482</v>
      </c>
    </row>
    <row r="743" spans="10:10" x14ac:dyDescent="0.25">
      <c r="J743" t="s">
        <v>1484</v>
      </c>
    </row>
    <row r="744" spans="10:10" x14ac:dyDescent="0.25">
      <c r="J744" t="s">
        <v>1486</v>
      </c>
    </row>
    <row r="745" spans="10:10" x14ac:dyDescent="0.25">
      <c r="J745" t="s">
        <v>1488</v>
      </c>
    </row>
    <row r="746" spans="10:10" x14ac:dyDescent="0.25">
      <c r="J746" t="s">
        <v>1490</v>
      </c>
    </row>
    <row r="747" spans="10:10" x14ac:dyDescent="0.25">
      <c r="J747" t="s">
        <v>1492</v>
      </c>
    </row>
    <row r="748" spans="10:10" x14ac:dyDescent="0.25">
      <c r="J748" t="s">
        <v>1494</v>
      </c>
    </row>
    <row r="749" spans="10:10" x14ac:dyDescent="0.25">
      <c r="J749" t="s">
        <v>1496</v>
      </c>
    </row>
    <row r="750" spans="10:10" x14ac:dyDescent="0.25">
      <c r="J750" t="s">
        <v>1498</v>
      </c>
    </row>
    <row r="751" spans="10:10" x14ac:dyDescent="0.25">
      <c r="J751" t="s">
        <v>1500</v>
      </c>
    </row>
    <row r="752" spans="10:10" x14ac:dyDescent="0.25">
      <c r="J752" t="s">
        <v>1502</v>
      </c>
    </row>
    <row r="753" spans="10:10" x14ac:dyDescent="0.25">
      <c r="J753" t="s">
        <v>1504</v>
      </c>
    </row>
    <row r="754" spans="10:10" x14ac:dyDescent="0.25">
      <c r="J754" t="s">
        <v>1506</v>
      </c>
    </row>
    <row r="755" spans="10:10" x14ac:dyDescent="0.25">
      <c r="J755" t="s">
        <v>1508</v>
      </c>
    </row>
    <row r="756" spans="10:10" x14ac:dyDescent="0.25">
      <c r="J756" t="s">
        <v>1510</v>
      </c>
    </row>
    <row r="757" spans="10:10" x14ac:dyDescent="0.25">
      <c r="J757" t="s">
        <v>1512</v>
      </c>
    </row>
    <row r="758" spans="10:10" x14ac:dyDescent="0.25">
      <c r="J758" t="s">
        <v>1514</v>
      </c>
    </row>
    <row r="759" spans="10:10" x14ac:dyDescent="0.25">
      <c r="J759" t="s">
        <v>1516</v>
      </c>
    </row>
    <row r="760" spans="10:10" x14ac:dyDescent="0.25">
      <c r="J760" t="s">
        <v>1518</v>
      </c>
    </row>
    <row r="761" spans="10:10" x14ac:dyDescent="0.25">
      <c r="J761" t="s">
        <v>1520</v>
      </c>
    </row>
    <row r="762" spans="10:10" x14ac:dyDescent="0.25">
      <c r="J762" t="s">
        <v>1522</v>
      </c>
    </row>
    <row r="763" spans="10:10" x14ac:dyDescent="0.25">
      <c r="J763" t="s">
        <v>1524</v>
      </c>
    </row>
    <row r="764" spans="10:10" x14ac:dyDescent="0.25">
      <c r="J764" t="s">
        <v>1526</v>
      </c>
    </row>
    <row r="765" spans="10:10" x14ac:dyDescent="0.25">
      <c r="J765" t="s">
        <v>1528</v>
      </c>
    </row>
    <row r="766" spans="10:10" x14ac:dyDescent="0.25">
      <c r="J766" t="s">
        <v>1530</v>
      </c>
    </row>
    <row r="767" spans="10:10" x14ac:dyDescent="0.25">
      <c r="J767" t="s">
        <v>1532</v>
      </c>
    </row>
    <row r="768" spans="10:10" x14ac:dyDescent="0.25">
      <c r="J768" t="s">
        <v>1534</v>
      </c>
    </row>
    <row r="769" spans="10:10" x14ac:dyDescent="0.25">
      <c r="J769" t="s">
        <v>1536</v>
      </c>
    </row>
    <row r="770" spans="10:10" x14ac:dyDescent="0.25">
      <c r="J770" t="s">
        <v>1538</v>
      </c>
    </row>
    <row r="771" spans="10:10" x14ac:dyDescent="0.25">
      <c r="J771" t="s">
        <v>1540</v>
      </c>
    </row>
    <row r="772" spans="10:10" x14ac:dyDescent="0.25">
      <c r="J772" t="s">
        <v>1542</v>
      </c>
    </row>
    <row r="773" spans="10:10" x14ac:dyDescent="0.25">
      <c r="J773" t="s">
        <v>1544</v>
      </c>
    </row>
    <row r="774" spans="10:10" x14ac:dyDescent="0.25">
      <c r="J774" t="s">
        <v>1546</v>
      </c>
    </row>
    <row r="775" spans="10:10" x14ac:dyDescent="0.25">
      <c r="J775" t="s">
        <v>1548</v>
      </c>
    </row>
    <row r="776" spans="10:10" x14ac:dyDescent="0.25">
      <c r="J776" t="s">
        <v>1550</v>
      </c>
    </row>
    <row r="777" spans="10:10" x14ac:dyDescent="0.25">
      <c r="J777" t="s">
        <v>1552</v>
      </c>
    </row>
    <row r="778" spans="10:10" x14ac:dyDescent="0.25">
      <c r="J778" t="s">
        <v>1554</v>
      </c>
    </row>
    <row r="779" spans="10:10" x14ac:dyDescent="0.25">
      <c r="J779" t="s">
        <v>1556</v>
      </c>
    </row>
    <row r="780" spans="10:10" x14ac:dyDescent="0.25">
      <c r="J780" t="s">
        <v>1558</v>
      </c>
    </row>
    <row r="781" spans="10:10" x14ac:dyDescent="0.25">
      <c r="J781" t="s">
        <v>1560</v>
      </c>
    </row>
    <row r="782" spans="10:10" x14ac:dyDescent="0.25">
      <c r="J782" t="s">
        <v>1562</v>
      </c>
    </row>
    <row r="783" spans="10:10" x14ac:dyDescent="0.25">
      <c r="J783" t="s">
        <v>1564</v>
      </c>
    </row>
    <row r="784" spans="10:10" x14ac:dyDescent="0.25">
      <c r="J784" t="s">
        <v>1566</v>
      </c>
    </row>
    <row r="785" spans="10:10" x14ac:dyDescent="0.25">
      <c r="J785" t="s">
        <v>1568</v>
      </c>
    </row>
    <row r="786" spans="10:10" x14ac:dyDescent="0.25">
      <c r="J786" t="s">
        <v>1570</v>
      </c>
    </row>
    <row r="787" spans="10:10" x14ac:dyDescent="0.25">
      <c r="J787" t="s">
        <v>1572</v>
      </c>
    </row>
    <row r="788" spans="10:10" x14ac:dyDescent="0.25">
      <c r="J788" t="s">
        <v>1574</v>
      </c>
    </row>
    <row r="789" spans="10:10" x14ac:dyDescent="0.25">
      <c r="J789" t="s">
        <v>1576</v>
      </c>
    </row>
    <row r="790" spans="10:10" x14ac:dyDescent="0.25">
      <c r="J790" t="s">
        <v>1578</v>
      </c>
    </row>
    <row r="791" spans="10:10" x14ac:dyDescent="0.25">
      <c r="J791" t="s">
        <v>1580</v>
      </c>
    </row>
    <row r="792" spans="10:10" x14ac:dyDescent="0.25">
      <c r="J792" t="s">
        <v>1582</v>
      </c>
    </row>
    <row r="793" spans="10:10" x14ac:dyDescent="0.25">
      <c r="J793" t="s">
        <v>1584</v>
      </c>
    </row>
    <row r="794" spans="10:10" x14ac:dyDescent="0.25">
      <c r="J794" t="s">
        <v>1586</v>
      </c>
    </row>
    <row r="795" spans="10:10" x14ac:dyDescent="0.25">
      <c r="J795" t="s">
        <v>1588</v>
      </c>
    </row>
    <row r="796" spans="10:10" x14ac:dyDescent="0.25">
      <c r="J796" t="s">
        <v>1590</v>
      </c>
    </row>
    <row r="797" spans="10:10" x14ac:dyDescent="0.25">
      <c r="J797" t="s">
        <v>232</v>
      </c>
    </row>
    <row r="798" spans="10:10" x14ac:dyDescent="0.25">
      <c r="J798" t="s">
        <v>234</v>
      </c>
    </row>
    <row r="799" spans="10:10" x14ac:dyDescent="0.25">
      <c r="J799" t="s">
        <v>236</v>
      </c>
    </row>
    <row r="800" spans="10:10" x14ac:dyDescent="0.25">
      <c r="J800" t="s">
        <v>238</v>
      </c>
    </row>
    <row r="801" spans="10:10" x14ac:dyDescent="0.25">
      <c r="J801" t="s">
        <v>240</v>
      </c>
    </row>
    <row r="802" spans="10:10" x14ac:dyDescent="0.25">
      <c r="J802" t="s">
        <v>1597</v>
      </c>
    </row>
    <row r="803" spans="10:10" x14ac:dyDescent="0.25">
      <c r="J803" t="s">
        <v>1599</v>
      </c>
    </row>
    <row r="804" spans="10:10" x14ac:dyDescent="0.25">
      <c r="J804" t="s">
        <v>1601</v>
      </c>
    </row>
    <row r="805" spans="10:10" x14ac:dyDescent="0.25">
      <c r="J805" t="s">
        <v>1603</v>
      </c>
    </row>
    <row r="806" spans="10:10" x14ac:dyDescent="0.25">
      <c r="J806" t="s">
        <v>1605</v>
      </c>
    </row>
    <row r="807" spans="10:10" x14ac:dyDescent="0.25">
      <c r="J807" t="s">
        <v>1607</v>
      </c>
    </row>
    <row r="808" spans="10:10" x14ac:dyDescent="0.25">
      <c r="J808" t="s">
        <v>1609</v>
      </c>
    </row>
    <row r="809" spans="10:10" x14ac:dyDescent="0.25">
      <c r="J809" t="s">
        <v>1611</v>
      </c>
    </row>
    <row r="810" spans="10:10" x14ac:dyDescent="0.25">
      <c r="J810" t="s">
        <v>1613</v>
      </c>
    </row>
    <row r="811" spans="10:10" x14ac:dyDescent="0.25">
      <c r="J811" t="s">
        <v>1615</v>
      </c>
    </row>
    <row r="812" spans="10:10" x14ac:dyDescent="0.25">
      <c r="J812" t="s">
        <v>1617</v>
      </c>
    </row>
    <row r="813" spans="10:10" x14ac:dyDescent="0.25">
      <c r="J813" t="s">
        <v>1619</v>
      </c>
    </row>
    <row r="814" spans="10:10" x14ac:dyDescent="0.25">
      <c r="J814" t="s">
        <v>1621</v>
      </c>
    </row>
    <row r="815" spans="10:10" x14ac:dyDescent="0.25">
      <c r="J815" t="s">
        <v>1623</v>
      </c>
    </row>
    <row r="816" spans="10:10" x14ac:dyDescent="0.25">
      <c r="J816" t="s">
        <v>1609</v>
      </c>
    </row>
    <row r="817" spans="10:10" x14ac:dyDescent="0.25">
      <c r="J817" t="s">
        <v>1626</v>
      </c>
    </row>
    <row r="818" spans="10:10" x14ac:dyDescent="0.25">
      <c r="J818" t="s">
        <v>1628</v>
      </c>
    </row>
    <row r="819" spans="10:10" x14ac:dyDescent="0.25">
      <c r="J819" t="s">
        <v>1630</v>
      </c>
    </row>
    <row r="820" spans="10:10" x14ac:dyDescent="0.25">
      <c r="J820" t="s">
        <v>1632</v>
      </c>
    </row>
    <row r="821" spans="10:10" x14ac:dyDescent="0.25">
      <c r="J821" t="s">
        <v>1634</v>
      </c>
    </row>
    <row r="822" spans="10:10" x14ac:dyDescent="0.25">
      <c r="J822" t="s">
        <v>1636</v>
      </c>
    </row>
    <row r="823" spans="10:10" x14ac:dyDescent="0.25">
      <c r="J823" t="s">
        <v>1638</v>
      </c>
    </row>
    <row r="824" spans="10:10" x14ac:dyDescent="0.25">
      <c r="J824" t="s">
        <v>1640</v>
      </c>
    </row>
    <row r="825" spans="10:10" x14ac:dyDescent="0.25">
      <c r="J825" t="s">
        <v>1642</v>
      </c>
    </row>
    <row r="826" spans="10:10" x14ac:dyDescent="0.25">
      <c r="J826" t="s">
        <v>1644</v>
      </c>
    </row>
    <row r="827" spans="10:10" x14ac:dyDescent="0.25">
      <c r="J827" t="s">
        <v>1646</v>
      </c>
    </row>
    <row r="828" spans="10:10" x14ac:dyDescent="0.25">
      <c r="J828" t="s">
        <v>1648</v>
      </c>
    </row>
    <row r="829" spans="10:10" x14ac:dyDescent="0.25">
      <c r="J829" t="s">
        <v>1650</v>
      </c>
    </row>
    <row r="830" spans="10:10" x14ac:dyDescent="0.25">
      <c r="J830" t="s">
        <v>1652</v>
      </c>
    </row>
    <row r="831" spans="10:10" x14ac:dyDescent="0.25">
      <c r="J831" t="s">
        <v>1654</v>
      </c>
    </row>
    <row r="832" spans="10:10" x14ac:dyDescent="0.25">
      <c r="J832" t="s">
        <v>1656</v>
      </c>
    </row>
    <row r="833" spans="10:10" x14ac:dyDescent="0.25">
      <c r="J833" t="s">
        <v>1658</v>
      </c>
    </row>
    <row r="834" spans="10:10" x14ac:dyDescent="0.25">
      <c r="J834" t="s">
        <v>1660</v>
      </c>
    </row>
    <row r="835" spans="10:10" x14ac:dyDescent="0.25">
      <c r="J835" t="s">
        <v>1662</v>
      </c>
    </row>
    <row r="836" spans="10:10" x14ac:dyDescent="0.25">
      <c r="J836" t="s">
        <v>1664</v>
      </c>
    </row>
    <row r="837" spans="10:10" x14ac:dyDescent="0.25">
      <c r="J837" t="s">
        <v>1666</v>
      </c>
    </row>
    <row r="838" spans="10:10" x14ac:dyDescent="0.25">
      <c r="J838" t="s">
        <v>1668</v>
      </c>
    </row>
    <row r="839" spans="10:10" x14ac:dyDescent="0.25">
      <c r="J839" t="s">
        <v>1670</v>
      </c>
    </row>
    <row r="840" spans="10:10" x14ac:dyDescent="0.25">
      <c r="J840" t="s">
        <v>1672</v>
      </c>
    </row>
    <row r="841" spans="10:10" x14ac:dyDescent="0.25">
      <c r="J841" t="s">
        <v>1674</v>
      </c>
    </row>
    <row r="842" spans="10:10" x14ac:dyDescent="0.25">
      <c r="J842" t="s">
        <v>1676</v>
      </c>
    </row>
    <row r="843" spans="10:10" x14ac:dyDescent="0.25">
      <c r="J843" t="s">
        <v>1678</v>
      </c>
    </row>
    <row r="844" spans="10:10" x14ac:dyDescent="0.25">
      <c r="J844" t="s">
        <v>1680</v>
      </c>
    </row>
    <row r="845" spans="10:10" x14ac:dyDescent="0.25">
      <c r="J845" t="s">
        <v>1682</v>
      </c>
    </row>
    <row r="846" spans="10:10" x14ac:dyDescent="0.25">
      <c r="J846" t="s">
        <v>1684</v>
      </c>
    </row>
    <row r="847" spans="10:10" x14ac:dyDescent="0.25">
      <c r="J847" t="s">
        <v>1686</v>
      </c>
    </row>
    <row r="848" spans="10:10" x14ac:dyDescent="0.25">
      <c r="J848" t="s">
        <v>1688</v>
      </c>
    </row>
    <row r="849" spans="10:10" x14ac:dyDescent="0.25">
      <c r="J849" t="s">
        <v>1690</v>
      </c>
    </row>
    <row r="850" spans="10:10" x14ac:dyDescent="0.25">
      <c r="J850" t="s">
        <v>1692</v>
      </c>
    </row>
    <row r="851" spans="10:10" x14ac:dyDescent="0.25">
      <c r="J851" t="s">
        <v>1694</v>
      </c>
    </row>
    <row r="852" spans="10:10" x14ac:dyDescent="0.25">
      <c r="J852" t="s">
        <v>1696</v>
      </c>
    </row>
    <row r="853" spans="10:10" x14ac:dyDescent="0.25">
      <c r="J853" t="s">
        <v>1698</v>
      </c>
    </row>
    <row r="854" spans="10:10" x14ac:dyDescent="0.25">
      <c r="J854" t="s">
        <v>1700</v>
      </c>
    </row>
    <row r="855" spans="10:10" x14ac:dyDescent="0.25">
      <c r="J855" t="s">
        <v>1702</v>
      </c>
    </row>
    <row r="856" spans="10:10" x14ac:dyDescent="0.25">
      <c r="J856" t="s">
        <v>1704</v>
      </c>
    </row>
    <row r="857" spans="10:10" x14ac:dyDescent="0.25">
      <c r="J857" t="s">
        <v>1706</v>
      </c>
    </row>
    <row r="858" spans="10:10" x14ac:dyDescent="0.25">
      <c r="J858" t="s">
        <v>1708</v>
      </c>
    </row>
    <row r="859" spans="10:10" x14ac:dyDescent="0.25">
      <c r="J859" t="s">
        <v>1710</v>
      </c>
    </row>
    <row r="860" spans="10:10" x14ac:dyDescent="0.25">
      <c r="J860" t="s">
        <v>1712</v>
      </c>
    </row>
    <row r="861" spans="10:10" x14ac:dyDescent="0.25">
      <c r="J861" t="s">
        <v>1714</v>
      </c>
    </row>
    <row r="862" spans="10:10" x14ac:dyDescent="0.25">
      <c r="J862" t="s">
        <v>1716</v>
      </c>
    </row>
    <row r="863" spans="10:10" x14ac:dyDescent="0.25">
      <c r="J863" t="s">
        <v>1718</v>
      </c>
    </row>
    <row r="864" spans="10:10" x14ac:dyDescent="0.25">
      <c r="J864" t="s">
        <v>1720</v>
      </c>
    </row>
    <row r="865" spans="10:10" x14ac:dyDescent="0.25">
      <c r="J865" t="s">
        <v>1722</v>
      </c>
    </row>
    <row r="866" spans="10:10" x14ac:dyDescent="0.25">
      <c r="J866" t="s">
        <v>1724</v>
      </c>
    </row>
    <row r="867" spans="10:10" x14ac:dyDescent="0.25">
      <c r="J867" t="s">
        <v>1726</v>
      </c>
    </row>
    <row r="868" spans="10:10" x14ac:dyDescent="0.25">
      <c r="J868" t="s">
        <v>1728</v>
      </c>
    </row>
    <row r="869" spans="10:10" x14ac:dyDescent="0.25">
      <c r="J869" t="s">
        <v>1730</v>
      </c>
    </row>
    <row r="870" spans="10:10" x14ac:dyDescent="0.25">
      <c r="J870" t="s">
        <v>1732</v>
      </c>
    </row>
    <row r="871" spans="10:10" x14ac:dyDescent="0.25">
      <c r="J871" t="s">
        <v>1734</v>
      </c>
    </row>
    <row r="872" spans="10:10" x14ac:dyDescent="0.25">
      <c r="J872" t="s">
        <v>1736</v>
      </c>
    </row>
    <row r="873" spans="10:10" x14ac:dyDescent="0.25">
      <c r="J873" t="s">
        <v>1738</v>
      </c>
    </row>
    <row r="874" spans="10:10" x14ac:dyDescent="0.25">
      <c r="J874" t="s">
        <v>1740</v>
      </c>
    </row>
    <row r="875" spans="10:10" x14ac:dyDescent="0.25">
      <c r="J875" t="s">
        <v>1742</v>
      </c>
    </row>
    <row r="876" spans="10:10" x14ac:dyDescent="0.25">
      <c r="J876" t="s">
        <v>1744</v>
      </c>
    </row>
    <row r="877" spans="10:10" x14ac:dyDescent="0.25">
      <c r="J877" t="s">
        <v>1746</v>
      </c>
    </row>
    <row r="878" spans="10:10" x14ac:dyDescent="0.25">
      <c r="J878" t="s">
        <v>1748</v>
      </c>
    </row>
    <row r="879" spans="10:10" x14ac:dyDescent="0.25">
      <c r="J879" t="s">
        <v>1750</v>
      </c>
    </row>
    <row r="880" spans="10:10" x14ac:dyDescent="0.25">
      <c r="J880" t="s">
        <v>1752</v>
      </c>
    </row>
    <row r="881" spans="10:10" x14ac:dyDescent="0.25">
      <c r="J881" t="s">
        <v>1754</v>
      </c>
    </row>
    <row r="882" spans="10:10" x14ac:dyDescent="0.25">
      <c r="J882" t="s">
        <v>1756</v>
      </c>
    </row>
    <row r="883" spans="10:10" x14ac:dyDescent="0.25">
      <c r="J883" t="s">
        <v>1758</v>
      </c>
    </row>
    <row r="884" spans="10:10" x14ac:dyDescent="0.25">
      <c r="J884" t="s">
        <v>1760</v>
      </c>
    </row>
    <row r="885" spans="10:10" x14ac:dyDescent="0.25">
      <c r="J885" t="s">
        <v>1762</v>
      </c>
    </row>
    <row r="886" spans="10:10" x14ac:dyDescent="0.25">
      <c r="J886" t="s">
        <v>1764</v>
      </c>
    </row>
    <row r="887" spans="10:10" x14ac:dyDescent="0.25">
      <c r="J887" t="s">
        <v>1766</v>
      </c>
    </row>
    <row r="888" spans="10:10" x14ac:dyDescent="0.25">
      <c r="J888" t="s">
        <v>1768</v>
      </c>
    </row>
    <row r="889" spans="10:10" x14ac:dyDescent="0.25">
      <c r="J889" t="s">
        <v>1770</v>
      </c>
    </row>
    <row r="890" spans="10:10" x14ac:dyDescent="0.25">
      <c r="J890" t="s">
        <v>1772</v>
      </c>
    </row>
    <row r="891" spans="10:10" x14ac:dyDescent="0.25">
      <c r="J891" t="s">
        <v>1774</v>
      </c>
    </row>
    <row r="892" spans="10:10" x14ac:dyDescent="0.25">
      <c r="J892" t="s">
        <v>1776</v>
      </c>
    </row>
    <row r="893" spans="10:10" x14ac:dyDescent="0.25">
      <c r="J893" t="s">
        <v>1778</v>
      </c>
    </row>
    <row r="894" spans="10:10" x14ac:dyDescent="0.25">
      <c r="J894" t="s">
        <v>1780</v>
      </c>
    </row>
    <row r="895" spans="10:10" x14ac:dyDescent="0.25">
      <c r="J895" t="s">
        <v>1782</v>
      </c>
    </row>
    <row r="896" spans="10:10" x14ac:dyDescent="0.25">
      <c r="J896" t="s">
        <v>1784</v>
      </c>
    </row>
    <row r="897" spans="10:10" x14ac:dyDescent="0.25">
      <c r="J897" t="s">
        <v>1786</v>
      </c>
    </row>
    <row r="898" spans="10:10" x14ac:dyDescent="0.25">
      <c r="J898" t="s">
        <v>1788</v>
      </c>
    </row>
    <row r="899" spans="10:10" x14ac:dyDescent="0.25">
      <c r="J899" t="s">
        <v>1790</v>
      </c>
    </row>
    <row r="900" spans="10:10" x14ac:dyDescent="0.25">
      <c r="J900" t="s">
        <v>1792</v>
      </c>
    </row>
    <row r="901" spans="10:10" x14ac:dyDescent="0.25">
      <c r="J901" t="s">
        <v>1794</v>
      </c>
    </row>
    <row r="902" spans="10:10" x14ac:dyDescent="0.25">
      <c r="J902" t="s">
        <v>1796</v>
      </c>
    </row>
    <row r="903" spans="10:10" x14ac:dyDescent="0.25">
      <c r="J903" t="s">
        <v>1798</v>
      </c>
    </row>
    <row r="904" spans="10:10" x14ac:dyDescent="0.25">
      <c r="J904" t="s">
        <v>1800</v>
      </c>
    </row>
    <row r="905" spans="10:10" x14ac:dyDescent="0.25">
      <c r="J905" t="s">
        <v>1802</v>
      </c>
    </row>
    <row r="906" spans="10:10" x14ac:dyDescent="0.25">
      <c r="J906" t="s">
        <v>1804</v>
      </c>
    </row>
    <row r="907" spans="10:10" x14ac:dyDescent="0.25">
      <c r="J907" t="s">
        <v>1806</v>
      </c>
    </row>
    <row r="908" spans="10:10" x14ac:dyDescent="0.25">
      <c r="J908" t="s">
        <v>1808</v>
      </c>
    </row>
    <row r="909" spans="10:10" x14ac:dyDescent="0.25">
      <c r="J909" t="s">
        <v>1810</v>
      </c>
    </row>
    <row r="910" spans="10:10" x14ac:dyDescent="0.25">
      <c r="J910" t="s">
        <v>1812</v>
      </c>
    </row>
    <row r="911" spans="10:10" x14ac:dyDescent="0.25">
      <c r="J911" t="s">
        <v>1814</v>
      </c>
    </row>
    <row r="912" spans="10:10" x14ac:dyDescent="0.25">
      <c r="J912" t="s">
        <v>1816</v>
      </c>
    </row>
    <row r="913" spans="10:10" x14ac:dyDescent="0.25">
      <c r="J913" t="s">
        <v>1818</v>
      </c>
    </row>
    <row r="914" spans="10:10" x14ac:dyDescent="0.25">
      <c r="J914" t="s">
        <v>1820</v>
      </c>
    </row>
    <row r="915" spans="10:10" x14ac:dyDescent="0.25">
      <c r="J915" t="s">
        <v>1822</v>
      </c>
    </row>
    <row r="916" spans="10:10" x14ac:dyDescent="0.25">
      <c r="J916" t="s">
        <v>1824</v>
      </c>
    </row>
    <row r="917" spans="10:10" x14ac:dyDescent="0.25">
      <c r="J917" t="s">
        <v>1826</v>
      </c>
    </row>
    <row r="918" spans="10:10" x14ac:dyDescent="0.25">
      <c r="J918" t="s">
        <v>1828</v>
      </c>
    </row>
    <row r="919" spans="10:10" x14ac:dyDescent="0.25">
      <c r="J919" t="s">
        <v>1830</v>
      </c>
    </row>
    <row r="920" spans="10:10" x14ac:dyDescent="0.25">
      <c r="J920" t="s">
        <v>1832</v>
      </c>
    </row>
    <row r="921" spans="10:10" x14ac:dyDescent="0.25">
      <c r="J921" t="s">
        <v>1834</v>
      </c>
    </row>
    <row r="922" spans="10:10" x14ac:dyDescent="0.25">
      <c r="J922" t="s">
        <v>1836</v>
      </c>
    </row>
    <row r="923" spans="10:10" x14ac:dyDescent="0.25">
      <c r="J923" t="s">
        <v>1838</v>
      </c>
    </row>
    <row r="924" spans="10:10" x14ac:dyDescent="0.25">
      <c r="J924" t="s">
        <v>1840</v>
      </c>
    </row>
    <row r="925" spans="10:10" x14ac:dyDescent="0.25">
      <c r="J925" t="s">
        <v>1842</v>
      </c>
    </row>
    <row r="926" spans="10:10" x14ac:dyDescent="0.25">
      <c r="J926" t="s">
        <v>1844</v>
      </c>
    </row>
    <row r="927" spans="10:10" x14ac:dyDescent="0.25">
      <c r="J927" t="s">
        <v>1846</v>
      </c>
    </row>
    <row r="928" spans="10:10" x14ac:dyDescent="0.25">
      <c r="J928" t="s">
        <v>1848</v>
      </c>
    </row>
    <row r="929" spans="10:10" x14ac:dyDescent="0.25">
      <c r="J929" t="s">
        <v>1850</v>
      </c>
    </row>
    <row r="930" spans="10:10" x14ac:dyDescent="0.25">
      <c r="J930" t="s">
        <v>1852</v>
      </c>
    </row>
    <row r="931" spans="10:10" x14ac:dyDescent="0.25">
      <c r="J931" t="s">
        <v>1854</v>
      </c>
    </row>
    <row r="932" spans="10:10" x14ac:dyDescent="0.25">
      <c r="J932" t="s">
        <v>1856</v>
      </c>
    </row>
    <row r="933" spans="10:10" x14ac:dyDescent="0.25">
      <c r="J933" t="s">
        <v>1858</v>
      </c>
    </row>
    <row r="934" spans="10:10" x14ac:dyDescent="0.25">
      <c r="J934" t="s">
        <v>1860</v>
      </c>
    </row>
    <row r="935" spans="10:10" x14ac:dyDescent="0.25">
      <c r="J935" t="s">
        <v>1862</v>
      </c>
    </row>
    <row r="936" spans="10:10" x14ac:dyDescent="0.25">
      <c r="J936" t="s">
        <v>1864</v>
      </c>
    </row>
    <row r="937" spans="10:10" x14ac:dyDescent="0.25">
      <c r="J937" t="s">
        <v>1866</v>
      </c>
    </row>
    <row r="938" spans="10:10" x14ac:dyDescent="0.25">
      <c r="J938" t="s">
        <v>1868</v>
      </c>
    </row>
    <row r="939" spans="10:10" x14ac:dyDescent="0.25">
      <c r="J939" t="s">
        <v>1870</v>
      </c>
    </row>
    <row r="940" spans="10:10" x14ac:dyDescent="0.25">
      <c r="J940" t="s">
        <v>1872</v>
      </c>
    </row>
    <row r="941" spans="10:10" x14ac:dyDescent="0.25">
      <c r="J941" t="s">
        <v>1874</v>
      </c>
    </row>
    <row r="942" spans="10:10" x14ac:dyDescent="0.25">
      <c r="J942" t="s">
        <v>1876</v>
      </c>
    </row>
    <row r="943" spans="10:10" x14ac:dyDescent="0.25">
      <c r="J943" t="s">
        <v>1878</v>
      </c>
    </row>
    <row r="944" spans="10:10" x14ac:dyDescent="0.25">
      <c r="J944" t="s">
        <v>1880</v>
      </c>
    </row>
    <row r="945" spans="10:10" x14ac:dyDescent="0.25">
      <c r="J945" t="s">
        <v>1882</v>
      </c>
    </row>
    <row r="946" spans="10:10" x14ac:dyDescent="0.25">
      <c r="J946" t="s">
        <v>1884</v>
      </c>
    </row>
    <row r="947" spans="10:10" x14ac:dyDescent="0.25">
      <c r="J947" t="s">
        <v>1886</v>
      </c>
    </row>
    <row r="948" spans="10:10" x14ac:dyDescent="0.25">
      <c r="J948" t="s">
        <v>1888</v>
      </c>
    </row>
    <row r="949" spans="10:10" x14ac:dyDescent="0.25">
      <c r="J949" t="s">
        <v>1890</v>
      </c>
    </row>
    <row r="950" spans="10:10" x14ac:dyDescent="0.25">
      <c r="J950" t="s">
        <v>1892</v>
      </c>
    </row>
    <row r="951" spans="10:10" x14ac:dyDescent="0.25">
      <c r="J951" t="s">
        <v>1894</v>
      </c>
    </row>
    <row r="952" spans="10:10" x14ac:dyDescent="0.25">
      <c r="J952" t="s">
        <v>1896</v>
      </c>
    </row>
    <row r="953" spans="10:10" x14ac:dyDescent="0.25">
      <c r="J953" t="s">
        <v>1898</v>
      </c>
    </row>
    <row r="954" spans="10:10" x14ac:dyDescent="0.25">
      <c r="J954" t="s">
        <v>1900</v>
      </c>
    </row>
    <row r="955" spans="10:10" x14ac:dyDescent="0.25">
      <c r="J955" t="s">
        <v>1902</v>
      </c>
    </row>
    <row r="956" spans="10:10" x14ac:dyDescent="0.25">
      <c r="J956" t="s">
        <v>1904</v>
      </c>
    </row>
    <row r="957" spans="10:10" x14ac:dyDescent="0.25">
      <c r="J957" t="s">
        <v>1906</v>
      </c>
    </row>
    <row r="958" spans="10:10" x14ac:dyDescent="0.25">
      <c r="J958" t="s">
        <v>1908</v>
      </c>
    </row>
    <row r="959" spans="10:10" x14ac:dyDescent="0.25">
      <c r="J959" t="s">
        <v>1910</v>
      </c>
    </row>
    <row r="960" spans="10:10" x14ac:dyDescent="0.25">
      <c r="J960" t="s">
        <v>1912</v>
      </c>
    </row>
    <row r="961" spans="10:10" x14ac:dyDescent="0.25">
      <c r="J961" t="s">
        <v>1914</v>
      </c>
    </row>
    <row r="962" spans="10:10" x14ac:dyDescent="0.25">
      <c r="J962" t="s">
        <v>1916</v>
      </c>
    </row>
    <row r="963" spans="10:10" x14ac:dyDescent="0.25">
      <c r="J963" t="s">
        <v>1918</v>
      </c>
    </row>
    <row r="964" spans="10:10" x14ac:dyDescent="0.25">
      <c r="J964" t="s">
        <v>1920</v>
      </c>
    </row>
    <row r="965" spans="10:10" x14ac:dyDescent="0.25">
      <c r="J965" t="s">
        <v>1922</v>
      </c>
    </row>
    <row r="966" spans="10:10" x14ac:dyDescent="0.25">
      <c r="J966" t="s">
        <v>1924</v>
      </c>
    </row>
    <row r="967" spans="10:10" x14ac:dyDescent="0.25">
      <c r="J967" t="s">
        <v>1926</v>
      </c>
    </row>
    <row r="968" spans="10:10" x14ac:dyDescent="0.25">
      <c r="J968" t="s">
        <v>1928</v>
      </c>
    </row>
    <row r="969" spans="10:10" x14ac:dyDescent="0.25">
      <c r="J969" t="s">
        <v>1930</v>
      </c>
    </row>
    <row r="970" spans="10:10" x14ac:dyDescent="0.25">
      <c r="J970" t="s">
        <v>1932</v>
      </c>
    </row>
    <row r="971" spans="10:10" x14ac:dyDescent="0.25">
      <c r="J971" t="s">
        <v>1934</v>
      </c>
    </row>
    <row r="972" spans="10:10" x14ac:dyDescent="0.25">
      <c r="J972" t="s">
        <v>1936</v>
      </c>
    </row>
    <row r="973" spans="10:10" x14ac:dyDescent="0.25">
      <c r="J973" t="s">
        <v>1938</v>
      </c>
    </row>
    <row r="974" spans="10:10" x14ac:dyDescent="0.25">
      <c r="J974" t="s">
        <v>1940</v>
      </c>
    </row>
    <row r="975" spans="10:10" x14ac:dyDescent="0.25">
      <c r="J975" t="s">
        <v>1942</v>
      </c>
    </row>
    <row r="976" spans="10:10" x14ac:dyDescent="0.25">
      <c r="J976" t="s">
        <v>1944</v>
      </c>
    </row>
    <row r="977" spans="10:10" x14ac:dyDescent="0.25">
      <c r="J977" t="s">
        <v>1946</v>
      </c>
    </row>
    <row r="978" spans="10:10" x14ac:dyDescent="0.25">
      <c r="J978" t="s">
        <v>1948</v>
      </c>
    </row>
    <row r="979" spans="10:10" x14ac:dyDescent="0.25">
      <c r="J979" t="s">
        <v>1950</v>
      </c>
    </row>
    <row r="980" spans="10:10" x14ac:dyDescent="0.25">
      <c r="J980" t="s">
        <v>1952</v>
      </c>
    </row>
    <row r="981" spans="10:10" x14ac:dyDescent="0.25">
      <c r="J981" t="s">
        <v>1954</v>
      </c>
    </row>
    <row r="982" spans="10:10" x14ac:dyDescent="0.25">
      <c r="J982" t="s">
        <v>1956</v>
      </c>
    </row>
    <row r="983" spans="10:10" x14ac:dyDescent="0.25">
      <c r="J983" t="s">
        <v>1958</v>
      </c>
    </row>
    <row r="984" spans="10:10" x14ac:dyDescent="0.25">
      <c r="J984" t="s">
        <v>2768</v>
      </c>
    </row>
    <row r="985" spans="10:10" x14ac:dyDescent="0.25">
      <c r="J985" t="s">
        <v>2769</v>
      </c>
    </row>
    <row r="986" spans="10:10" x14ac:dyDescent="0.25">
      <c r="J986" t="s">
        <v>1964</v>
      </c>
    </row>
    <row r="987" spans="10:10" x14ac:dyDescent="0.25">
      <c r="J987" t="s">
        <v>1966</v>
      </c>
    </row>
    <row r="988" spans="10:10" x14ac:dyDescent="0.25">
      <c r="J988" t="s">
        <v>1968</v>
      </c>
    </row>
    <row r="989" spans="10:10" x14ac:dyDescent="0.25">
      <c r="J989" t="s">
        <v>1970</v>
      </c>
    </row>
    <row r="990" spans="10:10" x14ac:dyDescent="0.25">
      <c r="J990" t="s">
        <v>1972</v>
      </c>
    </row>
    <row r="991" spans="10:10" x14ac:dyDescent="0.25">
      <c r="J991" t="s">
        <v>1974</v>
      </c>
    </row>
    <row r="992" spans="10:10" x14ac:dyDescent="0.25">
      <c r="J992" t="s">
        <v>1976</v>
      </c>
    </row>
    <row r="993" spans="10:10" x14ac:dyDescent="0.25">
      <c r="J993" t="s">
        <v>1978</v>
      </c>
    </row>
    <row r="994" spans="10:10" x14ac:dyDescent="0.25">
      <c r="J994" t="s">
        <v>1980</v>
      </c>
    </row>
    <row r="995" spans="10:10" x14ac:dyDescent="0.25">
      <c r="J995" t="s">
        <v>1982</v>
      </c>
    </row>
    <row r="996" spans="10:10" x14ac:dyDescent="0.25">
      <c r="J996" t="s">
        <v>1984</v>
      </c>
    </row>
    <row r="997" spans="10:10" x14ac:dyDescent="0.25">
      <c r="J997" t="s">
        <v>1986</v>
      </c>
    </row>
    <row r="998" spans="10:10" x14ac:dyDescent="0.25">
      <c r="J998" t="s">
        <v>1988</v>
      </c>
    </row>
    <row r="999" spans="10:10" x14ac:dyDescent="0.25">
      <c r="J999" t="s">
        <v>1990</v>
      </c>
    </row>
    <row r="1000" spans="10:10" x14ac:dyDescent="0.25">
      <c r="J1000" t="s">
        <v>1992</v>
      </c>
    </row>
    <row r="1001" spans="10:10" x14ac:dyDescent="0.25">
      <c r="J1001" t="s">
        <v>1994</v>
      </c>
    </row>
    <row r="1002" spans="10:10" x14ac:dyDescent="0.25">
      <c r="J1002" t="s">
        <v>1996</v>
      </c>
    </row>
    <row r="1003" spans="10:10" x14ac:dyDescent="0.25">
      <c r="J1003" t="s">
        <v>1998</v>
      </c>
    </row>
    <row r="1004" spans="10:10" x14ac:dyDescent="0.25">
      <c r="J1004" t="s">
        <v>2000</v>
      </c>
    </row>
    <row r="1005" spans="10:10" x14ac:dyDescent="0.25">
      <c r="J1005" t="s">
        <v>2002</v>
      </c>
    </row>
    <row r="1006" spans="10:10" x14ac:dyDescent="0.25">
      <c r="J1006" t="s">
        <v>2004</v>
      </c>
    </row>
    <row r="1007" spans="10:10" x14ac:dyDescent="0.25">
      <c r="J1007" t="s">
        <v>2006</v>
      </c>
    </row>
    <row r="1008" spans="10:10" x14ac:dyDescent="0.25">
      <c r="J1008" t="s">
        <v>2008</v>
      </c>
    </row>
    <row r="1009" spans="10:10" x14ac:dyDescent="0.25">
      <c r="J1009" t="s">
        <v>2010</v>
      </c>
    </row>
    <row r="1010" spans="10:10" x14ac:dyDescent="0.25">
      <c r="J1010" t="s">
        <v>2012</v>
      </c>
    </row>
    <row r="1011" spans="10:10" x14ac:dyDescent="0.25">
      <c r="J1011" t="s">
        <v>2014</v>
      </c>
    </row>
    <row r="1012" spans="10:10" x14ac:dyDescent="0.25">
      <c r="J1012" t="s">
        <v>2016</v>
      </c>
    </row>
    <row r="1013" spans="10:10" x14ac:dyDescent="0.25">
      <c r="J1013" t="s">
        <v>2018</v>
      </c>
    </row>
    <row r="1014" spans="10:10" x14ac:dyDescent="0.25">
      <c r="J1014" t="s">
        <v>2020</v>
      </c>
    </row>
    <row r="1015" spans="10:10" x14ac:dyDescent="0.25">
      <c r="J1015" t="s">
        <v>2022</v>
      </c>
    </row>
    <row r="1016" spans="10:10" x14ac:dyDescent="0.25">
      <c r="J1016" t="s">
        <v>2024</v>
      </c>
    </row>
    <row r="1017" spans="10:10" x14ac:dyDescent="0.25">
      <c r="J1017" t="s">
        <v>2026</v>
      </c>
    </row>
    <row r="1018" spans="10:10" x14ac:dyDescent="0.25">
      <c r="J1018" t="s">
        <v>2028</v>
      </c>
    </row>
    <row r="1019" spans="10:10" x14ac:dyDescent="0.25">
      <c r="J1019" t="s">
        <v>2030</v>
      </c>
    </row>
    <row r="1020" spans="10:10" x14ac:dyDescent="0.25">
      <c r="J1020" t="s">
        <v>2032</v>
      </c>
    </row>
    <row r="1021" spans="10:10" x14ac:dyDescent="0.25">
      <c r="J1021" t="s">
        <v>2034</v>
      </c>
    </row>
    <row r="1022" spans="10:10" x14ac:dyDescent="0.25">
      <c r="J1022" t="s">
        <v>2036</v>
      </c>
    </row>
    <row r="1023" spans="10:10" x14ac:dyDescent="0.25">
      <c r="J1023" t="s">
        <v>2038</v>
      </c>
    </row>
    <row r="1024" spans="10:10" x14ac:dyDescent="0.25">
      <c r="J1024" t="s">
        <v>2040</v>
      </c>
    </row>
    <row r="1025" spans="10:10" x14ac:dyDescent="0.25">
      <c r="J1025" t="s">
        <v>2042</v>
      </c>
    </row>
    <row r="1026" spans="10:10" x14ac:dyDescent="0.25">
      <c r="J1026" t="s">
        <v>2044</v>
      </c>
    </row>
    <row r="1027" spans="10:10" x14ac:dyDescent="0.25">
      <c r="J1027" t="s">
        <v>2046</v>
      </c>
    </row>
    <row r="1028" spans="10:10" x14ac:dyDescent="0.25">
      <c r="J1028" t="s">
        <v>2048</v>
      </c>
    </row>
    <row r="1029" spans="10:10" x14ac:dyDescent="0.25">
      <c r="J1029" t="s">
        <v>2050</v>
      </c>
    </row>
    <row r="1030" spans="10:10" x14ac:dyDescent="0.25">
      <c r="J1030" t="s">
        <v>2052</v>
      </c>
    </row>
    <row r="1031" spans="10:10" x14ac:dyDescent="0.25">
      <c r="J1031" t="s">
        <v>2054</v>
      </c>
    </row>
    <row r="1032" spans="10:10" x14ac:dyDescent="0.25">
      <c r="J1032" t="s">
        <v>2056</v>
      </c>
    </row>
    <row r="1033" spans="10:10" x14ac:dyDescent="0.25">
      <c r="J1033" t="s">
        <v>2058</v>
      </c>
    </row>
    <row r="1034" spans="10:10" x14ac:dyDescent="0.25">
      <c r="J1034" t="s">
        <v>2060</v>
      </c>
    </row>
    <row r="1035" spans="10:10" x14ac:dyDescent="0.25">
      <c r="J1035" t="s">
        <v>1926</v>
      </c>
    </row>
    <row r="1036" spans="10:10" x14ac:dyDescent="0.25">
      <c r="J1036" t="s">
        <v>2063</v>
      </c>
    </row>
    <row r="1037" spans="10:10" x14ac:dyDescent="0.25">
      <c r="J1037" t="s">
        <v>1924</v>
      </c>
    </row>
    <row r="1038" spans="10:10" x14ac:dyDescent="0.25">
      <c r="J1038" t="s">
        <v>2066</v>
      </c>
    </row>
    <row r="1039" spans="10:10" x14ac:dyDescent="0.25">
      <c r="J1039" t="s">
        <v>2068</v>
      </c>
    </row>
    <row r="1040" spans="10:10" x14ac:dyDescent="0.25">
      <c r="J1040" t="s">
        <v>2070</v>
      </c>
    </row>
    <row r="1041" spans="10:10" x14ac:dyDescent="0.25">
      <c r="J1041" t="s">
        <v>2072</v>
      </c>
    </row>
    <row r="1042" spans="10:10" x14ac:dyDescent="0.25">
      <c r="J1042" t="s">
        <v>2074</v>
      </c>
    </row>
    <row r="1043" spans="10:10" x14ac:dyDescent="0.25">
      <c r="J1043" t="s">
        <v>2076</v>
      </c>
    </row>
    <row r="1044" spans="10:10" x14ac:dyDescent="0.25">
      <c r="J1044" t="s">
        <v>2078</v>
      </c>
    </row>
    <row r="1045" spans="10:10" x14ac:dyDescent="0.25">
      <c r="J1045" t="s">
        <v>2080</v>
      </c>
    </row>
    <row r="1046" spans="10:10" x14ac:dyDescent="0.25">
      <c r="J1046" t="s">
        <v>2082</v>
      </c>
    </row>
    <row r="1047" spans="10:10" x14ac:dyDescent="0.25">
      <c r="J1047" t="s">
        <v>2084</v>
      </c>
    </row>
    <row r="1048" spans="10:10" x14ac:dyDescent="0.25">
      <c r="J1048" t="s">
        <v>2086</v>
      </c>
    </row>
    <row r="1049" spans="10:10" x14ac:dyDescent="0.25">
      <c r="J1049" t="s">
        <v>2088</v>
      </c>
    </row>
    <row r="1050" spans="10:10" x14ac:dyDescent="0.25">
      <c r="J1050" t="s">
        <v>2090</v>
      </c>
    </row>
    <row r="1051" spans="10:10" x14ac:dyDescent="0.25">
      <c r="J1051" t="s">
        <v>2092</v>
      </c>
    </row>
    <row r="1052" spans="10:10" x14ac:dyDescent="0.25">
      <c r="J1052" t="s">
        <v>2094</v>
      </c>
    </row>
    <row r="1053" spans="10:10" x14ac:dyDescent="0.25">
      <c r="J1053" t="s">
        <v>2096</v>
      </c>
    </row>
    <row r="1054" spans="10:10" x14ac:dyDescent="0.25">
      <c r="J1054" t="s">
        <v>2098</v>
      </c>
    </row>
    <row r="1055" spans="10:10" x14ac:dyDescent="0.25">
      <c r="J1055" t="s">
        <v>2100</v>
      </c>
    </row>
    <row r="1056" spans="10:10" x14ac:dyDescent="0.25">
      <c r="J1056" t="s">
        <v>2102</v>
      </c>
    </row>
    <row r="1057" spans="10:10" x14ac:dyDescent="0.25">
      <c r="J1057" t="s">
        <v>2104</v>
      </c>
    </row>
    <row r="1058" spans="10:10" x14ac:dyDescent="0.25">
      <c r="J1058" t="s">
        <v>2106</v>
      </c>
    </row>
    <row r="1059" spans="10:10" x14ac:dyDescent="0.25">
      <c r="J1059" t="s">
        <v>2108</v>
      </c>
    </row>
    <row r="1060" spans="10:10" x14ac:dyDescent="0.25">
      <c r="J1060" t="s">
        <v>2110</v>
      </c>
    </row>
    <row r="1061" spans="10:10" x14ac:dyDescent="0.25">
      <c r="J1061" t="s">
        <v>2112</v>
      </c>
    </row>
    <row r="1062" spans="10:10" x14ac:dyDescent="0.25">
      <c r="J1062" t="s">
        <v>2114</v>
      </c>
    </row>
    <row r="1063" spans="10:10" x14ac:dyDescent="0.25">
      <c r="J1063" t="s">
        <v>2116</v>
      </c>
    </row>
    <row r="1064" spans="10:10" x14ac:dyDescent="0.25">
      <c r="J1064" t="s">
        <v>2118</v>
      </c>
    </row>
    <row r="1065" spans="10:10" x14ac:dyDescent="0.25">
      <c r="J1065" t="s">
        <v>2120</v>
      </c>
    </row>
    <row r="1066" spans="10:10" x14ac:dyDescent="0.25">
      <c r="J1066" t="s">
        <v>2122</v>
      </c>
    </row>
    <row r="1067" spans="10:10" x14ac:dyDescent="0.25">
      <c r="J1067" t="s">
        <v>2124</v>
      </c>
    </row>
    <row r="1068" spans="10:10" x14ac:dyDescent="0.25">
      <c r="J1068" t="s">
        <v>2126</v>
      </c>
    </row>
    <row r="1069" spans="10:10" x14ac:dyDescent="0.25">
      <c r="J1069" t="s">
        <v>2128</v>
      </c>
    </row>
    <row r="1070" spans="10:10" x14ac:dyDescent="0.25">
      <c r="J1070" t="s">
        <v>2130</v>
      </c>
    </row>
    <row r="1071" spans="10:10" x14ac:dyDescent="0.25">
      <c r="J1071" t="s">
        <v>2132</v>
      </c>
    </row>
    <row r="1072" spans="10:10" x14ac:dyDescent="0.25">
      <c r="J1072" t="s">
        <v>2134</v>
      </c>
    </row>
    <row r="1073" spans="10:10" x14ac:dyDescent="0.25">
      <c r="J1073" t="s">
        <v>2136</v>
      </c>
    </row>
    <row r="1074" spans="10:10" x14ac:dyDescent="0.25">
      <c r="J1074" t="s">
        <v>2138</v>
      </c>
    </row>
    <row r="1075" spans="10:10" x14ac:dyDescent="0.25">
      <c r="J1075" t="s">
        <v>2140</v>
      </c>
    </row>
    <row r="1076" spans="10:10" x14ac:dyDescent="0.25">
      <c r="J1076" t="s">
        <v>2142</v>
      </c>
    </row>
    <row r="1077" spans="10:10" x14ac:dyDescent="0.25">
      <c r="J1077" t="s">
        <v>2144</v>
      </c>
    </row>
    <row r="1078" spans="10:10" x14ac:dyDescent="0.25">
      <c r="J1078" t="s">
        <v>2146</v>
      </c>
    </row>
    <row r="1079" spans="10:10" x14ac:dyDescent="0.25">
      <c r="J1079" t="s">
        <v>2148</v>
      </c>
    </row>
    <row r="1080" spans="10:10" x14ac:dyDescent="0.25">
      <c r="J1080" t="s">
        <v>2150</v>
      </c>
    </row>
    <row r="1081" spans="10:10" x14ac:dyDescent="0.25">
      <c r="J1081" t="s">
        <v>2152</v>
      </c>
    </row>
    <row r="1082" spans="10:10" x14ac:dyDescent="0.25">
      <c r="J1082" t="s">
        <v>2154</v>
      </c>
    </row>
    <row r="1083" spans="10:10" x14ac:dyDescent="0.25">
      <c r="J1083" t="s">
        <v>2156</v>
      </c>
    </row>
    <row r="1084" spans="10:10" x14ac:dyDescent="0.25">
      <c r="J1084" t="s">
        <v>2158</v>
      </c>
    </row>
    <row r="1085" spans="10:10" x14ac:dyDescent="0.25">
      <c r="J1085" t="s">
        <v>2160</v>
      </c>
    </row>
    <row r="1086" spans="10:10" x14ac:dyDescent="0.25">
      <c r="J1086" t="s">
        <v>2162</v>
      </c>
    </row>
    <row r="1087" spans="10:10" x14ac:dyDescent="0.25">
      <c r="J1087" t="s">
        <v>2164</v>
      </c>
    </row>
    <row r="1088" spans="10:10" x14ac:dyDescent="0.25">
      <c r="J1088" t="s">
        <v>2166</v>
      </c>
    </row>
    <row r="1089" spans="10:10" x14ac:dyDescent="0.25">
      <c r="J1089" t="s">
        <v>2168</v>
      </c>
    </row>
    <row r="1090" spans="10:10" x14ac:dyDescent="0.25">
      <c r="J1090" t="s">
        <v>2170</v>
      </c>
    </row>
    <row r="1091" spans="10:10" x14ac:dyDescent="0.25">
      <c r="J1091" t="s">
        <v>2172</v>
      </c>
    </row>
    <row r="1092" spans="10:10" x14ac:dyDescent="0.25">
      <c r="J1092" t="s">
        <v>2174</v>
      </c>
    </row>
    <row r="1093" spans="10:10" x14ac:dyDescent="0.25">
      <c r="J1093" t="s">
        <v>2176</v>
      </c>
    </row>
    <row r="1094" spans="10:10" x14ac:dyDescent="0.25">
      <c r="J1094" t="s">
        <v>2178</v>
      </c>
    </row>
    <row r="1095" spans="10:10" x14ac:dyDescent="0.25">
      <c r="J1095" t="s">
        <v>2180</v>
      </c>
    </row>
    <row r="1096" spans="10:10" x14ac:dyDescent="0.25">
      <c r="J1096" t="s">
        <v>2182</v>
      </c>
    </row>
    <row r="1097" spans="10:10" x14ac:dyDescent="0.25">
      <c r="J1097" t="s">
        <v>2184</v>
      </c>
    </row>
    <row r="1098" spans="10:10" x14ac:dyDescent="0.25">
      <c r="J1098" t="s">
        <v>2186</v>
      </c>
    </row>
    <row r="1099" spans="10:10" x14ac:dyDescent="0.25">
      <c r="J1099" t="s">
        <v>2188</v>
      </c>
    </row>
    <row r="1100" spans="10:10" x14ac:dyDescent="0.25">
      <c r="J1100" t="s">
        <v>2190</v>
      </c>
    </row>
    <row r="1101" spans="10:10" x14ac:dyDescent="0.25">
      <c r="J1101" t="s">
        <v>2192</v>
      </c>
    </row>
    <row r="1102" spans="10:10" x14ac:dyDescent="0.25">
      <c r="J1102" t="s">
        <v>2194</v>
      </c>
    </row>
    <row r="1103" spans="10:10" x14ac:dyDescent="0.25">
      <c r="J1103" t="s">
        <v>2196</v>
      </c>
    </row>
    <row r="1104" spans="10:10" x14ac:dyDescent="0.25">
      <c r="J1104" t="s">
        <v>2198</v>
      </c>
    </row>
    <row r="1105" spans="10:10" x14ac:dyDescent="0.25">
      <c r="J1105" t="s">
        <v>2200</v>
      </c>
    </row>
    <row r="1106" spans="10:10" x14ac:dyDescent="0.25">
      <c r="J1106" t="s">
        <v>2202</v>
      </c>
    </row>
    <row r="1107" spans="10:10" x14ac:dyDescent="0.25">
      <c r="J1107" t="s">
        <v>2204</v>
      </c>
    </row>
    <row r="1108" spans="10:10" x14ac:dyDescent="0.25">
      <c r="J1108" t="s">
        <v>2206</v>
      </c>
    </row>
    <row r="1109" spans="10:10" x14ac:dyDescent="0.25">
      <c r="J1109" t="s">
        <v>2208</v>
      </c>
    </row>
    <row r="1110" spans="10:10" x14ac:dyDescent="0.25">
      <c r="J1110" t="s">
        <v>2210</v>
      </c>
    </row>
    <row r="1111" spans="10:10" x14ac:dyDescent="0.25">
      <c r="J1111" t="s">
        <v>2212</v>
      </c>
    </row>
    <row r="1112" spans="10:10" x14ac:dyDescent="0.25">
      <c r="J1112" t="s">
        <v>2214</v>
      </c>
    </row>
    <row r="1113" spans="10:10" x14ac:dyDescent="0.25">
      <c r="J1113" t="s">
        <v>2216</v>
      </c>
    </row>
    <row r="1114" spans="10:10" x14ac:dyDescent="0.25">
      <c r="J1114" t="s">
        <v>2218</v>
      </c>
    </row>
    <row r="1115" spans="10:10" x14ac:dyDescent="0.25">
      <c r="J1115" t="s">
        <v>2220</v>
      </c>
    </row>
    <row r="1116" spans="10:10" x14ac:dyDescent="0.25">
      <c r="J1116" t="s">
        <v>2770</v>
      </c>
    </row>
    <row r="1117" spans="10:10" x14ac:dyDescent="0.25">
      <c r="J1117" t="s">
        <v>2771</v>
      </c>
    </row>
    <row r="1118" spans="10:10" x14ac:dyDescent="0.25">
      <c r="J1118" t="s">
        <v>2772</v>
      </c>
    </row>
    <row r="1119" spans="10:10" x14ac:dyDescent="0.25">
      <c r="J1119" t="s">
        <v>2773</v>
      </c>
    </row>
    <row r="1120" spans="10:10" x14ac:dyDescent="0.25">
      <c r="J1120" t="s">
        <v>2774</v>
      </c>
    </row>
    <row r="1121" spans="10:10" x14ac:dyDescent="0.25">
      <c r="J1121" t="s">
        <v>2775</v>
      </c>
    </row>
    <row r="1122" spans="10:10" x14ac:dyDescent="0.25">
      <c r="J1122" t="s">
        <v>2776</v>
      </c>
    </row>
    <row r="1123" spans="10:10" x14ac:dyDescent="0.25">
      <c r="J1123" t="s">
        <v>2777</v>
      </c>
    </row>
    <row r="1124" spans="10:10" x14ac:dyDescent="0.25">
      <c r="J1124" t="s">
        <v>2778</v>
      </c>
    </row>
    <row r="1125" spans="10:10" x14ac:dyDescent="0.25">
      <c r="J1125" t="s">
        <v>2779</v>
      </c>
    </row>
    <row r="1126" spans="10:10" x14ac:dyDescent="0.25">
      <c r="J1126" t="s">
        <v>2780</v>
      </c>
    </row>
    <row r="1127" spans="10:10" x14ac:dyDescent="0.25">
      <c r="J1127" t="s">
        <v>2781</v>
      </c>
    </row>
    <row r="1128" spans="10:10" x14ac:dyDescent="0.25">
      <c r="J1128" t="s">
        <v>2782</v>
      </c>
    </row>
    <row r="1129" spans="10:10" x14ac:dyDescent="0.25">
      <c r="J1129" t="s">
        <v>2783</v>
      </c>
    </row>
    <row r="1130" spans="10:10" x14ac:dyDescent="0.25">
      <c r="J1130" t="s">
        <v>2784</v>
      </c>
    </row>
    <row r="1131" spans="10:10" x14ac:dyDescent="0.25">
      <c r="J1131" t="s">
        <v>2785</v>
      </c>
    </row>
    <row r="1132" spans="10:10" x14ac:dyDescent="0.25">
      <c r="J1132" t="s">
        <v>2786</v>
      </c>
    </row>
    <row r="1133" spans="10:10" x14ac:dyDescent="0.25">
      <c r="J1133" t="s">
        <v>2787</v>
      </c>
    </row>
    <row r="1134" spans="10:10" x14ac:dyDescent="0.25">
      <c r="J1134" t="s">
        <v>2788</v>
      </c>
    </row>
    <row r="1135" spans="10:10" x14ac:dyDescent="0.25">
      <c r="J1135" t="s">
        <v>2789</v>
      </c>
    </row>
    <row r="1136" spans="10:10" x14ac:dyDescent="0.25">
      <c r="J1136" t="s">
        <v>2790</v>
      </c>
    </row>
    <row r="1137" spans="10:10" x14ac:dyDescent="0.25">
      <c r="J1137" t="s">
        <v>2791</v>
      </c>
    </row>
    <row r="1138" spans="10:10" x14ac:dyDescent="0.25">
      <c r="J1138" t="s">
        <v>2244</v>
      </c>
    </row>
    <row r="1139" spans="10:10" x14ac:dyDescent="0.25">
      <c r="J1139" t="s">
        <v>2246</v>
      </c>
    </row>
    <row r="1140" spans="10:10" x14ac:dyDescent="0.25">
      <c r="J1140" t="s">
        <v>2248</v>
      </c>
    </row>
    <row r="1141" spans="10:10" x14ac:dyDescent="0.25">
      <c r="J1141" t="s">
        <v>2250</v>
      </c>
    </row>
    <row r="1142" spans="10:10" x14ac:dyDescent="0.25">
      <c r="J1142" t="s">
        <v>2252</v>
      </c>
    </row>
    <row r="1143" spans="10:10" x14ac:dyDescent="0.25">
      <c r="J1143" t="s">
        <v>2254</v>
      </c>
    </row>
    <row r="1144" spans="10:10" x14ac:dyDescent="0.25">
      <c r="J1144" t="s">
        <v>2256</v>
      </c>
    </row>
    <row r="1145" spans="10:10" x14ac:dyDescent="0.25">
      <c r="J1145" t="s">
        <v>2258</v>
      </c>
    </row>
    <row r="1146" spans="10:10" x14ac:dyDescent="0.25">
      <c r="J1146" t="s">
        <v>2260</v>
      </c>
    </row>
    <row r="1147" spans="10:10" x14ac:dyDescent="0.25">
      <c r="J1147" t="s">
        <v>2262</v>
      </c>
    </row>
    <row r="1148" spans="10:10" x14ac:dyDescent="0.25">
      <c r="J1148" t="s">
        <v>2264</v>
      </c>
    </row>
    <row r="1149" spans="10:10" x14ac:dyDescent="0.25">
      <c r="J1149" t="s">
        <v>2266</v>
      </c>
    </row>
    <row r="1150" spans="10:10" x14ac:dyDescent="0.25">
      <c r="J1150" t="s">
        <v>2268</v>
      </c>
    </row>
    <row r="1151" spans="10:10" x14ac:dyDescent="0.25">
      <c r="J1151" t="s">
        <v>2270</v>
      </c>
    </row>
    <row r="1152" spans="10:10" x14ac:dyDescent="0.25">
      <c r="J1152" t="s">
        <v>2272</v>
      </c>
    </row>
    <row r="1153" spans="10:10" x14ac:dyDescent="0.25">
      <c r="J1153" t="s">
        <v>2274</v>
      </c>
    </row>
    <row r="1154" spans="10:10" x14ac:dyDescent="0.25">
      <c r="J1154" t="s">
        <v>2264</v>
      </c>
    </row>
    <row r="1155" spans="10:10" x14ac:dyDescent="0.25">
      <c r="J1155" t="s">
        <v>2277</v>
      </c>
    </row>
    <row r="1156" spans="10:10" x14ac:dyDescent="0.25">
      <c r="J1156" t="s">
        <v>2279</v>
      </c>
    </row>
    <row r="1157" spans="10:10" x14ac:dyDescent="0.25">
      <c r="J1157" t="s">
        <v>2281</v>
      </c>
    </row>
    <row r="1158" spans="10:10" x14ac:dyDescent="0.25">
      <c r="J1158" t="s">
        <v>2283</v>
      </c>
    </row>
    <row r="1159" spans="10:10" x14ac:dyDescent="0.25">
      <c r="J1159" t="s">
        <v>2285</v>
      </c>
    </row>
    <row r="1160" spans="10:10" x14ac:dyDescent="0.25">
      <c r="J1160" t="s">
        <v>2287</v>
      </c>
    </row>
    <row r="1161" spans="10:10" x14ac:dyDescent="0.25">
      <c r="J1161" t="s">
        <v>2289</v>
      </c>
    </row>
    <row r="1162" spans="10:10" x14ac:dyDescent="0.25">
      <c r="J1162" t="s">
        <v>2291</v>
      </c>
    </row>
    <row r="1163" spans="10:10" x14ac:dyDescent="0.25">
      <c r="J1163" t="s">
        <v>2293</v>
      </c>
    </row>
    <row r="1164" spans="10:10" x14ac:dyDescent="0.25">
      <c r="J1164" t="s">
        <v>2295</v>
      </c>
    </row>
    <row r="1165" spans="10:10" x14ac:dyDescent="0.25">
      <c r="J1165" t="s">
        <v>2297</v>
      </c>
    </row>
    <row r="1166" spans="10:10" x14ac:dyDescent="0.25">
      <c r="J1166" t="s">
        <v>2299</v>
      </c>
    </row>
    <row r="1167" spans="10:10" x14ac:dyDescent="0.25">
      <c r="J1167" t="s">
        <v>2301</v>
      </c>
    </row>
    <row r="1168" spans="10:10" x14ac:dyDescent="0.25">
      <c r="J1168" t="s">
        <v>2303</v>
      </c>
    </row>
    <row r="1169" spans="10:10" x14ac:dyDescent="0.25">
      <c r="J1169" t="s">
        <v>2305</v>
      </c>
    </row>
    <row r="1170" spans="10:10" x14ac:dyDescent="0.25">
      <c r="J1170" t="s">
        <v>2307</v>
      </c>
    </row>
    <row r="1171" spans="10:10" x14ac:dyDescent="0.25">
      <c r="J1171" t="s">
        <v>2309</v>
      </c>
    </row>
    <row r="1172" spans="10:10" x14ac:dyDescent="0.25">
      <c r="J1172" t="s">
        <v>2311</v>
      </c>
    </row>
    <row r="1173" spans="10:10" x14ac:dyDescent="0.25">
      <c r="J1173" t="s">
        <v>2313</v>
      </c>
    </row>
    <row r="1174" spans="10:10" x14ac:dyDescent="0.25">
      <c r="J1174" t="s">
        <v>2315</v>
      </c>
    </row>
    <row r="1175" spans="10:10" x14ac:dyDescent="0.25">
      <c r="J1175" t="s">
        <v>2317</v>
      </c>
    </row>
    <row r="1176" spans="10:10" x14ac:dyDescent="0.25">
      <c r="J1176" t="s">
        <v>2319</v>
      </c>
    </row>
    <row r="1177" spans="10:10" x14ac:dyDescent="0.25">
      <c r="J1177" t="s">
        <v>2321</v>
      </c>
    </row>
    <row r="1178" spans="10:10" x14ac:dyDescent="0.25">
      <c r="J1178" t="s">
        <v>2323</v>
      </c>
    </row>
    <row r="1179" spans="10:10" x14ac:dyDescent="0.25">
      <c r="J1179" t="s">
        <v>2325</v>
      </c>
    </row>
    <row r="1180" spans="10:10" x14ac:dyDescent="0.25">
      <c r="J1180" t="s">
        <v>2327</v>
      </c>
    </row>
    <row r="1181" spans="10:10" x14ac:dyDescent="0.25">
      <c r="J1181" t="s">
        <v>2329</v>
      </c>
    </row>
    <row r="1182" spans="10:10" x14ac:dyDescent="0.25">
      <c r="J1182" t="s">
        <v>2331</v>
      </c>
    </row>
    <row r="1183" spans="10:10" x14ac:dyDescent="0.25">
      <c r="J1183" t="s">
        <v>2333</v>
      </c>
    </row>
    <row r="1184" spans="10:10" x14ac:dyDescent="0.25">
      <c r="J1184" t="s">
        <v>2335</v>
      </c>
    </row>
    <row r="1185" spans="10:10" x14ac:dyDescent="0.25">
      <c r="J1185" t="s">
        <v>2337</v>
      </c>
    </row>
    <row r="1186" spans="10:10" x14ac:dyDescent="0.25">
      <c r="J1186" t="s">
        <v>2339</v>
      </c>
    </row>
    <row r="1187" spans="10:10" x14ac:dyDescent="0.25">
      <c r="J1187" t="s">
        <v>2325</v>
      </c>
    </row>
    <row r="1188" spans="10:10" x14ac:dyDescent="0.25">
      <c r="J1188" t="s">
        <v>2342</v>
      </c>
    </row>
    <row r="1189" spans="10:10" x14ac:dyDescent="0.25">
      <c r="J1189" t="s">
        <v>2344</v>
      </c>
    </row>
    <row r="1190" spans="10:10" x14ac:dyDescent="0.25">
      <c r="J1190" t="s">
        <v>2346</v>
      </c>
    </row>
    <row r="1191" spans="10:10" x14ac:dyDescent="0.25">
      <c r="J1191" t="s">
        <v>2348</v>
      </c>
    </row>
    <row r="1192" spans="10:10" x14ac:dyDescent="0.25">
      <c r="J1192" t="s">
        <v>2350</v>
      </c>
    </row>
    <row r="1193" spans="10:10" x14ac:dyDescent="0.25">
      <c r="J1193" t="s">
        <v>2352</v>
      </c>
    </row>
    <row r="1194" spans="10:10" x14ac:dyDescent="0.25">
      <c r="J1194" t="s">
        <v>2354</v>
      </c>
    </row>
    <row r="1195" spans="10:10" x14ac:dyDescent="0.25">
      <c r="J1195" t="s">
        <v>2356</v>
      </c>
    </row>
    <row r="1196" spans="10:10" x14ac:dyDescent="0.25">
      <c r="J1196" t="s">
        <v>2358</v>
      </c>
    </row>
    <row r="1197" spans="10:10" x14ac:dyDescent="0.25">
      <c r="J1197" t="s">
        <v>2360</v>
      </c>
    </row>
    <row r="1198" spans="10:10" x14ac:dyDescent="0.25">
      <c r="J1198" t="s">
        <v>2362</v>
      </c>
    </row>
    <row r="1199" spans="10:10" x14ac:dyDescent="0.25">
      <c r="J1199" t="s">
        <v>2364</v>
      </c>
    </row>
    <row r="1200" spans="10:10" x14ac:dyDescent="0.25">
      <c r="J1200" t="s">
        <v>2366</v>
      </c>
    </row>
    <row r="1201" spans="10:10" x14ac:dyDescent="0.25">
      <c r="J1201" t="s">
        <v>2368</v>
      </c>
    </row>
    <row r="1202" spans="10:10" x14ac:dyDescent="0.25">
      <c r="J1202" t="s">
        <v>2370</v>
      </c>
    </row>
    <row r="1203" spans="10:10" x14ac:dyDescent="0.25">
      <c r="J1203" t="s">
        <v>2372</v>
      </c>
    </row>
    <row r="1204" spans="10:10" x14ac:dyDescent="0.25">
      <c r="J1204" t="s">
        <v>2374</v>
      </c>
    </row>
    <row r="1205" spans="10:10" x14ac:dyDescent="0.25">
      <c r="J1205" t="s">
        <v>2376</v>
      </c>
    </row>
    <row r="1206" spans="10:10" x14ac:dyDescent="0.25">
      <c r="J1206" t="s">
        <v>2378</v>
      </c>
    </row>
    <row r="1207" spans="10:10" x14ac:dyDescent="0.25">
      <c r="J1207" t="s">
        <v>2380</v>
      </c>
    </row>
    <row r="1208" spans="10:10" x14ac:dyDescent="0.25">
      <c r="J1208" t="s">
        <v>2382</v>
      </c>
    </row>
    <row r="1209" spans="10:10" x14ac:dyDescent="0.25">
      <c r="J1209" t="s">
        <v>2384</v>
      </c>
    </row>
    <row r="1210" spans="10:10" x14ac:dyDescent="0.25">
      <c r="J1210" t="s">
        <v>2386</v>
      </c>
    </row>
    <row r="1211" spans="10:10" x14ac:dyDescent="0.25">
      <c r="J1211" t="s">
        <v>2388</v>
      </c>
    </row>
    <row r="1212" spans="10:10" x14ac:dyDescent="0.25">
      <c r="J1212" t="s">
        <v>2390</v>
      </c>
    </row>
    <row r="1213" spans="10:10" x14ac:dyDescent="0.25">
      <c r="J1213" t="s">
        <v>2392</v>
      </c>
    </row>
    <row r="1214" spans="10:10" x14ac:dyDescent="0.25">
      <c r="J1214" t="s">
        <v>2394</v>
      </c>
    </row>
    <row r="1215" spans="10:10" x14ac:dyDescent="0.25">
      <c r="J1215" t="s">
        <v>2396</v>
      </c>
    </row>
    <row r="1216" spans="10:10" x14ac:dyDescent="0.25">
      <c r="J1216" t="s">
        <v>2398</v>
      </c>
    </row>
    <row r="1217" spans="10:10" x14ac:dyDescent="0.25">
      <c r="J1217" t="s">
        <v>2400</v>
      </c>
    </row>
    <row r="1218" spans="10:10" x14ac:dyDescent="0.25">
      <c r="J1218" t="s">
        <v>2402</v>
      </c>
    </row>
    <row r="1219" spans="10:10" x14ac:dyDescent="0.25">
      <c r="J1219" t="s">
        <v>2404</v>
      </c>
    </row>
    <row r="1220" spans="10:10" x14ac:dyDescent="0.25">
      <c r="J1220" t="s">
        <v>2406</v>
      </c>
    </row>
    <row r="1221" spans="10:10" x14ac:dyDescent="0.25">
      <c r="J1221" t="s">
        <v>2408</v>
      </c>
    </row>
    <row r="1222" spans="10:10" x14ac:dyDescent="0.25">
      <c r="J1222" t="s">
        <v>2410</v>
      </c>
    </row>
    <row r="1223" spans="10:10" x14ac:dyDescent="0.25">
      <c r="J1223" t="s">
        <v>2412</v>
      </c>
    </row>
    <row r="1224" spans="10:10" x14ac:dyDescent="0.25">
      <c r="J1224" t="s">
        <v>2414</v>
      </c>
    </row>
    <row r="1225" spans="10:10" x14ac:dyDescent="0.25">
      <c r="J1225" t="s">
        <v>2416</v>
      </c>
    </row>
    <row r="1226" spans="10:10" x14ac:dyDescent="0.25">
      <c r="J1226" t="s">
        <v>2418</v>
      </c>
    </row>
    <row r="1227" spans="10:10" x14ac:dyDescent="0.25">
      <c r="J1227" t="s">
        <v>2420</v>
      </c>
    </row>
    <row r="1228" spans="10:10" x14ac:dyDescent="0.25">
      <c r="J1228" t="s">
        <v>2422</v>
      </c>
    </row>
    <row r="1229" spans="10:10" x14ac:dyDescent="0.25">
      <c r="J1229" t="s">
        <v>2424</v>
      </c>
    </row>
    <row r="1230" spans="10:10" x14ac:dyDescent="0.25">
      <c r="J1230" t="s">
        <v>2426</v>
      </c>
    </row>
    <row r="1231" spans="10:10" x14ac:dyDescent="0.25">
      <c r="J1231" t="s">
        <v>2428</v>
      </c>
    </row>
    <row r="1232" spans="10:10" x14ac:dyDescent="0.25">
      <c r="J1232" t="s">
        <v>2430</v>
      </c>
    </row>
    <row r="1233" spans="10:10" x14ac:dyDescent="0.25">
      <c r="J1233" t="s">
        <v>2432</v>
      </c>
    </row>
    <row r="1234" spans="10:10" x14ac:dyDescent="0.25">
      <c r="J1234" t="s">
        <v>2434</v>
      </c>
    </row>
    <row r="1235" spans="10:10" x14ac:dyDescent="0.25">
      <c r="J1235" t="s">
        <v>2436</v>
      </c>
    </row>
    <row r="1236" spans="10:10" x14ac:dyDescent="0.25">
      <c r="J1236" t="s">
        <v>2438</v>
      </c>
    </row>
    <row r="1237" spans="10:10" x14ac:dyDescent="0.25">
      <c r="J1237" t="s">
        <v>2440</v>
      </c>
    </row>
    <row r="1238" spans="10:10" x14ac:dyDescent="0.25">
      <c r="J1238" t="s">
        <v>2442</v>
      </c>
    </row>
    <row r="1239" spans="10:10" x14ac:dyDescent="0.25">
      <c r="J1239" t="s">
        <v>2444</v>
      </c>
    </row>
    <row r="1240" spans="10:10" x14ac:dyDescent="0.25">
      <c r="J1240" t="s">
        <v>2446</v>
      </c>
    </row>
    <row r="1241" spans="10:10" x14ac:dyDescent="0.25">
      <c r="J1241" t="s">
        <v>2448</v>
      </c>
    </row>
    <row r="1242" spans="10:10" x14ac:dyDescent="0.25">
      <c r="J1242" t="s">
        <v>2450</v>
      </c>
    </row>
    <row r="1243" spans="10:10" x14ac:dyDescent="0.25">
      <c r="J1243" t="s">
        <v>2452</v>
      </c>
    </row>
    <row r="1244" spans="10:10" x14ac:dyDescent="0.25">
      <c r="J1244" t="s">
        <v>2454</v>
      </c>
    </row>
    <row r="1245" spans="10:10" x14ac:dyDescent="0.25">
      <c r="J1245" t="s">
        <v>2456</v>
      </c>
    </row>
    <row r="1246" spans="10:10" x14ac:dyDescent="0.25">
      <c r="J1246" t="s">
        <v>2458</v>
      </c>
    </row>
    <row r="1247" spans="10:10" x14ac:dyDescent="0.25">
      <c r="J1247" t="s">
        <v>2460</v>
      </c>
    </row>
    <row r="1248" spans="10:10" x14ac:dyDescent="0.25">
      <c r="J1248" t="s">
        <v>2462</v>
      </c>
    </row>
    <row r="1249" spans="10:10" x14ac:dyDescent="0.25">
      <c r="J1249" t="s">
        <v>2464</v>
      </c>
    </row>
    <row r="1250" spans="10:10" x14ac:dyDescent="0.25">
      <c r="J1250" t="s">
        <v>2466</v>
      </c>
    </row>
    <row r="1251" spans="10:10" x14ac:dyDescent="0.25">
      <c r="J1251" t="s">
        <v>2468</v>
      </c>
    </row>
    <row r="1252" spans="10:10" x14ac:dyDescent="0.25">
      <c r="J1252" t="s">
        <v>2470</v>
      </c>
    </row>
    <row r="1253" spans="10:10" x14ac:dyDescent="0.25">
      <c r="J1253" t="s">
        <v>2470</v>
      </c>
    </row>
    <row r="1254" spans="10:10" x14ac:dyDescent="0.25">
      <c r="J1254" t="s">
        <v>2473</v>
      </c>
    </row>
    <row r="1255" spans="10:10" x14ac:dyDescent="0.25">
      <c r="J1255" t="s">
        <v>2475</v>
      </c>
    </row>
    <row r="1256" spans="10:10" x14ac:dyDescent="0.25">
      <c r="J1256" t="s">
        <v>2477</v>
      </c>
    </row>
    <row r="1257" spans="10:10" x14ac:dyDescent="0.25">
      <c r="J1257" t="s">
        <v>2479</v>
      </c>
    </row>
    <row r="1258" spans="10:10" x14ac:dyDescent="0.25">
      <c r="J1258" t="s">
        <v>2481</v>
      </c>
    </row>
    <row r="1259" spans="10:10" x14ac:dyDescent="0.25">
      <c r="J1259" t="s">
        <v>2483</v>
      </c>
    </row>
    <row r="1260" spans="10:10" x14ac:dyDescent="0.25">
      <c r="J1260" t="s">
        <v>2485</v>
      </c>
    </row>
    <row r="1261" spans="10:10" x14ac:dyDescent="0.25">
      <c r="J1261" t="s">
        <v>2487</v>
      </c>
    </row>
    <row r="1262" spans="10:10" x14ac:dyDescent="0.25">
      <c r="J1262" t="s">
        <v>2489</v>
      </c>
    </row>
    <row r="1263" spans="10:10" x14ac:dyDescent="0.25">
      <c r="J1263" t="s">
        <v>2491</v>
      </c>
    </row>
    <row r="1264" spans="10:10" x14ac:dyDescent="0.25">
      <c r="J1264" t="s">
        <v>2493</v>
      </c>
    </row>
    <row r="1265" spans="10:10" x14ac:dyDescent="0.25">
      <c r="J1265" t="s">
        <v>2495</v>
      </c>
    </row>
    <row r="1266" spans="10:10" x14ac:dyDescent="0.25">
      <c r="J1266" t="s">
        <v>2497</v>
      </c>
    </row>
    <row r="1267" spans="10:10" x14ac:dyDescent="0.25">
      <c r="J1267" t="s">
        <v>2499</v>
      </c>
    </row>
    <row r="1268" spans="10:10" x14ac:dyDescent="0.25">
      <c r="J1268" t="s">
        <v>2501</v>
      </c>
    </row>
    <row r="1269" spans="10:10" x14ac:dyDescent="0.25">
      <c r="J1269" t="s">
        <v>2503</v>
      </c>
    </row>
    <row r="1270" spans="10:10" x14ac:dyDescent="0.25">
      <c r="J1270" t="s">
        <v>2505</v>
      </c>
    </row>
    <row r="1271" spans="10:10" x14ac:dyDescent="0.25">
      <c r="J1271" t="s">
        <v>2507</v>
      </c>
    </row>
    <row r="1272" spans="10:10" x14ac:dyDescent="0.25">
      <c r="J1272" t="s">
        <v>2509</v>
      </c>
    </row>
    <row r="1273" spans="10:10" x14ac:dyDescent="0.25">
      <c r="J1273" t="s">
        <v>2511</v>
      </c>
    </row>
    <row r="1274" spans="10:10" x14ac:dyDescent="0.25">
      <c r="J1274" t="s">
        <v>2513</v>
      </c>
    </row>
    <row r="1275" spans="10:10" x14ac:dyDescent="0.25">
      <c r="J1275" t="s">
        <v>2515</v>
      </c>
    </row>
    <row r="1276" spans="10:10" x14ac:dyDescent="0.25">
      <c r="J1276" t="s">
        <v>2517</v>
      </c>
    </row>
    <row r="1277" spans="10:10" x14ac:dyDescent="0.25">
      <c r="J1277" t="s">
        <v>2519</v>
      </c>
    </row>
    <row r="1278" spans="10:10" x14ac:dyDescent="0.25">
      <c r="J1278" t="s">
        <v>2521</v>
      </c>
    </row>
    <row r="1279" spans="10:10" x14ac:dyDescent="0.25">
      <c r="J1279" t="s">
        <v>2523</v>
      </c>
    </row>
    <row r="1280" spans="10:10" x14ac:dyDescent="0.25">
      <c r="J1280" t="s">
        <v>2525</v>
      </c>
    </row>
    <row r="1281" spans="10:10" x14ac:dyDescent="0.25">
      <c r="J1281" t="s">
        <v>2527</v>
      </c>
    </row>
    <row r="1282" spans="10:10" x14ac:dyDescent="0.25">
      <c r="J1282" t="s">
        <v>2529</v>
      </c>
    </row>
    <row r="1283" spans="10:10" x14ac:dyDescent="0.25">
      <c r="J1283" t="s">
        <v>2531</v>
      </c>
    </row>
    <row r="1284" spans="10:10" x14ac:dyDescent="0.25">
      <c r="J1284" t="s">
        <v>2533</v>
      </c>
    </row>
    <row r="1285" spans="10:10" x14ac:dyDescent="0.25">
      <c r="J1285" t="s">
        <v>2535</v>
      </c>
    </row>
    <row r="1286" spans="10:10" x14ac:dyDescent="0.25">
      <c r="J1286" t="s">
        <v>2537</v>
      </c>
    </row>
    <row r="1287" spans="10:10" x14ac:dyDescent="0.25">
      <c r="J1287" t="s">
        <v>2539</v>
      </c>
    </row>
    <row r="1288" spans="10:10" x14ac:dyDescent="0.25">
      <c r="J1288" t="s">
        <v>2541</v>
      </c>
    </row>
    <row r="1289" spans="10:10" x14ac:dyDescent="0.25">
      <c r="J1289" t="s">
        <v>2543</v>
      </c>
    </row>
    <row r="1290" spans="10:10" x14ac:dyDescent="0.25">
      <c r="J1290" t="s">
        <v>2545</v>
      </c>
    </row>
    <row r="1291" spans="10:10" x14ac:dyDescent="0.25">
      <c r="J1291" t="s">
        <v>2547</v>
      </c>
    </row>
    <row r="1292" spans="10:10" x14ac:dyDescent="0.25">
      <c r="J1292" t="s">
        <v>2549</v>
      </c>
    </row>
    <row r="1293" spans="10:10" x14ac:dyDescent="0.25">
      <c r="J1293" t="s">
        <v>2551</v>
      </c>
    </row>
    <row r="1294" spans="10:10" x14ac:dyDescent="0.25">
      <c r="J1294" t="s">
        <v>2553</v>
      </c>
    </row>
    <row r="1295" spans="10:10" x14ac:dyDescent="0.25">
      <c r="J1295" t="s">
        <v>2555</v>
      </c>
    </row>
    <row r="1296" spans="10:10" x14ac:dyDescent="0.25">
      <c r="J1296" t="s">
        <v>2557</v>
      </c>
    </row>
    <row r="1297" spans="10:10" x14ac:dyDescent="0.25">
      <c r="J1297" t="s">
        <v>2559</v>
      </c>
    </row>
    <row r="1298" spans="10:10" x14ac:dyDescent="0.25">
      <c r="J1298" t="s">
        <v>2561</v>
      </c>
    </row>
    <row r="1299" spans="10:10" x14ac:dyDescent="0.25">
      <c r="J1299" t="s">
        <v>2563</v>
      </c>
    </row>
    <row r="1300" spans="10:10" x14ac:dyDescent="0.25">
      <c r="J1300" t="s">
        <v>2565</v>
      </c>
    </row>
    <row r="1301" spans="10:10" x14ac:dyDescent="0.25">
      <c r="J1301" t="s">
        <v>2567</v>
      </c>
    </row>
    <row r="1302" spans="10:10" x14ac:dyDescent="0.25">
      <c r="J1302" t="s">
        <v>2569</v>
      </c>
    </row>
    <row r="1303" spans="10:10" x14ac:dyDescent="0.25">
      <c r="J1303" t="s">
        <v>2571</v>
      </c>
    </row>
    <row r="1304" spans="10:10" x14ac:dyDescent="0.25">
      <c r="J1304" t="s">
        <v>2573</v>
      </c>
    </row>
    <row r="1305" spans="10:10" x14ac:dyDescent="0.25">
      <c r="J1305" t="s">
        <v>2575</v>
      </c>
    </row>
    <row r="1306" spans="10:10" x14ac:dyDescent="0.25">
      <c r="J1306" t="s">
        <v>2577</v>
      </c>
    </row>
    <row r="1307" spans="10:10" x14ac:dyDescent="0.25">
      <c r="J1307" t="s">
        <v>2579</v>
      </c>
    </row>
    <row r="1308" spans="10:10" x14ac:dyDescent="0.25">
      <c r="J1308" t="s">
        <v>2581</v>
      </c>
    </row>
    <row r="1309" spans="10:10" x14ac:dyDescent="0.25">
      <c r="J1309" t="s">
        <v>2583</v>
      </c>
    </row>
    <row r="1310" spans="10:10" x14ac:dyDescent="0.25">
      <c r="J1310" t="s">
        <v>2585</v>
      </c>
    </row>
    <row r="1311" spans="10:10" x14ac:dyDescent="0.25">
      <c r="J1311" t="s">
        <v>2587</v>
      </c>
    </row>
    <row r="1312" spans="10:10" x14ac:dyDescent="0.25">
      <c r="J1312" t="s">
        <v>2589</v>
      </c>
    </row>
    <row r="1313" spans="10:10" x14ac:dyDescent="0.25">
      <c r="J1313" t="s">
        <v>2591</v>
      </c>
    </row>
    <row r="1314" spans="10:10" x14ac:dyDescent="0.25">
      <c r="J1314" t="s">
        <v>2593</v>
      </c>
    </row>
    <row r="1315" spans="10:10" x14ac:dyDescent="0.25">
      <c r="J1315" t="s">
        <v>2595</v>
      </c>
    </row>
    <row r="1316" spans="10:10" x14ac:dyDescent="0.25">
      <c r="J1316" t="s">
        <v>2597</v>
      </c>
    </row>
    <row r="1317" spans="10:10" x14ac:dyDescent="0.25">
      <c r="J1317" t="s">
        <v>2599</v>
      </c>
    </row>
    <row r="1318" spans="10:10" x14ac:dyDescent="0.25">
      <c r="J1318" t="s">
        <v>2601</v>
      </c>
    </row>
    <row r="1319" spans="10:10" x14ac:dyDescent="0.25">
      <c r="J1319" t="s">
        <v>2603</v>
      </c>
    </row>
    <row r="1320" spans="10:10" x14ac:dyDescent="0.25">
      <c r="J1320" t="s">
        <v>2605</v>
      </c>
    </row>
    <row r="1321" spans="10:10" x14ac:dyDescent="0.25">
      <c r="J1321" t="s">
        <v>2607</v>
      </c>
    </row>
    <row r="1322" spans="10:10" x14ac:dyDescent="0.25">
      <c r="J1322" t="s">
        <v>2609</v>
      </c>
    </row>
    <row r="1323" spans="10:10" x14ac:dyDescent="0.25">
      <c r="J1323" t="s">
        <v>2611</v>
      </c>
    </row>
    <row r="1324" spans="10:10" x14ac:dyDescent="0.25">
      <c r="J1324" t="s">
        <v>2613</v>
      </c>
    </row>
    <row r="1325" spans="10:10" x14ac:dyDescent="0.25">
      <c r="J1325" t="s">
        <v>2615</v>
      </c>
    </row>
    <row r="1326" spans="10:10" x14ac:dyDescent="0.25">
      <c r="J1326" t="s">
        <v>2617</v>
      </c>
    </row>
    <row r="1327" spans="10:10" x14ac:dyDescent="0.25">
      <c r="J1327" t="s">
        <v>2619</v>
      </c>
    </row>
    <row r="1328" spans="10:10" x14ac:dyDescent="0.25">
      <c r="J1328" t="s">
        <v>2621</v>
      </c>
    </row>
    <row r="1329" spans="10:10" x14ac:dyDescent="0.25">
      <c r="J1329" t="s">
        <v>2623</v>
      </c>
    </row>
    <row r="1330" spans="10:10" x14ac:dyDescent="0.25">
      <c r="J1330" t="s">
        <v>2625</v>
      </c>
    </row>
    <row r="1331" spans="10:10" x14ac:dyDescent="0.25">
      <c r="J1331" t="s">
        <v>2627</v>
      </c>
    </row>
    <row r="1332" spans="10:10" x14ac:dyDescent="0.25">
      <c r="J1332" t="s">
        <v>2629</v>
      </c>
    </row>
    <row r="1333" spans="10:10" x14ac:dyDescent="0.25">
      <c r="J1333" t="s">
        <v>2631</v>
      </c>
    </row>
    <row r="1334" spans="10:10" x14ac:dyDescent="0.25">
      <c r="J1334" t="s">
        <v>2633</v>
      </c>
    </row>
    <row r="1335" spans="10:10" x14ac:dyDescent="0.25">
      <c r="J1335" t="s">
        <v>2635</v>
      </c>
    </row>
    <row r="1336" spans="10:10" x14ac:dyDescent="0.25">
      <c r="J1336" t="s">
        <v>2637</v>
      </c>
    </row>
    <row r="1337" spans="10:10" x14ac:dyDescent="0.25">
      <c r="J1337" t="s">
        <v>2639</v>
      </c>
    </row>
    <row r="1338" spans="10:10" x14ac:dyDescent="0.25">
      <c r="J1338" t="s">
        <v>2641</v>
      </c>
    </row>
    <row r="1339" spans="10:10" x14ac:dyDescent="0.25">
      <c r="J1339" t="s">
        <v>2643</v>
      </c>
    </row>
    <row r="1340" spans="10:10" x14ac:dyDescent="0.25">
      <c r="J1340" t="s">
        <v>2645</v>
      </c>
    </row>
    <row r="1341" spans="10:10" x14ac:dyDescent="0.25">
      <c r="J1341" t="s">
        <v>2647</v>
      </c>
    </row>
    <row r="1342" spans="10:10" x14ac:dyDescent="0.25">
      <c r="J1342" t="s">
        <v>2649</v>
      </c>
    </row>
    <row r="1343" spans="10:10" x14ac:dyDescent="0.25">
      <c r="J1343" t="s">
        <v>2651</v>
      </c>
    </row>
    <row r="1344" spans="10:10" x14ac:dyDescent="0.25">
      <c r="J1344" t="s">
        <v>2653</v>
      </c>
    </row>
    <row r="1345" spans="10:10" x14ac:dyDescent="0.25">
      <c r="J1345" t="s">
        <v>2655</v>
      </c>
    </row>
    <row r="1346" spans="10:10" x14ac:dyDescent="0.25">
      <c r="J1346" t="s">
        <v>2657</v>
      </c>
    </row>
    <row r="1347" spans="10:10" x14ac:dyDescent="0.25">
      <c r="J1347" t="s">
        <v>2659</v>
      </c>
    </row>
    <row r="1348" spans="10:10" x14ac:dyDescent="0.25">
      <c r="J1348" t="s">
        <v>2661</v>
      </c>
    </row>
    <row r="1349" spans="10:10" x14ac:dyDescent="0.25">
      <c r="J1349" t="s">
        <v>2663</v>
      </c>
    </row>
    <row r="1350" spans="10:10" x14ac:dyDescent="0.25">
      <c r="J1350" t="s">
        <v>2665</v>
      </c>
    </row>
    <row r="1351" spans="10:10" x14ac:dyDescent="0.25">
      <c r="J1351" t="s">
        <v>2667</v>
      </c>
    </row>
    <row r="1352" spans="10:10" x14ac:dyDescent="0.25">
      <c r="J1352" t="s">
        <v>2669</v>
      </c>
    </row>
    <row r="1353" spans="10:10" x14ac:dyDescent="0.25">
      <c r="J1353" t="s">
        <v>2671</v>
      </c>
    </row>
    <row r="1354" spans="10:10" x14ac:dyDescent="0.25">
      <c r="J1354" t="s">
        <v>2673</v>
      </c>
    </row>
    <row r="1355" spans="10:10" x14ac:dyDescent="0.25">
      <c r="J1355" t="s">
        <v>2675</v>
      </c>
    </row>
    <row r="1356" spans="10:10" x14ac:dyDescent="0.25">
      <c r="J1356" t="s">
        <v>2677</v>
      </c>
    </row>
    <row r="1357" spans="10:10" x14ac:dyDescent="0.25">
      <c r="J1357" t="s">
        <v>2679</v>
      </c>
    </row>
    <row r="1358" spans="10:10" x14ac:dyDescent="0.25">
      <c r="J1358" t="s">
        <v>2681</v>
      </c>
    </row>
    <row r="1359" spans="10:10" x14ac:dyDescent="0.25">
      <c r="J1359" t="s">
        <v>2683</v>
      </c>
    </row>
    <row r="1360" spans="10:10" x14ac:dyDescent="0.25">
      <c r="J1360" t="s">
        <v>2685</v>
      </c>
    </row>
    <row r="1361" spans="10:10" x14ac:dyDescent="0.25">
      <c r="J1361" t="s">
        <v>2687</v>
      </c>
    </row>
    <row r="1362" spans="10:10" x14ac:dyDescent="0.25">
      <c r="J1362" t="s">
        <v>2689</v>
      </c>
    </row>
    <row r="1363" spans="10:10" x14ac:dyDescent="0.25">
      <c r="J1363" t="s">
        <v>2691</v>
      </c>
    </row>
    <row r="1364" spans="10:10" x14ac:dyDescent="0.25">
      <c r="J1364" t="s">
        <v>2693</v>
      </c>
    </row>
    <row r="1365" spans="10:10" x14ac:dyDescent="0.25">
      <c r="J1365" t="s">
        <v>2695</v>
      </c>
    </row>
    <row r="1366" spans="10:10" x14ac:dyDescent="0.25">
      <c r="J1366" t="s">
        <v>2697</v>
      </c>
    </row>
    <row r="1367" spans="10:10" x14ac:dyDescent="0.25">
      <c r="J1367" t="s">
        <v>2699</v>
      </c>
    </row>
    <row r="1368" spans="10:10" x14ac:dyDescent="0.25">
      <c r="J1368" t="s">
        <v>2701</v>
      </c>
    </row>
    <row r="1369" spans="10:10" x14ac:dyDescent="0.25">
      <c r="J1369" t="s">
        <v>2703</v>
      </c>
    </row>
    <row r="1370" spans="10:10" x14ac:dyDescent="0.25">
      <c r="J1370" t="s">
        <v>2705</v>
      </c>
    </row>
    <row r="1371" spans="10:10" x14ac:dyDescent="0.25">
      <c r="J1371" t="s">
        <v>2707</v>
      </c>
    </row>
    <row r="1372" spans="10:10" x14ac:dyDescent="0.25">
      <c r="J1372" t="s">
        <v>2709</v>
      </c>
    </row>
    <row r="1373" spans="10:10" x14ac:dyDescent="0.25">
      <c r="J1373" t="s">
        <v>2711</v>
      </c>
    </row>
    <row r="1374" spans="10:10" x14ac:dyDescent="0.25">
      <c r="J1374" t="s">
        <v>2713</v>
      </c>
    </row>
    <row r="1375" spans="10:10" x14ac:dyDescent="0.25">
      <c r="J1375" t="s">
        <v>2715</v>
      </c>
    </row>
    <row r="1376" spans="10:10" x14ac:dyDescent="0.25">
      <c r="J1376" t="s">
        <v>2717</v>
      </c>
    </row>
    <row r="1377" spans="10:10" x14ac:dyDescent="0.25">
      <c r="J1377" t="s">
        <v>2719</v>
      </c>
    </row>
    <row r="1378" spans="10:10" x14ac:dyDescent="0.25">
      <c r="J1378" t="s">
        <v>2721</v>
      </c>
    </row>
    <row r="1379" spans="10:10" x14ac:dyDescent="0.25">
      <c r="J1379" t="s">
        <v>2723</v>
      </c>
    </row>
    <row r="1380" spans="10:10" x14ac:dyDescent="0.25">
      <c r="J1380" t="s">
        <v>2725</v>
      </c>
    </row>
    <row r="1381" spans="10:10" x14ac:dyDescent="0.25">
      <c r="J1381" t="s">
        <v>2727</v>
      </c>
    </row>
    <row r="1382" spans="10:10" x14ac:dyDescent="0.25">
      <c r="J1382" t="s">
        <v>2729</v>
      </c>
    </row>
    <row r="1383" spans="10:10" x14ac:dyDescent="0.25">
      <c r="J1383" t="s">
        <v>2731</v>
      </c>
    </row>
    <row r="1384" spans="10:10" x14ac:dyDescent="0.25">
      <c r="J1384" t="s">
        <v>2733</v>
      </c>
    </row>
    <row r="1385" spans="10:10" x14ac:dyDescent="0.25">
      <c r="J1385" t="s">
        <v>2735</v>
      </c>
    </row>
    <row r="1386" spans="10:10" x14ac:dyDescent="0.25">
      <c r="J1386" t="s">
        <v>2737</v>
      </c>
    </row>
    <row r="1387" spans="10:10" x14ac:dyDescent="0.25">
      <c r="J1387" t="s">
        <v>2739</v>
      </c>
    </row>
    <row r="1388" spans="10:10" x14ac:dyDescent="0.25">
      <c r="J1388" t="s">
        <v>2741</v>
      </c>
    </row>
    <row r="1389" spans="10:10" x14ac:dyDescent="0.25">
      <c r="J1389" t="s">
        <v>2743</v>
      </c>
    </row>
    <row r="1390" spans="10:10" x14ac:dyDescent="0.25">
      <c r="J1390" t="s">
        <v>2745</v>
      </c>
    </row>
    <row r="1391" spans="10:10" x14ac:dyDescent="0.25">
      <c r="J1391" t="s">
        <v>2747</v>
      </c>
    </row>
    <row r="1392" spans="10:10" x14ac:dyDescent="0.25">
      <c r="J1392" t="s">
        <v>2749</v>
      </c>
    </row>
    <row r="1393" spans="10:10" x14ac:dyDescent="0.25">
      <c r="J1393" t="s">
        <v>2751</v>
      </c>
    </row>
    <row r="1394" spans="10:10" x14ac:dyDescent="0.25">
      <c r="J1394" t="s">
        <v>2753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09"/>
  <sheetViews>
    <sheetView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12.7109375" bestFit="1" customWidth="1"/>
    <col min="2" max="2" width="14.28515625" customWidth="1"/>
    <col min="3" max="5" width="19.5703125" customWidth="1"/>
    <col min="6" max="8" width="18.42578125" style="13" customWidth="1"/>
  </cols>
  <sheetData>
    <row r="1" spans="1:8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12" t="s">
        <v>5</v>
      </c>
      <c r="G1" s="12" t="s">
        <v>6</v>
      </c>
      <c r="H1" s="12" t="s">
        <v>7</v>
      </c>
    </row>
    <row r="2" spans="1:8" x14ac:dyDescent="0.25">
      <c r="A2" t="s">
        <v>9</v>
      </c>
      <c r="B2" s="15" cm="1">
        <f t="array" ref="B2">_xll.GetPrice("FP-LBR-0150",,"Low",_SPECIFIEDvarPubDate)</f>
        <v>460</v>
      </c>
      <c r="C2" s="1">
        <f t="shared" ref="C2:C65" si="0">_SPECIFIEDvarPubDate</f>
        <v>45848</v>
      </c>
      <c r="D2">
        <f t="shared" ref="D2:D65" si="1">_SPECIFIEDvarYear</f>
        <v>2025</v>
      </c>
      <c r="E2">
        <f t="shared" ref="E2:E65" si="2">_SPECIFIEDvarMonth</f>
        <v>7</v>
      </c>
      <c r="F2" s="13" t="s">
        <v>10</v>
      </c>
      <c r="G2" s="13" t="s">
        <v>11</v>
      </c>
      <c r="H2" s="13" t="s">
        <v>2792</v>
      </c>
    </row>
    <row r="3" spans="1:8" x14ac:dyDescent="0.25">
      <c r="A3" t="s">
        <v>13</v>
      </c>
      <c r="B3" s="15" cm="1">
        <f t="array" ref="B3">_xll.GetPrice("FP-LBR-0151",,"Low",_SPECIFIEDvarPubDate,)</f>
        <v>395</v>
      </c>
      <c r="C3" s="1">
        <f t="shared" si="0"/>
        <v>45848</v>
      </c>
      <c r="D3">
        <f t="shared" si="1"/>
        <v>2025</v>
      </c>
      <c r="E3">
        <f t="shared" si="2"/>
        <v>7</v>
      </c>
      <c r="F3" s="13" t="s">
        <v>14</v>
      </c>
      <c r="G3" s="13" t="s">
        <v>11</v>
      </c>
      <c r="H3" s="13" t="s">
        <v>2792</v>
      </c>
    </row>
    <row r="4" spans="1:8" x14ac:dyDescent="0.25">
      <c r="A4" t="s">
        <v>15</v>
      </c>
      <c r="B4" s="15" cm="1">
        <f t="array" ref="B4">_xll.GetPrice("FP-LBR-0152",,"Low",_SPECIFIEDvarPubDate,)</f>
        <v>400</v>
      </c>
      <c r="C4" s="1">
        <f t="shared" si="0"/>
        <v>45848</v>
      </c>
      <c r="D4">
        <f t="shared" si="1"/>
        <v>2025</v>
      </c>
      <c r="E4">
        <f t="shared" si="2"/>
        <v>7</v>
      </c>
      <c r="F4" s="13" t="s">
        <v>16</v>
      </c>
      <c r="G4" s="13" t="s">
        <v>11</v>
      </c>
      <c r="H4" s="13" t="s">
        <v>2792</v>
      </c>
    </row>
    <row r="5" spans="1:8" x14ac:dyDescent="0.25">
      <c r="A5" t="s">
        <v>17</v>
      </c>
      <c r="B5" s="15" cm="1">
        <f t="array" ref="B5">_xll.GetPrice("FP-LBR-0153",,"Low",_SPECIFIEDvarPubDate,)</f>
        <v>405</v>
      </c>
      <c r="C5" s="1">
        <f t="shared" si="0"/>
        <v>45848</v>
      </c>
      <c r="D5">
        <f t="shared" si="1"/>
        <v>2025</v>
      </c>
      <c r="E5">
        <f t="shared" si="2"/>
        <v>7</v>
      </c>
      <c r="F5" s="13" t="s">
        <v>18</v>
      </c>
      <c r="G5" s="13" t="s">
        <v>11</v>
      </c>
      <c r="H5" s="13" t="s">
        <v>2792</v>
      </c>
    </row>
    <row r="6" spans="1:8" x14ac:dyDescent="0.25">
      <c r="A6" t="s">
        <v>19</v>
      </c>
      <c r="B6" s="15" cm="1">
        <f t="array" ref="B6">_xll.GetPrice("FP-LBR-0154",,"Low",_SPECIFIEDvarPubDate,)</f>
        <v>320</v>
      </c>
      <c r="C6" s="1">
        <f t="shared" si="0"/>
        <v>45848</v>
      </c>
      <c r="D6">
        <f t="shared" si="1"/>
        <v>2025</v>
      </c>
      <c r="E6">
        <f t="shared" si="2"/>
        <v>7</v>
      </c>
      <c r="F6" s="13" t="s">
        <v>20</v>
      </c>
      <c r="G6" s="13" t="s">
        <v>11</v>
      </c>
      <c r="H6" s="13" t="s">
        <v>2792</v>
      </c>
    </row>
    <row r="7" spans="1:8" x14ac:dyDescent="0.25">
      <c r="A7" t="s">
        <v>21</v>
      </c>
      <c r="B7" s="15" cm="1">
        <f t="array" ref="B7">_xll.GetPrice("FP-LBR-0155",,"Low",_SPECIFIEDvarPubDate,)</f>
        <v>215</v>
      </c>
      <c r="C7" s="1">
        <f t="shared" si="0"/>
        <v>45848</v>
      </c>
      <c r="D7">
        <f t="shared" si="1"/>
        <v>2025</v>
      </c>
      <c r="E7">
        <f t="shared" si="2"/>
        <v>7</v>
      </c>
      <c r="F7" s="13" t="s">
        <v>22</v>
      </c>
      <c r="G7" s="13" t="s">
        <v>11</v>
      </c>
      <c r="H7" s="13" t="s">
        <v>2792</v>
      </c>
    </row>
    <row r="8" spans="1:8" x14ac:dyDescent="0.25">
      <c r="A8" t="s">
        <v>23</v>
      </c>
      <c r="B8" s="15" cm="1">
        <f t="array" ref="B8">_xll.GetPrice("FP-LBR-0156",,"Low",_SPECIFIEDvarPubDate,)</f>
        <v>160</v>
      </c>
      <c r="C8" s="1">
        <f t="shared" si="0"/>
        <v>45848</v>
      </c>
      <c r="D8">
        <f t="shared" si="1"/>
        <v>2025</v>
      </c>
      <c r="E8">
        <f t="shared" si="2"/>
        <v>7</v>
      </c>
      <c r="F8" s="13" t="s">
        <v>24</v>
      </c>
      <c r="G8" s="13" t="s">
        <v>11</v>
      </c>
      <c r="H8" s="13" t="s">
        <v>2792</v>
      </c>
    </row>
    <row r="9" spans="1:8" x14ac:dyDescent="0.25">
      <c r="A9" t="s">
        <v>25</v>
      </c>
      <c r="B9" s="15" cm="1">
        <f t="array" ref="B9">_xll.GetPrice("FP-LBR-0157",,"Low",_SPECIFIEDvarPubDate,)</f>
        <v>160</v>
      </c>
      <c r="C9" s="1">
        <f t="shared" si="0"/>
        <v>45848</v>
      </c>
      <c r="D9">
        <f t="shared" si="1"/>
        <v>2025</v>
      </c>
      <c r="E9">
        <f t="shared" si="2"/>
        <v>7</v>
      </c>
      <c r="F9" s="13" t="s">
        <v>26</v>
      </c>
      <c r="G9" s="13" t="s">
        <v>11</v>
      </c>
      <c r="H9" s="13" t="s">
        <v>2792</v>
      </c>
    </row>
    <row r="10" spans="1:8" x14ac:dyDescent="0.25">
      <c r="A10" t="s">
        <v>27</v>
      </c>
      <c r="B10" s="15" cm="1">
        <f t="array" ref="B10">_xll.GetPrice("FP-LBR-0158",,"Low",_SPECIFIEDvarPubDate,)</f>
        <v>165</v>
      </c>
      <c r="C10" s="1">
        <f t="shared" si="0"/>
        <v>45848</v>
      </c>
      <c r="D10">
        <f t="shared" si="1"/>
        <v>2025</v>
      </c>
      <c r="E10">
        <f t="shared" si="2"/>
        <v>7</v>
      </c>
      <c r="F10" s="13" t="s">
        <v>28</v>
      </c>
      <c r="G10" s="13" t="s">
        <v>11</v>
      </c>
      <c r="H10" s="13" t="s">
        <v>2792</v>
      </c>
    </row>
    <row r="11" spans="1:8" x14ac:dyDescent="0.25">
      <c r="A11" t="s">
        <v>29</v>
      </c>
      <c r="B11" s="15" cm="1">
        <f t="array" ref="B11">_xll.GetPrice("FP-LBR-0172",,"Low",_SPECIFIEDvarPubDate,)</f>
        <v>415</v>
      </c>
      <c r="C11" s="1">
        <f t="shared" si="0"/>
        <v>45848</v>
      </c>
      <c r="D11">
        <f t="shared" si="1"/>
        <v>2025</v>
      </c>
      <c r="E11">
        <f t="shared" si="2"/>
        <v>7</v>
      </c>
      <c r="F11" s="13" t="s">
        <v>30</v>
      </c>
      <c r="G11" s="13" t="s">
        <v>11</v>
      </c>
      <c r="H11" s="13" t="s">
        <v>2792</v>
      </c>
    </row>
    <row r="12" spans="1:8" x14ac:dyDescent="0.25">
      <c r="A12" t="s">
        <v>31</v>
      </c>
      <c r="B12" s="15" cm="1">
        <f t="array" ref="B12">_xll.GetPrice("FP-LBR-1317",,"Low",_SPECIFIEDvarPubDate,)</f>
        <v>445</v>
      </c>
      <c r="C12" s="1">
        <f t="shared" si="0"/>
        <v>45848</v>
      </c>
      <c r="D12">
        <f t="shared" si="1"/>
        <v>2025</v>
      </c>
      <c r="E12">
        <f t="shared" si="2"/>
        <v>7</v>
      </c>
      <c r="F12" s="13" t="s">
        <v>32</v>
      </c>
      <c r="G12" s="13" t="s">
        <v>11</v>
      </c>
      <c r="H12" s="13" t="s">
        <v>2792</v>
      </c>
    </row>
    <row r="13" spans="1:8" x14ac:dyDescent="0.25">
      <c r="A13" t="s">
        <v>33</v>
      </c>
      <c r="B13" s="15" cm="1">
        <f t="array" ref="B13">_xll.GetPrice("FP-LBR-1319",,"Low",_SPECIFIEDvarPubDate,)</f>
        <v>395</v>
      </c>
      <c r="C13" s="1">
        <f t="shared" si="0"/>
        <v>45848</v>
      </c>
      <c r="D13">
        <f t="shared" si="1"/>
        <v>2025</v>
      </c>
      <c r="E13">
        <f t="shared" si="2"/>
        <v>7</v>
      </c>
      <c r="F13" s="13" t="s">
        <v>34</v>
      </c>
      <c r="G13" s="13" t="s">
        <v>11</v>
      </c>
      <c r="H13" s="13" t="s">
        <v>2792</v>
      </c>
    </row>
    <row r="14" spans="1:8" x14ac:dyDescent="0.25">
      <c r="A14" t="s">
        <v>35</v>
      </c>
      <c r="B14" s="15" cm="1">
        <f t="array" ref="B14">_xll.GetPrice("FP-LBR-1320",,"Low",_SPECIFIEDvarPubDate,)</f>
        <v>410</v>
      </c>
      <c r="C14" s="1">
        <f t="shared" si="0"/>
        <v>45848</v>
      </c>
      <c r="D14">
        <f t="shared" si="1"/>
        <v>2025</v>
      </c>
      <c r="E14">
        <f t="shared" si="2"/>
        <v>7</v>
      </c>
      <c r="F14" s="13" t="s">
        <v>36</v>
      </c>
      <c r="G14" s="13" t="s">
        <v>11</v>
      </c>
      <c r="H14" s="13" t="s">
        <v>2792</v>
      </c>
    </row>
    <row r="15" spans="1:8" x14ac:dyDescent="0.25">
      <c r="A15" t="s">
        <v>37</v>
      </c>
      <c r="B15" s="15" cm="1">
        <f t="array" ref="B15">_xll.GetPrice("FP-LBR-1321",,"Low",_SPECIFIEDvarPubDate,)</f>
        <v>570</v>
      </c>
      <c r="C15" s="1">
        <f t="shared" si="0"/>
        <v>45848</v>
      </c>
      <c r="D15">
        <f t="shared" si="1"/>
        <v>2025</v>
      </c>
      <c r="E15">
        <f t="shared" si="2"/>
        <v>7</v>
      </c>
      <c r="F15" s="13" t="s">
        <v>38</v>
      </c>
      <c r="G15" s="13" t="s">
        <v>11</v>
      </c>
      <c r="H15" s="13" t="s">
        <v>2792</v>
      </c>
    </row>
    <row r="16" spans="1:8" x14ac:dyDescent="0.25">
      <c r="A16" t="s">
        <v>39</v>
      </c>
      <c r="B16" s="15" cm="1">
        <f t="array" ref="B16">_xll.GetPrice("FP-LBR-1322",,"Low",_SPECIFIEDvarPubDate,)</f>
        <v>505</v>
      </c>
      <c r="C16" s="1">
        <f t="shared" si="0"/>
        <v>45848</v>
      </c>
      <c r="D16">
        <f t="shared" si="1"/>
        <v>2025</v>
      </c>
      <c r="E16">
        <f t="shared" si="2"/>
        <v>7</v>
      </c>
      <c r="F16" s="13" t="s">
        <v>40</v>
      </c>
      <c r="G16" s="13" t="s">
        <v>11</v>
      </c>
      <c r="H16" s="13" t="s">
        <v>2792</v>
      </c>
    </row>
    <row r="17" spans="1:8" x14ac:dyDescent="0.25">
      <c r="A17" t="s">
        <v>41</v>
      </c>
      <c r="B17" s="15" cm="1">
        <f t="array" ref="B17">_xll.GetPrice("FP-LBR-1329",,"Low",_SPECIFIEDvarPubDate,)</f>
        <v>275</v>
      </c>
      <c r="C17" s="1">
        <f t="shared" si="0"/>
        <v>45848</v>
      </c>
      <c r="D17">
        <f t="shared" si="1"/>
        <v>2025</v>
      </c>
      <c r="E17">
        <f t="shared" si="2"/>
        <v>7</v>
      </c>
      <c r="F17" s="13" t="s">
        <v>42</v>
      </c>
      <c r="G17" s="13" t="s">
        <v>11</v>
      </c>
      <c r="H17" s="13" t="s">
        <v>2792</v>
      </c>
    </row>
    <row r="18" spans="1:8" x14ac:dyDescent="0.25">
      <c r="A18" t="s">
        <v>43</v>
      </c>
      <c r="B18" s="15" cm="1">
        <f t="array" ref="B18">_xll.GetPrice("FP-LBR-1330",,"Low",_SPECIFIEDvarPubDate,)</f>
        <v>225</v>
      </c>
      <c r="C18" s="1">
        <f t="shared" si="0"/>
        <v>45848</v>
      </c>
      <c r="D18">
        <f t="shared" si="1"/>
        <v>2025</v>
      </c>
      <c r="E18">
        <f t="shared" si="2"/>
        <v>7</v>
      </c>
      <c r="F18" s="13" t="s">
        <v>44</v>
      </c>
      <c r="G18" s="13" t="s">
        <v>11</v>
      </c>
      <c r="H18" s="13" t="s">
        <v>2792</v>
      </c>
    </row>
    <row r="19" spans="1:8" x14ac:dyDescent="0.25">
      <c r="A19" t="s">
        <v>45</v>
      </c>
      <c r="B19" s="15" cm="1">
        <f t="array" ref="B19">_xll.GetPrice("FP-LBR-1331",,"Low",_SPECIFIEDvarPubDate,)</f>
        <v>175</v>
      </c>
      <c r="C19" s="1">
        <f t="shared" si="0"/>
        <v>45848</v>
      </c>
      <c r="D19">
        <f t="shared" si="1"/>
        <v>2025</v>
      </c>
      <c r="E19">
        <f t="shared" si="2"/>
        <v>7</v>
      </c>
      <c r="F19" s="13" t="s">
        <v>46</v>
      </c>
      <c r="G19" s="13" t="s">
        <v>11</v>
      </c>
      <c r="H19" s="13" t="s">
        <v>2792</v>
      </c>
    </row>
    <row r="20" spans="1:8" x14ac:dyDescent="0.25">
      <c r="A20" t="s">
        <v>47</v>
      </c>
      <c r="B20" s="15" cm="1">
        <f t="array" ref="B20">_xll.GetPrice("FP-LBR-1836",,"Low",_SPECIFIEDvarPubDate,)</f>
        <v>585</v>
      </c>
      <c r="C20" s="1">
        <f t="shared" si="0"/>
        <v>45848</v>
      </c>
      <c r="D20">
        <f t="shared" si="1"/>
        <v>2025</v>
      </c>
      <c r="E20">
        <f t="shared" si="2"/>
        <v>7</v>
      </c>
      <c r="F20" s="13" t="s">
        <v>48</v>
      </c>
      <c r="G20" s="13" t="s">
        <v>11</v>
      </c>
      <c r="H20" s="13" t="s">
        <v>2792</v>
      </c>
    </row>
    <row r="21" spans="1:8" x14ac:dyDescent="0.25">
      <c r="A21" t="s">
        <v>49</v>
      </c>
      <c r="B21" s="15" cm="1">
        <f t="array" ref="B21">_xll.GetPrice("FP-LBR-1837",,"Low",_SPECIFIEDvarPubDate,)</f>
        <v>563</v>
      </c>
      <c r="C21" s="1">
        <f t="shared" si="0"/>
        <v>45848</v>
      </c>
      <c r="D21">
        <f t="shared" si="1"/>
        <v>2025</v>
      </c>
      <c r="E21">
        <f t="shared" si="2"/>
        <v>7</v>
      </c>
      <c r="F21" s="13" t="s">
        <v>50</v>
      </c>
      <c r="G21" s="13" t="s">
        <v>11</v>
      </c>
      <c r="H21" s="13" t="s">
        <v>2792</v>
      </c>
    </row>
    <row r="22" spans="1:8" x14ac:dyDescent="0.25">
      <c r="A22" t="s">
        <v>51</v>
      </c>
      <c r="B22" s="15" cm="1">
        <f t="array" ref="B22">_xll.GetPrice("FP-LBR-1838",,"Low",_SPECIFIEDvarPubDate,)</f>
        <v>564</v>
      </c>
      <c r="C22" s="1">
        <f t="shared" si="0"/>
        <v>45848</v>
      </c>
      <c r="D22">
        <f t="shared" si="1"/>
        <v>2025</v>
      </c>
      <c r="E22">
        <f t="shared" si="2"/>
        <v>7</v>
      </c>
      <c r="F22" s="13" t="s">
        <v>52</v>
      </c>
      <c r="G22" s="13" t="s">
        <v>11</v>
      </c>
      <c r="H22" s="13" t="s">
        <v>2792</v>
      </c>
    </row>
    <row r="23" spans="1:8" x14ac:dyDescent="0.25">
      <c r="A23" t="s">
        <v>53</v>
      </c>
      <c r="B23" s="15" cm="1">
        <f t="array" ref="B23">_xll.GetPrice("FP-LBR-1839",,"Low",_SPECIFIEDvarPubDate,)</f>
        <v>562</v>
      </c>
      <c r="C23" s="1">
        <f t="shared" si="0"/>
        <v>45848</v>
      </c>
      <c r="D23">
        <f t="shared" si="1"/>
        <v>2025</v>
      </c>
      <c r="E23">
        <f t="shared" si="2"/>
        <v>7</v>
      </c>
      <c r="F23" s="13" t="s">
        <v>54</v>
      </c>
      <c r="G23" s="13" t="s">
        <v>11</v>
      </c>
      <c r="H23" s="13" t="s">
        <v>2792</v>
      </c>
    </row>
    <row r="24" spans="1:8" x14ac:dyDescent="0.25">
      <c r="A24" t="s">
        <v>55</v>
      </c>
      <c r="B24" s="15" cm="1">
        <f t="array" ref="B24">_xll.GetPrice("FP-LBR-0241",,"Low",_SPECIFIEDvarPubDate,)</f>
        <v>502</v>
      </c>
      <c r="C24" s="1">
        <f t="shared" si="0"/>
        <v>45848</v>
      </c>
      <c r="D24">
        <f t="shared" si="1"/>
        <v>2025</v>
      </c>
      <c r="E24">
        <f t="shared" si="2"/>
        <v>7</v>
      </c>
      <c r="F24" s="13" t="s">
        <v>56</v>
      </c>
      <c r="G24" s="13" t="s">
        <v>11</v>
      </c>
      <c r="H24" s="13" t="s">
        <v>2792</v>
      </c>
    </row>
    <row r="25" spans="1:8" x14ac:dyDescent="0.25">
      <c r="A25" t="s">
        <v>57</v>
      </c>
      <c r="B25" s="15" cm="1">
        <f t="array" ref="B25">_xll.GetPrice("FP-LBR-0243",,"Low",_SPECIFIEDvarPubDate,)</f>
        <v>465</v>
      </c>
      <c r="C25" s="1">
        <f t="shared" si="0"/>
        <v>45848</v>
      </c>
      <c r="D25">
        <f t="shared" si="1"/>
        <v>2025</v>
      </c>
      <c r="E25">
        <f t="shared" si="2"/>
        <v>7</v>
      </c>
      <c r="F25" s="13" t="s">
        <v>58</v>
      </c>
      <c r="G25" s="13" t="s">
        <v>11</v>
      </c>
      <c r="H25" s="13" t="s">
        <v>2792</v>
      </c>
    </row>
    <row r="26" spans="1:8" x14ac:dyDescent="0.25">
      <c r="A26" t="s">
        <v>59</v>
      </c>
      <c r="B26" s="15" cm="1">
        <f t="array" ref="B26">_xll.GetPrice("FP-LBR-0244",,"Low",_SPECIFIEDvarPubDate,)</f>
        <v>420</v>
      </c>
      <c r="C26" s="1">
        <f t="shared" si="0"/>
        <v>45848</v>
      </c>
      <c r="D26">
        <f t="shared" si="1"/>
        <v>2025</v>
      </c>
      <c r="E26">
        <f t="shared" si="2"/>
        <v>7</v>
      </c>
      <c r="F26" s="13" t="s">
        <v>60</v>
      </c>
      <c r="G26" s="13" t="s">
        <v>11</v>
      </c>
      <c r="H26" s="13" t="s">
        <v>2792</v>
      </c>
    </row>
    <row r="27" spans="1:8" x14ac:dyDescent="0.25">
      <c r="A27" t="s">
        <v>61</v>
      </c>
      <c r="B27" s="15" cm="1">
        <f t="array" ref="B27">_xll.GetPrice("FP-LBR-0245",,"Low",_SPECIFIEDvarPubDate,)</f>
        <v>430</v>
      </c>
      <c r="C27" s="1">
        <f t="shared" si="0"/>
        <v>45848</v>
      </c>
      <c r="D27">
        <f t="shared" si="1"/>
        <v>2025</v>
      </c>
      <c r="E27">
        <f t="shared" si="2"/>
        <v>7</v>
      </c>
      <c r="F27" s="13" t="s">
        <v>62</v>
      </c>
      <c r="G27" s="13" t="s">
        <v>11</v>
      </c>
      <c r="H27" s="13" t="s">
        <v>2792</v>
      </c>
    </row>
    <row r="28" spans="1:8" x14ac:dyDescent="0.25">
      <c r="A28" t="s">
        <v>63</v>
      </c>
      <c r="B28" s="15" cm="1">
        <f t="array" ref="B28">_xll.GetPrice("FP-LBR-0246",,"Low",_SPECIFIEDvarPubDate,)</f>
        <v>410</v>
      </c>
      <c r="C28" s="1">
        <f t="shared" si="0"/>
        <v>45848</v>
      </c>
      <c r="D28">
        <f t="shared" si="1"/>
        <v>2025</v>
      </c>
      <c r="E28">
        <f t="shared" si="2"/>
        <v>7</v>
      </c>
      <c r="F28" s="13" t="s">
        <v>64</v>
      </c>
      <c r="G28" s="13" t="s">
        <v>11</v>
      </c>
      <c r="H28" s="13" t="s">
        <v>2792</v>
      </c>
    </row>
    <row r="29" spans="1:8" x14ac:dyDescent="0.25">
      <c r="A29" t="s">
        <v>65</v>
      </c>
      <c r="B29" s="15" cm="1">
        <f t="array" ref="B29">_xll.GetPrice("FP-LBR-0247",,"Low",_SPECIFIEDvarPubDate,)</f>
        <v>340</v>
      </c>
      <c r="C29" s="1">
        <f t="shared" si="0"/>
        <v>45848</v>
      </c>
      <c r="D29">
        <f t="shared" si="1"/>
        <v>2025</v>
      </c>
      <c r="E29">
        <f t="shared" si="2"/>
        <v>7</v>
      </c>
      <c r="F29" s="13" t="s">
        <v>66</v>
      </c>
      <c r="G29" s="13" t="s">
        <v>11</v>
      </c>
      <c r="H29" s="13" t="s">
        <v>2792</v>
      </c>
    </row>
    <row r="30" spans="1:8" x14ac:dyDescent="0.25">
      <c r="A30" t="s">
        <v>67</v>
      </c>
      <c r="B30" s="15" cm="1">
        <f t="array" ref="B30">_xll.GetPrice("FP-LBR-0248",,"Low",_SPECIFIEDvarPubDate,)</f>
        <v>285</v>
      </c>
      <c r="C30" s="1">
        <f t="shared" si="0"/>
        <v>45848</v>
      </c>
      <c r="D30">
        <f t="shared" si="1"/>
        <v>2025</v>
      </c>
      <c r="E30">
        <f t="shared" si="2"/>
        <v>7</v>
      </c>
      <c r="F30" s="13" t="s">
        <v>68</v>
      </c>
      <c r="G30" s="13" t="s">
        <v>11</v>
      </c>
      <c r="H30" s="13" t="s">
        <v>2792</v>
      </c>
    </row>
    <row r="31" spans="1:8" x14ac:dyDescent="0.25">
      <c r="A31" t="s">
        <v>69</v>
      </c>
      <c r="B31" s="15" cm="1">
        <f t="array" ref="B31">_xll.GetPrice("FP-LBR-0249",,"Low",_SPECIFIEDvarPubDate,)</f>
        <v>205</v>
      </c>
      <c r="C31" s="1">
        <f t="shared" si="0"/>
        <v>45848</v>
      </c>
      <c r="D31">
        <f t="shared" si="1"/>
        <v>2025</v>
      </c>
      <c r="E31">
        <f t="shared" si="2"/>
        <v>7</v>
      </c>
      <c r="F31" s="13" t="s">
        <v>70</v>
      </c>
      <c r="G31" s="13" t="s">
        <v>11</v>
      </c>
      <c r="H31" s="13" t="s">
        <v>2792</v>
      </c>
    </row>
    <row r="32" spans="1:8" x14ac:dyDescent="0.25">
      <c r="A32" t="s">
        <v>71</v>
      </c>
      <c r="B32" s="15" cm="1">
        <f t="array" ref="B32">_xll.GetPrice("FP-LBR-0250",,"Low",_SPECIFIEDvarPubDate,)</f>
        <v>205</v>
      </c>
      <c r="C32" s="1">
        <f t="shared" si="0"/>
        <v>45848</v>
      </c>
      <c r="D32">
        <f t="shared" si="1"/>
        <v>2025</v>
      </c>
      <c r="E32">
        <f t="shared" si="2"/>
        <v>7</v>
      </c>
      <c r="F32" s="13" t="s">
        <v>72</v>
      </c>
      <c r="G32" s="13" t="s">
        <v>11</v>
      </c>
      <c r="H32" s="13" t="s">
        <v>2792</v>
      </c>
    </row>
    <row r="33" spans="1:8" x14ac:dyDescent="0.25">
      <c r="A33" t="s">
        <v>73</v>
      </c>
      <c r="B33" s="15" cm="1">
        <f t="array" ref="B33">_xll.GetPrice("FP-LBR-0251",,"Low",_SPECIFIEDvarPubDate,)</f>
        <v>205</v>
      </c>
      <c r="C33" s="1">
        <f t="shared" si="0"/>
        <v>45848</v>
      </c>
      <c r="D33">
        <f t="shared" si="1"/>
        <v>2025</v>
      </c>
      <c r="E33">
        <f t="shared" si="2"/>
        <v>7</v>
      </c>
      <c r="F33" s="13" t="s">
        <v>74</v>
      </c>
      <c r="G33" s="13" t="s">
        <v>11</v>
      </c>
      <c r="H33" s="13" t="s">
        <v>2792</v>
      </c>
    </row>
    <row r="34" spans="1:8" x14ac:dyDescent="0.25">
      <c r="A34" t="s">
        <v>75</v>
      </c>
      <c r="B34" s="15" cm="1">
        <f t="array" ref="B34">_xll.GetPrice("FP-LBR-0291",,"Low",_SPECIFIEDvarPubDate,)</f>
        <v>400</v>
      </c>
      <c r="C34" s="1">
        <f t="shared" si="0"/>
        <v>45848</v>
      </c>
      <c r="D34">
        <f t="shared" si="1"/>
        <v>2025</v>
      </c>
      <c r="E34">
        <f t="shared" si="2"/>
        <v>7</v>
      </c>
      <c r="F34" s="13" t="s">
        <v>76</v>
      </c>
      <c r="G34" s="13" t="s">
        <v>11</v>
      </c>
      <c r="H34" s="13" t="s">
        <v>2792</v>
      </c>
    </row>
    <row r="35" spans="1:8" x14ac:dyDescent="0.25">
      <c r="A35" t="s">
        <v>77</v>
      </c>
      <c r="B35" s="15" cm="1">
        <f t="array" ref="B35">_xll.GetPrice("FP-LBR-0292",,"Low",_SPECIFIEDvarPubDate,)</f>
        <v>485</v>
      </c>
      <c r="C35" s="1">
        <f t="shared" si="0"/>
        <v>45848</v>
      </c>
      <c r="D35">
        <f t="shared" si="1"/>
        <v>2025</v>
      </c>
      <c r="E35">
        <f t="shared" si="2"/>
        <v>7</v>
      </c>
      <c r="F35" s="13" t="s">
        <v>78</v>
      </c>
      <c r="G35" s="13" t="s">
        <v>11</v>
      </c>
      <c r="H35" s="13" t="s">
        <v>2792</v>
      </c>
    </row>
    <row r="36" spans="1:8" x14ac:dyDescent="0.25">
      <c r="A36" t="s">
        <v>79</v>
      </c>
      <c r="B36" s="15" cm="1">
        <f t="array" ref="B36">_xll.GetPrice("FP-LBR-0293",,"Low",_SPECIFIEDvarPubDate,)</f>
        <v>430</v>
      </c>
      <c r="C36" s="1">
        <f t="shared" si="0"/>
        <v>45848</v>
      </c>
      <c r="D36">
        <f t="shared" si="1"/>
        <v>2025</v>
      </c>
      <c r="E36">
        <f t="shared" si="2"/>
        <v>7</v>
      </c>
      <c r="F36" s="13" t="s">
        <v>80</v>
      </c>
      <c r="G36" s="13" t="s">
        <v>11</v>
      </c>
      <c r="H36" s="13" t="s">
        <v>2792</v>
      </c>
    </row>
    <row r="37" spans="1:8" x14ac:dyDescent="0.25">
      <c r="A37" t="s">
        <v>81</v>
      </c>
      <c r="B37" s="15" cm="1">
        <f t="array" ref="B37">_xll.GetPrice("FP-LBR-0899",,"Low",_SPECIFIEDvarPubDate,)</f>
        <v>10</v>
      </c>
      <c r="C37" s="1">
        <f t="shared" si="0"/>
        <v>45848</v>
      </c>
      <c r="D37">
        <f t="shared" si="1"/>
        <v>2025</v>
      </c>
      <c r="E37">
        <f t="shared" si="2"/>
        <v>7</v>
      </c>
      <c r="F37" s="13" t="s">
        <v>82</v>
      </c>
      <c r="G37" s="13" t="s">
        <v>11</v>
      </c>
      <c r="H37" s="13" t="s">
        <v>2792</v>
      </c>
    </row>
    <row r="38" spans="1:8" x14ac:dyDescent="0.25">
      <c r="A38" t="s">
        <v>83</v>
      </c>
      <c r="B38" s="15" cm="1">
        <f t="array" ref="B38">_xll.GetPrice("FP-LBR-1332",,"Low",_SPECIFIEDvarPubDate,)</f>
        <v>175</v>
      </c>
      <c r="C38" s="1">
        <f t="shared" si="0"/>
        <v>45848</v>
      </c>
      <c r="D38">
        <f t="shared" si="1"/>
        <v>2025</v>
      </c>
      <c r="E38">
        <f t="shared" si="2"/>
        <v>7</v>
      </c>
      <c r="F38" s="13" t="s">
        <v>84</v>
      </c>
      <c r="G38" s="13" t="s">
        <v>11</v>
      </c>
      <c r="H38" s="13" t="s">
        <v>2792</v>
      </c>
    </row>
    <row r="39" spans="1:8" x14ac:dyDescent="0.25">
      <c r="A39" t="s">
        <v>85</v>
      </c>
      <c r="B39" s="15" cm="1">
        <f t="array" ref="B39">_xll.GetPrice("FP-LBR-1843",,"Low",_SPECIFIEDvarPubDate,)</f>
        <v>415</v>
      </c>
      <c r="C39" s="1">
        <f t="shared" si="0"/>
        <v>45848</v>
      </c>
      <c r="D39">
        <f t="shared" si="1"/>
        <v>2025</v>
      </c>
      <c r="E39">
        <f t="shared" si="2"/>
        <v>7</v>
      </c>
      <c r="F39" s="13" t="s">
        <v>86</v>
      </c>
      <c r="G39" s="13" t="s">
        <v>11</v>
      </c>
      <c r="H39" s="13" t="s">
        <v>2792</v>
      </c>
    </row>
    <row r="40" spans="1:8" x14ac:dyDescent="0.25">
      <c r="A40" t="s">
        <v>87</v>
      </c>
      <c r="B40" s="15" cm="1">
        <f t="array" ref="B40">_xll.GetPrice("FP-LBR-1844",,"Low",_SPECIFIEDvarPubDate,)</f>
        <v>394</v>
      </c>
      <c r="C40" s="1">
        <f t="shared" si="0"/>
        <v>45848</v>
      </c>
      <c r="D40">
        <f t="shared" si="1"/>
        <v>2025</v>
      </c>
      <c r="E40">
        <f t="shared" si="2"/>
        <v>7</v>
      </c>
      <c r="F40" s="13" t="s">
        <v>88</v>
      </c>
      <c r="G40" s="13" t="s">
        <v>11</v>
      </c>
      <c r="H40" s="13" t="s">
        <v>2792</v>
      </c>
    </row>
    <row r="41" spans="1:8" x14ac:dyDescent="0.25">
      <c r="A41" t="s">
        <v>89</v>
      </c>
      <c r="B41" s="15" cm="1">
        <f t="array" ref="B41">_xll.GetPrice("FP-LBR-1846",,"Low",_SPECIFIEDvarPubDate,)</f>
        <v>407</v>
      </c>
      <c r="C41" s="1">
        <f t="shared" si="0"/>
        <v>45848</v>
      </c>
      <c r="D41">
        <f t="shared" si="1"/>
        <v>2025</v>
      </c>
      <c r="E41">
        <f t="shared" si="2"/>
        <v>7</v>
      </c>
      <c r="F41" s="13" t="s">
        <v>90</v>
      </c>
      <c r="G41" s="13" t="s">
        <v>11</v>
      </c>
      <c r="H41" s="13" t="s">
        <v>2792</v>
      </c>
    </row>
    <row r="42" spans="1:8" x14ac:dyDescent="0.25">
      <c r="A42" t="s">
        <v>91</v>
      </c>
      <c r="B42" s="15" cm="1">
        <f t="array" ref="B42">_xll.GetPrice("FP-LBR-0259",,"Low",_SPECIFIEDvarPubDate,)</f>
        <v>465</v>
      </c>
      <c r="C42" s="1">
        <f t="shared" si="0"/>
        <v>45848</v>
      </c>
      <c r="D42">
        <f t="shared" si="1"/>
        <v>2025</v>
      </c>
      <c r="E42">
        <f t="shared" si="2"/>
        <v>7</v>
      </c>
      <c r="F42" s="13" t="s">
        <v>92</v>
      </c>
      <c r="G42" s="13" t="s">
        <v>11</v>
      </c>
      <c r="H42" s="13" t="s">
        <v>2792</v>
      </c>
    </row>
    <row r="43" spans="1:8" x14ac:dyDescent="0.25">
      <c r="A43" t="s">
        <v>93</v>
      </c>
      <c r="B43" s="15" cm="1">
        <f t="array" ref="B43">_xll.GetPrice("FP-LBR-0260",,"Low",_SPECIFIEDvarPubDate,)</f>
        <v>405</v>
      </c>
      <c r="C43" s="1">
        <f t="shared" si="0"/>
        <v>45848</v>
      </c>
      <c r="D43">
        <f t="shared" si="1"/>
        <v>2025</v>
      </c>
      <c r="E43">
        <f t="shared" si="2"/>
        <v>7</v>
      </c>
      <c r="F43" s="13" t="s">
        <v>94</v>
      </c>
      <c r="G43" s="13" t="s">
        <v>11</v>
      </c>
      <c r="H43" s="13" t="s">
        <v>2792</v>
      </c>
    </row>
    <row r="44" spans="1:8" x14ac:dyDescent="0.25">
      <c r="A44" t="s">
        <v>95</v>
      </c>
      <c r="B44" s="15" cm="1">
        <f t="array" ref="B44">_xll.GetPrice("FP-LBR-0261",,"Low",_SPECIFIEDvarPubDate,)</f>
        <v>425</v>
      </c>
      <c r="C44" s="1">
        <f t="shared" si="0"/>
        <v>45848</v>
      </c>
      <c r="D44">
        <f t="shared" si="1"/>
        <v>2025</v>
      </c>
      <c r="E44">
        <f t="shared" si="2"/>
        <v>7</v>
      </c>
      <c r="F44" s="13" t="s">
        <v>96</v>
      </c>
      <c r="G44" s="13" t="s">
        <v>11</v>
      </c>
      <c r="H44" s="13" t="s">
        <v>2792</v>
      </c>
    </row>
    <row r="45" spans="1:8" x14ac:dyDescent="0.25">
      <c r="A45" t="s">
        <v>97</v>
      </c>
      <c r="B45" s="15" cm="1">
        <f t="array" ref="B45">_xll.GetPrice("FP-LBR-0262",,"Low",_SPECIFIEDvarPubDate,)</f>
        <v>420</v>
      </c>
      <c r="C45" s="1">
        <f t="shared" si="0"/>
        <v>45848</v>
      </c>
      <c r="D45">
        <f t="shared" si="1"/>
        <v>2025</v>
      </c>
      <c r="E45">
        <f t="shared" si="2"/>
        <v>7</v>
      </c>
      <c r="F45" s="13" t="s">
        <v>98</v>
      </c>
      <c r="G45" s="13" t="s">
        <v>11</v>
      </c>
      <c r="H45" s="13" t="s">
        <v>2792</v>
      </c>
    </row>
    <row r="46" spans="1:8" x14ac:dyDescent="0.25">
      <c r="A46" t="s">
        <v>99</v>
      </c>
      <c r="B46" s="15" cm="1">
        <f t="array" ref="B46">_xll.GetPrice("FP-LBR-0263",,"Low",_SPECIFIEDvarPubDate,)</f>
        <v>340</v>
      </c>
      <c r="C46" s="1">
        <f t="shared" si="0"/>
        <v>45848</v>
      </c>
      <c r="D46">
        <f t="shared" si="1"/>
        <v>2025</v>
      </c>
      <c r="E46">
        <f t="shared" si="2"/>
        <v>7</v>
      </c>
      <c r="F46" s="13" t="s">
        <v>100</v>
      </c>
      <c r="G46" s="13" t="s">
        <v>11</v>
      </c>
      <c r="H46" s="13" t="s">
        <v>2792</v>
      </c>
    </row>
    <row r="47" spans="1:8" x14ac:dyDescent="0.25">
      <c r="A47" t="s">
        <v>101</v>
      </c>
      <c r="B47" s="15" cm="1">
        <f t="array" ref="B47">_xll.GetPrice("FP-LBR-0264",,"Low",_SPECIFIEDvarPubDate,)</f>
        <v>265</v>
      </c>
      <c r="C47" s="1">
        <f t="shared" si="0"/>
        <v>45848</v>
      </c>
      <c r="D47">
        <f t="shared" si="1"/>
        <v>2025</v>
      </c>
      <c r="E47">
        <f t="shared" si="2"/>
        <v>7</v>
      </c>
      <c r="F47" s="13" t="s">
        <v>102</v>
      </c>
      <c r="G47" s="13" t="s">
        <v>11</v>
      </c>
      <c r="H47" s="13" t="s">
        <v>2792</v>
      </c>
    </row>
    <row r="48" spans="1:8" x14ac:dyDescent="0.25">
      <c r="A48" t="s">
        <v>103</v>
      </c>
      <c r="B48" s="15" cm="1">
        <f t="array" ref="B48">_xll.GetPrice("FP-LBR-0265",,"Low",_SPECIFIEDvarPubDate,)</f>
        <v>215</v>
      </c>
      <c r="C48" s="1">
        <f t="shared" si="0"/>
        <v>45848</v>
      </c>
      <c r="D48">
        <f t="shared" si="1"/>
        <v>2025</v>
      </c>
      <c r="E48">
        <f t="shared" si="2"/>
        <v>7</v>
      </c>
      <c r="F48" s="13" t="s">
        <v>104</v>
      </c>
      <c r="G48" s="13" t="s">
        <v>11</v>
      </c>
      <c r="H48" s="13" t="s">
        <v>2792</v>
      </c>
    </row>
    <row r="49" spans="1:8" x14ac:dyDescent="0.25">
      <c r="A49" t="s">
        <v>105</v>
      </c>
      <c r="B49" s="15" cm="1">
        <f t="array" ref="B49">_xll.GetPrice("FP-LBR-0266",,"Low",_SPECIFIEDvarPubDate,)</f>
        <v>215</v>
      </c>
      <c r="C49" s="1">
        <f t="shared" si="0"/>
        <v>45848</v>
      </c>
      <c r="D49">
        <f t="shared" si="1"/>
        <v>2025</v>
      </c>
      <c r="E49">
        <f t="shared" si="2"/>
        <v>7</v>
      </c>
      <c r="F49" s="13" t="s">
        <v>106</v>
      </c>
      <c r="G49" s="13" t="s">
        <v>11</v>
      </c>
      <c r="H49" s="13" t="s">
        <v>2792</v>
      </c>
    </row>
    <row r="50" spans="1:8" x14ac:dyDescent="0.25">
      <c r="A50" t="s">
        <v>107</v>
      </c>
      <c r="B50" s="15" cm="1">
        <f t="array" ref="B50">_xll.GetPrice("FP-LBR-0267",,"Low",_SPECIFIEDvarPubDate,)</f>
        <v>215</v>
      </c>
      <c r="C50" s="1">
        <f t="shared" si="0"/>
        <v>45848</v>
      </c>
      <c r="D50">
        <f t="shared" si="1"/>
        <v>2025</v>
      </c>
      <c r="E50">
        <f t="shared" si="2"/>
        <v>7</v>
      </c>
      <c r="F50" s="13" t="s">
        <v>108</v>
      </c>
      <c r="G50" s="13" t="s">
        <v>11</v>
      </c>
      <c r="H50" s="13" t="s">
        <v>2792</v>
      </c>
    </row>
    <row r="51" spans="1:8" x14ac:dyDescent="0.25">
      <c r="A51" t="s">
        <v>109</v>
      </c>
      <c r="B51" s="15" cm="1">
        <f t="array" ref="B51">_xll.GetPrice("FP-LBR-0302",,"Low",_SPECIFIEDvarPubDate,)</f>
        <v>465</v>
      </c>
      <c r="C51" s="1">
        <f t="shared" si="0"/>
        <v>45848</v>
      </c>
      <c r="D51">
        <f t="shared" si="1"/>
        <v>2025</v>
      </c>
      <c r="E51">
        <f t="shared" si="2"/>
        <v>7</v>
      </c>
      <c r="F51" s="13" t="s">
        <v>110</v>
      </c>
      <c r="G51" s="13" t="s">
        <v>11</v>
      </c>
      <c r="H51" s="13" t="s">
        <v>2792</v>
      </c>
    </row>
    <row r="52" spans="1:8" x14ac:dyDescent="0.25">
      <c r="A52" t="s">
        <v>111</v>
      </c>
      <c r="B52" s="15" cm="1">
        <f t="array" ref="B52">_xll.GetPrice("FP-LBR-0899",,"High",_SPECIFIEDvarPubDate,)</f>
        <v>20</v>
      </c>
      <c r="C52" s="1">
        <f t="shared" si="0"/>
        <v>45848</v>
      </c>
      <c r="D52">
        <f t="shared" si="1"/>
        <v>2025</v>
      </c>
      <c r="E52">
        <f t="shared" si="2"/>
        <v>7</v>
      </c>
      <c r="F52" s="13" t="s">
        <v>82</v>
      </c>
      <c r="G52" s="13" t="s">
        <v>112</v>
      </c>
      <c r="H52" s="13" t="s">
        <v>2792</v>
      </c>
    </row>
    <row r="53" spans="1:8" x14ac:dyDescent="0.25">
      <c r="A53" t="s">
        <v>113</v>
      </c>
      <c r="B53" s="15" cm="1">
        <f t="array" ref="B53">_xll.GetPrice("FP-LBR-1333",,"Low",_SPECIFIEDvarPubDate,)</f>
        <v>175</v>
      </c>
      <c r="C53" s="1">
        <f t="shared" si="0"/>
        <v>45848</v>
      </c>
      <c r="D53">
        <f t="shared" si="1"/>
        <v>2025</v>
      </c>
      <c r="E53">
        <f t="shared" si="2"/>
        <v>7</v>
      </c>
      <c r="F53" s="13" t="s">
        <v>114</v>
      </c>
      <c r="G53" s="13" t="s">
        <v>11</v>
      </c>
      <c r="H53" s="13" t="s">
        <v>2792</v>
      </c>
    </row>
    <row r="54" spans="1:8" x14ac:dyDescent="0.25">
      <c r="A54" t="s">
        <v>115</v>
      </c>
      <c r="B54" s="15" cm="1">
        <f t="array" ref="B54">_xll.GetPrice("FP-LBR-0163",,"Low",_SPECIFIEDvarPubDate,)</f>
        <v>490</v>
      </c>
      <c r="C54" s="1">
        <f t="shared" si="0"/>
        <v>45848</v>
      </c>
      <c r="D54">
        <f t="shared" si="1"/>
        <v>2025</v>
      </c>
      <c r="E54">
        <f t="shared" si="2"/>
        <v>7</v>
      </c>
      <c r="F54" s="13" t="s">
        <v>116</v>
      </c>
      <c r="G54" s="13" t="s">
        <v>11</v>
      </c>
      <c r="H54" s="13" t="s">
        <v>2792</v>
      </c>
    </row>
    <row r="55" spans="1:8" x14ac:dyDescent="0.25">
      <c r="A55" t="s">
        <v>117</v>
      </c>
      <c r="B55" s="15" cm="1">
        <f t="array" ref="B55">_xll.GetPrice("FP-LBR-0164",,"Low",_SPECIFIEDvarPubDate,)</f>
        <v>480</v>
      </c>
      <c r="C55" s="1">
        <f t="shared" si="0"/>
        <v>45848</v>
      </c>
      <c r="D55">
        <f t="shared" si="1"/>
        <v>2025</v>
      </c>
      <c r="E55">
        <f t="shared" si="2"/>
        <v>7</v>
      </c>
      <c r="F55" s="13" t="s">
        <v>118</v>
      </c>
      <c r="G55" s="13" t="s">
        <v>11</v>
      </c>
      <c r="H55" s="13" t="s">
        <v>2792</v>
      </c>
    </row>
    <row r="56" spans="1:8" x14ac:dyDescent="0.25">
      <c r="A56" t="s">
        <v>119</v>
      </c>
      <c r="B56" s="15" cm="1">
        <f t="array" ref="B56">_xll.GetPrice("FP-LBR-0165",,"Low",_SPECIFIEDvarPubDate,)</f>
        <v>640</v>
      </c>
      <c r="C56" s="1">
        <f t="shared" si="0"/>
        <v>45848</v>
      </c>
      <c r="D56">
        <f t="shared" si="1"/>
        <v>2025</v>
      </c>
      <c r="E56">
        <f t="shared" si="2"/>
        <v>7</v>
      </c>
      <c r="F56" s="13" t="s">
        <v>120</v>
      </c>
      <c r="G56" s="13" t="s">
        <v>11</v>
      </c>
      <c r="H56" s="13" t="s">
        <v>2792</v>
      </c>
    </row>
    <row r="57" spans="1:8" x14ac:dyDescent="0.25">
      <c r="A57" t="s">
        <v>121</v>
      </c>
      <c r="B57" s="15" cm="1">
        <f t="array" ref="B57">_xll.GetPrice("FP-LBR-0166",,"Low",_SPECIFIEDvarPubDate,)</f>
        <v>560</v>
      </c>
      <c r="C57" s="1">
        <f t="shared" si="0"/>
        <v>45848</v>
      </c>
      <c r="D57">
        <f t="shared" si="1"/>
        <v>2025</v>
      </c>
      <c r="E57">
        <f t="shared" si="2"/>
        <v>7</v>
      </c>
      <c r="F57" s="13" t="s">
        <v>122</v>
      </c>
      <c r="G57" s="13" t="s">
        <v>11</v>
      </c>
      <c r="H57" s="13" t="s">
        <v>2792</v>
      </c>
    </row>
    <row r="58" spans="1:8" x14ac:dyDescent="0.25">
      <c r="A58" t="s">
        <v>123</v>
      </c>
      <c r="B58" s="15" cm="1">
        <f t="array" ref="B58">_xll.GetPrice("FP-LBR-0167",,"Low",_SPECIFIEDvarPubDate,)</f>
        <v>340</v>
      </c>
      <c r="C58" s="1">
        <f t="shared" si="0"/>
        <v>45848</v>
      </c>
      <c r="D58">
        <f t="shared" si="1"/>
        <v>2025</v>
      </c>
      <c r="E58">
        <f t="shared" si="2"/>
        <v>7</v>
      </c>
      <c r="F58" s="13" t="s">
        <v>124</v>
      </c>
      <c r="G58" s="13" t="s">
        <v>11</v>
      </c>
      <c r="H58" s="13" t="s">
        <v>2792</v>
      </c>
    </row>
    <row r="59" spans="1:8" x14ac:dyDescent="0.25">
      <c r="A59" t="s">
        <v>125</v>
      </c>
      <c r="B59" s="15" cm="1">
        <f t="array" ref="B59">_xll.GetPrice("FP-LBR-0168",,"Low",_SPECIFIEDvarPubDate,)</f>
        <v>300</v>
      </c>
      <c r="C59" s="1">
        <f t="shared" si="0"/>
        <v>45848</v>
      </c>
      <c r="D59">
        <f t="shared" si="1"/>
        <v>2025</v>
      </c>
      <c r="E59">
        <f t="shared" si="2"/>
        <v>7</v>
      </c>
      <c r="F59" s="13" t="s">
        <v>126</v>
      </c>
      <c r="G59" s="13" t="s">
        <v>11</v>
      </c>
      <c r="H59" s="13" t="s">
        <v>2792</v>
      </c>
    </row>
    <row r="60" spans="1:8" x14ac:dyDescent="0.25">
      <c r="A60" t="s">
        <v>127</v>
      </c>
      <c r="B60" s="15" cm="1">
        <f t="array" ref="B60">_xll.GetPrice("FP-LBR-0169",,"Low",_SPECIFIEDvarPubDate,)</f>
        <v>205</v>
      </c>
      <c r="C60" s="1">
        <f t="shared" si="0"/>
        <v>45848</v>
      </c>
      <c r="D60">
        <f t="shared" si="1"/>
        <v>2025</v>
      </c>
      <c r="E60">
        <f t="shared" si="2"/>
        <v>7</v>
      </c>
      <c r="F60" s="13" t="s">
        <v>128</v>
      </c>
      <c r="G60" s="13" t="s">
        <v>11</v>
      </c>
      <c r="H60" s="13" t="s">
        <v>2792</v>
      </c>
    </row>
    <row r="61" spans="1:8" x14ac:dyDescent="0.25">
      <c r="A61" t="s">
        <v>129</v>
      </c>
      <c r="B61" s="15" cm="1">
        <f t="array" ref="B61">_xll.GetPrice("FP-LBR-0170",,"Low",_SPECIFIEDvarPubDate,)</f>
        <v>205</v>
      </c>
      <c r="C61" s="1">
        <f t="shared" si="0"/>
        <v>45848</v>
      </c>
      <c r="D61">
        <f t="shared" si="1"/>
        <v>2025</v>
      </c>
      <c r="E61">
        <f t="shared" si="2"/>
        <v>7</v>
      </c>
      <c r="F61" s="13" t="s">
        <v>130</v>
      </c>
      <c r="G61" s="13" t="s">
        <v>11</v>
      </c>
      <c r="H61" s="13" t="s">
        <v>2792</v>
      </c>
    </row>
    <row r="62" spans="1:8" x14ac:dyDescent="0.25">
      <c r="A62" t="s">
        <v>131</v>
      </c>
      <c r="B62" s="15" cm="1">
        <f t="array" ref="B62">_xll.GetPrice("FP-LBR-0171",,"Low",_SPECIFIEDvarPubDate,)</f>
        <v>215</v>
      </c>
      <c r="C62" s="1">
        <f t="shared" si="0"/>
        <v>45848</v>
      </c>
      <c r="D62">
        <f t="shared" si="1"/>
        <v>2025</v>
      </c>
      <c r="E62">
        <f t="shared" si="2"/>
        <v>7</v>
      </c>
      <c r="F62" s="13" t="s">
        <v>132</v>
      </c>
      <c r="G62" s="13" t="s">
        <v>11</v>
      </c>
      <c r="H62" s="13" t="s">
        <v>2792</v>
      </c>
    </row>
    <row r="63" spans="1:8" x14ac:dyDescent="0.25">
      <c r="A63" t="s">
        <v>133</v>
      </c>
      <c r="B63" s="15" cm="1">
        <f t="array" ref="B63">_xll.GetPrice("FP-LBR-0178",,"Low",_SPECIFIEDvarPubDate,)</f>
        <v>425</v>
      </c>
      <c r="C63" s="1">
        <f t="shared" si="0"/>
        <v>45848</v>
      </c>
      <c r="D63">
        <f t="shared" si="1"/>
        <v>2025</v>
      </c>
      <c r="E63">
        <f t="shared" si="2"/>
        <v>7</v>
      </c>
      <c r="F63" s="13" t="s">
        <v>134</v>
      </c>
      <c r="G63" s="13" t="s">
        <v>11</v>
      </c>
      <c r="H63" s="13" t="s">
        <v>2792</v>
      </c>
    </row>
    <row r="64" spans="1:8" x14ac:dyDescent="0.25">
      <c r="A64" t="s">
        <v>135</v>
      </c>
      <c r="B64" s="15" cm="1">
        <f t="array" ref="B64">_xll.GetPrice("FP-LBR-1206",,"Low",_SPECIFIEDvarPubDate,)</f>
        <v>610</v>
      </c>
      <c r="C64" s="1">
        <f t="shared" si="0"/>
        <v>45848</v>
      </c>
      <c r="D64">
        <f t="shared" si="1"/>
        <v>2025</v>
      </c>
      <c r="E64">
        <f t="shared" si="2"/>
        <v>7</v>
      </c>
      <c r="F64" s="13" t="s">
        <v>136</v>
      </c>
      <c r="G64" s="13" t="s">
        <v>11</v>
      </c>
      <c r="H64" s="13" t="s">
        <v>2792</v>
      </c>
    </row>
    <row r="65" spans="1:8" x14ac:dyDescent="0.25">
      <c r="A65" t="s">
        <v>137</v>
      </c>
      <c r="B65" s="15" cm="1">
        <f t="array" ref="B65">_xll.GetPrice("FP-LBR-1208",,"Low",_SPECIFIEDvarPubDate,)</f>
        <v>570</v>
      </c>
      <c r="C65" s="1">
        <f t="shared" si="0"/>
        <v>45848</v>
      </c>
      <c r="D65">
        <f t="shared" si="1"/>
        <v>2025</v>
      </c>
      <c r="E65">
        <f t="shared" si="2"/>
        <v>7</v>
      </c>
      <c r="F65" s="13" t="s">
        <v>138</v>
      </c>
      <c r="G65" s="13" t="s">
        <v>11</v>
      </c>
      <c r="H65" s="13" t="s">
        <v>2792</v>
      </c>
    </row>
    <row r="66" spans="1:8" x14ac:dyDescent="0.25">
      <c r="A66" t="s">
        <v>139</v>
      </c>
      <c r="B66" s="15" cm="1">
        <f t="array" ref="B66">_xll.GetPrice("FP-LBR-1209",,"Low",_SPECIFIEDvarPubDate,)</f>
        <v>585</v>
      </c>
      <c r="C66" s="1">
        <f t="shared" ref="C66:C129" si="3">_SPECIFIEDvarPubDate</f>
        <v>45848</v>
      </c>
      <c r="D66">
        <f t="shared" ref="D66:D129" si="4">_SPECIFIEDvarYear</f>
        <v>2025</v>
      </c>
      <c r="E66">
        <f t="shared" ref="E66:E129" si="5">_SPECIFIEDvarMonth</f>
        <v>7</v>
      </c>
      <c r="F66" s="13" t="s">
        <v>140</v>
      </c>
      <c r="G66" s="13" t="s">
        <v>11</v>
      </c>
      <c r="H66" s="13" t="s">
        <v>2792</v>
      </c>
    </row>
    <row r="67" spans="1:8" x14ac:dyDescent="0.25">
      <c r="A67" t="s">
        <v>141</v>
      </c>
      <c r="B67" s="15" cm="1">
        <f t="array" ref="B67">_xll.GetPrice("FP-LBR-1210",,"Low",_SPECIFIEDvarPubDate,)</f>
        <v>730</v>
      </c>
      <c r="C67" s="1">
        <f t="shared" si="3"/>
        <v>45848</v>
      </c>
      <c r="D67">
        <f t="shared" si="4"/>
        <v>2025</v>
      </c>
      <c r="E67">
        <f t="shared" si="5"/>
        <v>7</v>
      </c>
      <c r="F67" s="13" t="s">
        <v>142</v>
      </c>
      <c r="G67" s="13" t="s">
        <v>11</v>
      </c>
      <c r="H67" s="13" t="s">
        <v>2792</v>
      </c>
    </row>
    <row r="68" spans="1:8" x14ac:dyDescent="0.25">
      <c r="A68" t="s">
        <v>143</v>
      </c>
      <c r="B68" s="15" cm="1">
        <f t="array" ref="B68">_xll.GetPrice("FP-LBR-1211",,"Low",_SPECIFIEDvarPubDate,)</f>
        <v>665</v>
      </c>
      <c r="C68" s="1">
        <f t="shared" si="3"/>
        <v>45848</v>
      </c>
      <c r="D68">
        <f t="shared" si="4"/>
        <v>2025</v>
      </c>
      <c r="E68">
        <f t="shared" si="5"/>
        <v>7</v>
      </c>
      <c r="F68" s="13" t="s">
        <v>144</v>
      </c>
      <c r="G68" s="13" t="s">
        <v>11</v>
      </c>
      <c r="H68" s="13" t="s">
        <v>2792</v>
      </c>
    </row>
    <row r="69" spans="1:8" x14ac:dyDescent="0.25">
      <c r="A69" t="s">
        <v>145</v>
      </c>
      <c r="B69" s="15" cm="1">
        <f t="array" ref="B69">_xll.GetPrice("FP-LBR-1870",,"Low",_SPECIFIEDvarPubDate,)</f>
        <v>624</v>
      </c>
      <c r="C69" s="1">
        <f t="shared" si="3"/>
        <v>45848</v>
      </c>
      <c r="D69">
        <f t="shared" si="4"/>
        <v>2025</v>
      </c>
      <c r="E69">
        <f t="shared" si="5"/>
        <v>7</v>
      </c>
      <c r="F69" s="13" t="s">
        <v>146</v>
      </c>
      <c r="G69" s="13" t="s">
        <v>11</v>
      </c>
      <c r="H69" s="13" t="s">
        <v>2792</v>
      </c>
    </row>
    <row r="70" spans="1:8" x14ac:dyDescent="0.25">
      <c r="A70" t="s">
        <v>147</v>
      </c>
      <c r="B70" s="15" cm="1">
        <f t="array" ref="B70">_xll.GetPrice("FP-LBR-1873",,"Low",_SPECIFIEDvarPubDate,)</f>
        <v>599</v>
      </c>
      <c r="C70" s="1">
        <f t="shared" si="3"/>
        <v>45848</v>
      </c>
      <c r="D70">
        <f t="shared" si="4"/>
        <v>2025</v>
      </c>
      <c r="E70">
        <f t="shared" si="5"/>
        <v>7</v>
      </c>
      <c r="F70" s="13" t="s">
        <v>148</v>
      </c>
      <c r="G70" s="13" t="s">
        <v>11</v>
      </c>
      <c r="H70" s="13" t="s">
        <v>2792</v>
      </c>
    </row>
    <row r="71" spans="1:8" x14ac:dyDescent="0.25">
      <c r="A71" t="s">
        <v>149</v>
      </c>
      <c r="B71" s="15" cm="1">
        <f t="array" ref="B71">_xll.GetPrice("FP-LBR-1874",,"Low",_SPECIFIEDvarPubDate,)</f>
        <v>609</v>
      </c>
      <c r="C71" s="1">
        <f t="shared" si="3"/>
        <v>45848</v>
      </c>
      <c r="D71">
        <f t="shared" si="4"/>
        <v>2025</v>
      </c>
      <c r="E71">
        <f t="shared" si="5"/>
        <v>7</v>
      </c>
      <c r="F71" s="13" t="s">
        <v>150</v>
      </c>
      <c r="G71" s="13" t="s">
        <v>11</v>
      </c>
      <c r="H71" s="13" t="s">
        <v>2792</v>
      </c>
    </row>
    <row r="72" spans="1:8" x14ac:dyDescent="0.25">
      <c r="A72" t="s">
        <v>151</v>
      </c>
      <c r="B72" s="15" cm="1">
        <f t="array" ref="B72">_xll.GetPrice("FP-LBR-0228",,"Low",_SPECIFIEDvarPubDate,)</f>
        <v>515</v>
      </c>
      <c r="C72" s="1">
        <f t="shared" si="3"/>
        <v>45848</v>
      </c>
      <c r="D72">
        <f t="shared" si="4"/>
        <v>2025</v>
      </c>
      <c r="E72">
        <f t="shared" si="5"/>
        <v>7</v>
      </c>
      <c r="F72" s="13" t="s">
        <v>152</v>
      </c>
      <c r="G72" s="13" t="s">
        <v>11</v>
      </c>
      <c r="H72" s="13" t="s">
        <v>2792</v>
      </c>
    </row>
    <row r="73" spans="1:8" x14ac:dyDescent="0.25">
      <c r="A73" t="s">
        <v>153</v>
      </c>
      <c r="B73" s="15" cm="1">
        <f t="array" ref="B73">_xll.GetPrice("FP-LBR-0230",,"Low",_SPECIFIEDvarPubDate,)</f>
        <v>500</v>
      </c>
      <c r="C73" s="1">
        <f t="shared" si="3"/>
        <v>45848</v>
      </c>
      <c r="D73">
        <f t="shared" si="4"/>
        <v>2025</v>
      </c>
      <c r="E73">
        <f t="shared" si="5"/>
        <v>7</v>
      </c>
      <c r="F73" s="13" t="s">
        <v>154</v>
      </c>
      <c r="G73" s="13" t="s">
        <v>11</v>
      </c>
      <c r="H73" s="13" t="s">
        <v>2792</v>
      </c>
    </row>
    <row r="74" spans="1:8" x14ac:dyDescent="0.25">
      <c r="A74" t="s">
        <v>155</v>
      </c>
      <c r="B74" s="15" cm="1">
        <f t="array" ref="B74">_xll.GetPrice("FP-LBR-0231",,"Low",_SPECIFIEDvarPubDate,)</f>
        <v>495</v>
      </c>
      <c r="C74" s="1">
        <f t="shared" si="3"/>
        <v>45848</v>
      </c>
      <c r="D74">
        <f t="shared" si="4"/>
        <v>2025</v>
      </c>
      <c r="E74">
        <f t="shared" si="5"/>
        <v>7</v>
      </c>
      <c r="F74" s="13" t="s">
        <v>156</v>
      </c>
      <c r="G74" s="13" t="s">
        <v>11</v>
      </c>
      <c r="H74" s="13" t="s">
        <v>2792</v>
      </c>
    </row>
    <row r="75" spans="1:8" x14ac:dyDescent="0.25">
      <c r="A75" t="s">
        <v>157</v>
      </c>
      <c r="B75" s="15" cm="1">
        <f t="array" ref="B75">_xll.GetPrice("FP-LBR-0232",,"Low",_SPECIFIEDvarPubDate,)</f>
        <v>638</v>
      </c>
      <c r="C75" s="1">
        <f t="shared" si="3"/>
        <v>45848</v>
      </c>
      <c r="D75">
        <f t="shared" si="4"/>
        <v>2025</v>
      </c>
      <c r="E75">
        <f t="shared" si="5"/>
        <v>7</v>
      </c>
      <c r="F75" s="13" t="s">
        <v>158</v>
      </c>
      <c r="G75" s="13" t="s">
        <v>11</v>
      </c>
      <c r="H75" s="13" t="s">
        <v>2792</v>
      </c>
    </row>
    <row r="76" spans="1:8" x14ac:dyDescent="0.25">
      <c r="A76" t="s">
        <v>159</v>
      </c>
      <c r="B76" s="15" cm="1">
        <f t="array" ref="B76">_xll.GetPrice("FP-LBR-0233",,"Low",_SPECIFIEDvarPubDate,)</f>
        <v>565</v>
      </c>
      <c r="C76" s="1">
        <f t="shared" si="3"/>
        <v>45848</v>
      </c>
      <c r="D76">
        <f t="shared" si="4"/>
        <v>2025</v>
      </c>
      <c r="E76">
        <f t="shared" si="5"/>
        <v>7</v>
      </c>
      <c r="F76" s="13" t="s">
        <v>160</v>
      </c>
      <c r="G76" s="13" t="s">
        <v>11</v>
      </c>
      <c r="H76" s="13" t="s">
        <v>2792</v>
      </c>
    </row>
    <row r="77" spans="1:8" x14ac:dyDescent="0.25">
      <c r="A77" t="s">
        <v>161</v>
      </c>
      <c r="B77" s="15" cm="1">
        <f t="array" ref="B77">_xll.GetPrice("FP-LBR-0234",,"Low",_SPECIFIEDvarPubDate,)</f>
        <v>345</v>
      </c>
      <c r="C77" s="1">
        <f t="shared" si="3"/>
        <v>45848</v>
      </c>
      <c r="D77">
        <f t="shared" si="4"/>
        <v>2025</v>
      </c>
      <c r="E77">
        <f t="shared" si="5"/>
        <v>7</v>
      </c>
      <c r="F77" s="13" t="s">
        <v>162</v>
      </c>
      <c r="G77" s="13" t="s">
        <v>11</v>
      </c>
      <c r="H77" s="13" t="s">
        <v>2792</v>
      </c>
    </row>
    <row r="78" spans="1:8" x14ac:dyDescent="0.25">
      <c r="A78" t="s">
        <v>163</v>
      </c>
      <c r="B78" s="15" cm="1">
        <f t="array" ref="B78">_xll.GetPrice("FP-LBR-0235",,"Low",_SPECIFIEDvarPubDate,)</f>
        <v>285</v>
      </c>
      <c r="C78" s="1">
        <f t="shared" si="3"/>
        <v>45848</v>
      </c>
      <c r="D78">
        <f t="shared" si="4"/>
        <v>2025</v>
      </c>
      <c r="E78">
        <f t="shared" si="5"/>
        <v>7</v>
      </c>
      <c r="F78" s="13" t="s">
        <v>164</v>
      </c>
      <c r="G78" s="13" t="s">
        <v>11</v>
      </c>
      <c r="H78" s="13" t="s">
        <v>2792</v>
      </c>
    </row>
    <row r="79" spans="1:8" x14ac:dyDescent="0.25">
      <c r="A79" t="s">
        <v>165</v>
      </c>
      <c r="B79" s="15" cm="1">
        <f t="array" ref="B79">_xll.GetPrice("FP-LBR-0236",,"Low",_SPECIFIEDvarPubDate,)</f>
        <v>205</v>
      </c>
      <c r="C79" s="1">
        <f t="shared" si="3"/>
        <v>45848</v>
      </c>
      <c r="D79">
        <f t="shared" si="4"/>
        <v>2025</v>
      </c>
      <c r="E79">
        <f t="shared" si="5"/>
        <v>7</v>
      </c>
      <c r="F79" s="13" t="s">
        <v>166</v>
      </c>
      <c r="G79" s="13" t="s">
        <v>11</v>
      </c>
      <c r="H79" s="13" t="s">
        <v>2792</v>
      </c>
    </row>
    <row r="80" spans="1:8" x14ac:dyDescent="0.25">
      <c r="A80" t="s">
        <v>167</v>
      </c>
      <c r="B80" s="15" cm="1">
        <f t="array" ref="B80">_xll.GetPrice("FP-LBR-0237",,"Low",_SPECIFIEDvarPubDate,)</f>
        <v>205</v>
      </c>
      <c r="C80" s="1">
        <f t="shared" si="3"/>
        <v>45848</v>
      </c>
      <c r="D80">
        <f t="shared" si="4"/>
        <v>2025</v>
      </c>
      <c r="E80">
        <f t="shared" si="5"/>
        <v>7</v>
      </c>
      <c r="F80" s="13" t="s">
        <v>168</v>
      </c>
      <c r="G80" s="13" t="s">
        <v>11</v>
      </c>
      <c r="H80" s="13" t="s">
        <v>2792</v>
      </c>
    </row>
    <row r="81" spans="1:8" x14ac:dyDescent="0.25">
      <c r="A81" t="s">
        <v>169</v>
      </c>
      <c r="B81" s="15" cm="1">
        <f t="array" ref="B81">_xll.GetPrice("FP-LBR-0238",,"Low",_SPECIFIEDvarPubDate,)</f>
        <v>205</v>
      </c>
      <c r="C81" s="1">
        <f t="shared" si="3"/>
        <v>45848</v>
      </c>
      <c r="D81">
        <f t="shared" si="4"/>
        <v>2025</v>
      </c>
      <c r="E81">
        <f t="shared" si="5"/>
        <v>7</v>
      </c>
      <c r="F81" s="13" t="s">
        <v>170</v>
      </c>
      <c r="G81" s="13" t="s">
        <v>11</v>
      </c>
      <c r="H81" s="13" t="s">
        <v>2792</v>
      </c>
    </row>
    <row r="82" spans="1:8" x14ac:dyDescent="0.25">
      <c r="A82" t="s">
        <v>171</v>
      </c>
      <c r="B82" s="15" cm="1">
        <f t="array" ref="B82">_xll.GetPrice("FP-LBR-0287",,"Low",_SPECIFIEDvarPubDate,)</f>
        <v>413</v>
      </c>
      <c r="C82" s="1">
        <f t="shared" si="3"/>
        <v>45848</v>
      </c>
      <c r="D82">
        <f t="shared" si="4"/>
        <v>2025</v>
      </c>
      <c r="E82">
        <f t="shared" si="5"/>
        <v>7</v>
      </c>
      <c r="F82" s="13" t="s">
        <v>172</v>
      </c>
      <c r="G82" s="13" t="s">
        <v>11</v>
      </c>
      <c r="H82" s="13" t="s">
        <v>2792</v>
      </c>
    </row>
    <row r="83" spans="1:8" x14ac:dyDescent="0.25">
      <c r="A83" t="s">
        <v>173</v>
      </c>
      <c r="B83" s="15" cm="1">
        <f t="array" ref="B83">_xll.GetPrice("FP-LBR-0288",,"Low",_SPECIFIEDvarPubDate,)</f>
        <v>488</v>
      </c>
      <c r="C83" s="1">
        <f t="shared" si="3"/>
        <v>45848</v>
      </c>
      <c r="D83">
        <f t="shared" si="4"/>
        <v>2025</v>
      </c>
      <c r="E83">
        <f t="shared" si="5"/>
        <v>7</v>
      </c>
      <c r="F83" s="13" t="s">
        <v>174</v>
      </c>
      <c r="G83" s="13" t="s">
        <v>11</v>
      </c>
      <c r="H83" s="13" t="s">
        <v>2792</v>
      </c>
    </row>
    <row r="84" spans="1:8" x14ac:dyDescent="0.25">
      <c r="A84" t="s">
        <v>175</v>
      </c>
      <c r="B84" s="15" cm="1">
        <f t="array" ref="B84">_xll.GetPrice("FP-LBR-0289",,"Low",_SPECIFIEDvarPubDate,)</f>
        <v>440</v>
      </c>
      <c r="C84" s="1">
        <f t="shared" si="3"/>
        <v>45848</v>
      </c>
      <c r="D84">
        <f t="shared" si="4"/>
        <v>2025</v>
      </c>
      <c r="E84">
        <f t="shared" si="5"/>
        <v>7</v>
      </c>
      <c r="F84" s="13" t="s">
        <v>176</v>
      </c>
      <c r="G84" s="13" t="s">
        <v>11</v>
      </c>
      <c r="H84" s="13" t="s">
        <v>2792</v>
      </c>
    </row>
    <row r="85" spans="1:8" x14ac:dyDescent="0.25">
      <c r="A85" t="s">
        <v>177</v>
      </c>
      <c r="B85" s="15" cm="1">
        <f t="array" ref="B85">_xll.GetPrice("FP-LBR-1882",,"Low",_SPECIFIEDvarPubDate,)</f>
        <v>590</v>
      </c>
      <c r="C85" s="1">
        <f t="shared" si="3"/>
        <v>45848</v>
      </c>
      <c r="D85">
        <f t="shared" si="4"/>
        <v>2025</v>
      </c>
      <c r="E85">
        <f t="shared" si="5"/>
        <v>7</v>
      </c>
      <c r="F85" s="13" t="s">
        <v>178</v>
      </c>
      <c r="G85" s="13" t="s">
        <v>11</v>
      </c>
      <c r="H85" s="13" t="s">
        <v>2792</v>
      </c>
    </row>
    <row r="86" spans="1:8" x14ac:dyDescent="0.25">
      <c r="A86" t="s">
        <v>179</v>
      </c>
      <c r="B86" s="15" cm="1">
        <f t="array" ref="B86">_xll.GetPrice("FP-LBR-1883",,"Low",_SPECIFIEDvarPubDate,)</f>
        <v>563</v>
      </c>
      <c r="C86" s="1">
        <f t="shared" si="3"/>
        <v>45848</v>
      </c>
      <c r="D86">
        <f t="shared" si="4"/>
        <v>2025</v>
      </c>
      <c r="E86">
        <f t="shared" si="5"/>
        <v>7</v>
      </c>
      <c r="F86" s="13" t="s">
        <v>180</v>
      </c>
      <c r="G86" s="13" t="s">
        <v>11</v>
      </c>
      <c r="H86" s="13" t="s">
        <v>2792</v>
      </c>
    </row>
    <row r="87" spans="1:8" x14ac:dyDescent="0.25">
      <c r="A87" t="s">
        <v>181</v>
      </c>
      <c r="B87" s="15" cm="1">
        <f t="array" ref="B87">_xll.GetPrice("FP-LBR-1884",,"Low",_SPECIFIEDvarPubDate,)</f>
        <v>577</v>
      </c>
      <c r="C87" s="1">
        <f t="shared" si="3"/>
        <v>45848</v>
      </c>
      <c r="D87">
        <f t="shared" si="4"/>
        <v>2025</v>
      </c>
      <c r="E87">
        <f t="shared" si="5"/>
        <v>7</v>
      </c>
      <c r="F87" s="13" t="s">
        <v>182</v>
      </c>
      <c r="G87" s="13" t="s">
        <v>11</v>
      </c>
      <c r="H87" s="13" t="s">
        <v>2792</v>
      </c>
    </row>
    <row r="88" spans="1:8" x14ac:dyDescent="0.25">
      <c r="A88" t="s">
        <v>183</v>
      </c>
      <c r="B88" s="15" cm="1">
        <f t="array" ref="B88">_xll.GetPrice("FP-LBR-0304",,"Low",_SPECIFIEDvarPubDate,)</f>
        <v>354</v>
      </c>
      <c r="C88" s="1">
        <f t="shared" si="3"/>
        <v>45848</v>
      </c>
      <c r="D88">
        <f t="shared" si="4"/>
        <v>2025</v>
      </c>
      <c r="E88">
        <f t="shared" si="5"/>
        <v>7</v>
      </c>
      <c r="F88" s="13" t="s">
        <v>184</v>
      </c>
      <c r="G88" s="13" t="s">
        <v>11</v>
      </c>
      <c r="H88" s="13" t="s">
        <v>2792</v>
      </c>
    </row>
    <row r="89" spans="1:8" x14ac:dyDescent="0.25">
      <c r="A89" t="s">
        <v>185</v>
      </c>
      <c r="B89" s="15" cm="1">
        <f t="array" ref="B89">_xll.GetPrice("FP-LBR-0305",,"Low",_SPECIFIEDvarPubDate,)</f>
        <v>299</v>
      </c>
      <c r="C89" s="1">
        <f t="shared" si="3"/>
        <v>45848</v>
      </c>
      <c r="D89">
        <f t="shared" si="4"/>
        <v>2025</v>
      </c>
      <c r="E89">
        <f t="shared" si="5"/>
        <v>7</v>
      </c>
      <c r="F89" s="13" t="s">
        <v>186</v>
      </c>
      <c r="G89" s="13" t="s">
        <v>11</v>
      </c>
      <c r="H89" s="13" t="s">
        <v>2792</v>
      </c>
    </row>
    <row r="90" spans="1:8" x14ac:dyDescent="0.25">
      <c r="A90" t="s">
        <v>187</v>
      </c>
      <c r="B90" s="15" cm="1">
        <f t="array" ref="B90">_xll.GetPrice("FP-LBR-0306",,"Low",_SPECIFIEDvarPubDate,)</f>
        <v>315</v>
      </c>
      <c r="C90" s="1">
        <f t="shared" si="3"/>
        <v>45848</v>
      </c>
      <c r="D90">
        <f t="shared" si="4"/>
        <v>2025</v>
      </c>
      <c r="E90">
        <f t="shared" si="5"/>
        <v>7</v>
      </c>
      <c r="F90" s="13" t="s">
        <v>188</v>
      </c>
      <c r="G90" s="13" t="s">
        <v>11</v>
      </c>
      <c r="H90" s="13" t="s">
        <v>2792</v>
      </c>
    </row>
    <row r="91" spans="1:8" x14ac:dyDescent="0.25">
      <c r="A91" t="s">
        <v>189</v>
      </c>
      <c r="B91" s="15" cm="1">
        <f t="array" ref="B91">_xll.GetPrice("FP-LBR-0307",,"Low",_SPECIFIEDvarPubDate,)</f>
        <v>289</v>
      </c>
      <c r="C91" s="1">
        <f t="shared" si="3"/>
        <v>45848</v>
      </c>
      <c r="D91">
        <f t="shared" si="4"/>
        <v>2025</v>
      </c>
      <c r="E91">
        <f t="shared" si="5"/>
        <v>7</v>
      </c>
      <c r="F91" s="13" t="s">
        <v>190</v>
      </c>
      <c r="G91" s="13" t="s">
        <v>11</v>
      </c>
      <c r="H91" s="13" t="s">
        <v>2792</v>
      </c>
    </row>
    <row r="92" spans="1:8" x14ac:dyDescent="0.25">
      <c r="A92" t="s">
        <v>191</v>
      </c>
      <c r="B92" s="15" cm="1">
        <f t="array" ref="B92">_xll.GetPrice("FP-LBR-0308",,"Low",_SPECIFIEDvarPubDate,)</f>
        <v>339</v>
      </c>
      <c r="C92" s="1">
        <f t="shared" si="3"/>
        <v>45848</v>
      </c>
      <c r="D92">
        <f t="shared" si="4"/>
        <v>2025</v>
      </c>
      <c r="E92">
        <f t="shared" si="5"/>
        <v>7</v>
      </c>
      <c r="F92" s="13" t="s">
        <v>192</v>
      </c>
      <c r="G92" s="13" t="s">
        <v>11</v>
      </c>
      <c r="H92" s="13" t="s">
        <v>2792</v>
      </c>
    </row>
    <row r="93" spans="1:8" x14ac:dyDescent="0.25">
      <c r="A93" t="s">
        <v>193</v>
      </c>
      <c r="B93" s="15" cm="1">
        <f t="array" ref="B93">_xll.GetPrice("FP-LBR-0309",,"Low",_SPECIFIEDvarPubDate,)</f>
        <v>302</v>
      </c>
      <c r="C93" s="1">
        <f t="shared" si="3"/>
        <v>45848</v>
      </c>
      <c r="D93">
        <f t="shared" si="4"/>
        <v>2025</v>
      </c>
      <c r="E93">
        <f t="shared" si="5"/>
        <v>7</v>
      </c>
      <c r="F93" s="13" t="s">
        <v>194</v>
      </c>
      <c r="G93" s="13" t="s">
        <v>11</v>
      </c>
      <c r="H93" s="13" t="s">
        <v>2792</v>
      </c>
    </row>
    <row r="94" spans="1:8" x14ac:dyDescent="0.25">
      <c r="A94" t="s">
        <v>195</v>
      </c>
      <c r="B94" s="15" cm="1">
        <f t="array" ref="B94">_xll.GetPrice("FP-LBR-0310",,"Low",_SPECIFIEDvarPubDate,)</f>
        <v>216</v>
      </c>
      <c r="C94" s="1">
        <f t="shared" si="3"/>
        <v>45848</v>
      </c>
      <c r="D94">
        <f t="shared" si="4"/>
        <v>2025</v>
      </c>
      <c r="E94">
        <f t="shared" si="5"/>
        <v>7</v>
      </c>
      <c r="F94" s="13" t="s">
        <v>196</v>
      </c>
      <c r="G94" s="13" t="s">
        <v>11</v>
      </c>
      <c r="H94" s="13" t="s">
        <v>2792</v>
      </c>
    </row>
    <row r="95" spans="1:8" x14ac:dyDescent="0.25">
      <c r="A95" t="s">
        <v>197</v>
      </c>
      <c r="B95" s="15" cm="1">
        <f t="array" ref="B95">_xll.GetPrice("FP-LBR-0311",,"Low",_SPECIFIEDvarPubDate,)</f>
        <v>225</v>
      </c>
      <c r="C95" s="1">
        <f t="shared" si="3"/>
        <v>45848</v>
      </c>
      <c r="D95">
        <f t="shared" si="4"/>
        <v>2025</v>
      </c>
      <c r="E95">
        <f t="shared" si="5"/>
        <v>7</v>
      </c>
      <c r="F95" s="13" t="s">
        <v>198</v>
      </c>
      <c r="G95" s="13" t="s">
        <v>11</v>
      </c>
      <c r="H95" s="13" t="s">
        <v>2792</v>
      </c>
    </row>
    <row r="96" spans="1:8" x14ac:dyDescent="0.25">
      <c r="A96" t="s">
        <v>199</v>
      </c>
      <c r="B96" s="15" cm="1">
        <f t="array" ref="B96">_xll.GetPrice("FP-LBR-0312",,"Low",_SPECIFIEDvarPubDate,)</f>
        <v>215</v>
      </c>
      <c r="C96" s="1">
        <f t="shared" si="3"/>
        <v>45848</v>
      </c>
      <c r="D96">
        <f t="shared" si="4"/>
        <v>2025</v>
      </c>
      <c r="E96">
        <f t="shared" si="5"/>
        <v>7</v>
      </c>
      <c r="F96" s="13" t="s">
        <v>200</v>
      </c>
      <c r="G96" s="13" t="s">
        <v>11</v>
      </c>
      <c r="H96" s="13" t="s">
        <v>2792</v>
      </c>
    </row>
    <row r="97" spans="1:8" x14ac:dyDescent="0.25">
      <c r="A97" t="s">
        <v>201</v>
      </c>
      <c r="B97" s="15" cm="1">
        <f t="array" ref="B97">_xll.GetPrice("FP-LBR-0313",,"Low",_SPECIFIEDvarPubDate,)</f>
        <v>240</v>
      </c>
      <c r="C97" s="1">
        <f t="shared" si="3"/>
        <v>45848</v>
      </c>
      <c r="D97">
        <f t="shared" si="4"/>
        <v>2025</v>
      </c>
      <c r="E97">
        <f t="shared" si="5"/>
        <v>7</v>
      </c>
      <c r="F97" s="13" t="s">
        <v>202</v>
      </c>
      <c r="G97" s="13" t="s">
        <v>11</v>
      </c>
      <c r="H97" s="13" t="s">
        <v>2792</v>
      </c>
    </row>
    <row r="98" spans="1:8" x14ac:dyDescent="0.25">
      <c r="A98" t="s">
        <v>203</v>
      </c>
      <c r="B98" s="15" cm="1">
        <f t="array" ref="B98">_xll.GetPrice("FP-LBR-1890",,"Low",_SPECIFIEDvarPubDate,)</f>
        <v>523</v>
      </c>
      <c r="C98" s="1">
        <f t="shared" si="3"/>
        <v>45848</v>
      </c>
      <c r="D98">
        <f t="shared" si="4"/>
        <v>2025</v>
      </c>
      <c r="E98">
        <f t="shared" si="5"/>
        <v>7</v>
      </c>
      <c r="F98" s="13" t="s">
        <v>204</v>
      </c>
      <c r="G98" s="13" t="s">
        <v>11</v>
      </c>
      <c r="H98" s="13" t="s">
        <v>2792</v>
      </c>
    </row>
    <row r="99" spans="1:8" x14ac:dyDescent="0.25">
      <c r="A99" t="s">
        <v>205</v>
      </c>
      <c r="B99" s="15" cm="1">
        <f t="array" ref="B99">_xll.GetPrice("FP-LBR-1891",,"Low",_SPECIFIEDvarPubDate,)</f>
        <v>498</v>
      </c>
      <c r="C99" s="1">
        <f t="shared" si="3"/>
        <v>45848</v>
      </c>
      <c r="D99">
        <f t="shared" si="4"/>
        <v>2025</v>
      </c>
      <c r="E99">
        <f t="shared" si="5"/>
        <v>7</v>
      </c>
      <c r="F99" s="13" t="s">
        <v>206</v>
      </c>
      <c r="G99" s="13" t="s">
        <v>11</v>
      </c>
      <c r="H99" s="13" t="s">
        <v>2792</v>
      </c>
    </row>
    <row r="100" spans="1:8" x14ac:dyDescent="0.25">
      <c r="A100" t="s">
        <v>207</v>
      </c>
      <c r="B100" s="15" cm="1">
        <f t="array" ref="B100">_xll.GetPrice("FP-LBR-1892",,"Low",_SPECIFIEDvarPubDate,)</f>
        <v>499</v>
      </c>
      <c r="C100" s="1">
        <f t="shared" si="3"/>
        <v>45848</v>
      </c>
      <c r="D100">
        <f t="shared" si="4"/>
        <v>2025</v>
      </c>
      <c r="E100">
        <f t="shared" si="5"/>
        <v>7</v>
      </c>
      <c r="F100" s="13" t="s">
        <v>208</v>
      </c>
      <c r="G100" s="13" t="s">
        <v>11</v>
      </c>
      <c r="H100" s="13" t="s">
        <v>2792</v>
      </c>
    </row>
    <row r="101" spans="1:8" x14ac:dyDescent="0.25">
      <c r="A101" t="s">
        <v>209</v>
      </c>
      <c r="B101" s="15" cm="1">
        <f t="array" ref="B101">_xll.GetPrice("FP-LBR-1893",,"Low",_SPECIFIEDvarPubDate,)</f>
        <v>495</v>
      </c>
      <c r="C101" s="1">
        <f t="shared" si="3"/>
        <v>45848</v>
      </c>
      <c r="D101">
        <f t="shared" si="4"/>
        <v>2025</v>
      </c>
      <c r="E101">
        <f t="shared" si="5"/>
        <v>7</v>
      </c>
      <c r="F101" s="13" t="s">
        <v>210</v>
      </c>
      <c r="G101" s="13" t="s">
        <v>11</v>
      </c>
      <c r="H101" s="13" t="s">
        <v>2792</v>
      </c>
    </row>
    <row r="102" spans="1:8" x14ac:dyDescent="0.25">
      <c r="A102" t="s">
        <v>211</v>
      </c>
      <c r="B102" s="15" cm="1">
        <f t="array" ref="B102">_xll.GetPrice("FP-LBR-1996",,"Low",_SPECIFIEDvarPubDate,)</f>
        <v>335</v>
      </c>
      <c r="C102" s="1">
        <f t="shared" si="3"/>
        <v>45848</v>
      </c>
      <c r="D102">
        <f t="shared" si="4"/>
        <v>2025</v>
      </c>
      <c r="E102">
        <f t="shared" si="5"/>
        <v>7</v>
      </c>
      <c r="F102" s="13" t="s">
        <v>212</v>
      </c>
      <c r="G102" s="13" t="s">
        <v>11</v>
      </c>
      <c r="H102" s="13" t="s">
        <v>2792</v>
      </c>
    </row>
    <row r="103" spans="1:8" x14ac:dyDescent="0.25">
      <c r="A103" t="s">
        <v>213</v>
      </c>
      <c r="B103" s="15" cm="1">
        <f t="array" ref="B103">_xll.GetPrice("FP-LBR-1997",,"Low",_SPECIFIEDvarPubDate,)</f>
        <v>295</v>
      </c>
      <c r="C103" s="1">
        <f t="shared" si="3"/>
        <v>45848</v>
      </c>
      <c r="D103">
        <f t="shared" si="4"/>
        <v>2025</v>
      </c>
      <c r="E103">
        <f t="shared" si="5"/>
        <v>7</v>
      </c>
      <c r="F103" s="13" t="s">
        <v>214</v>
      </c>
      <c r="G103" s="13" t="s">
        <v>11</v>
      </c>
      <c r="H103" s="13" t="s">
        <v>2792</v>
      </c>
    </row>
    <row r="104" spans="1:8" x14ac:dyDescent="0.25">
      <c r="A104" t="s">
        <v>215</v>
      </c>
      <c r="B104" s="15" cm="1">
        <f t="array" ref="B104">_xll.GetPrice("FP-LBR-1998",,"Low",_SPECIFIEDvarPubDate,)</f>
        <v>290</v>
      </c>
      <c r="C104" s="1">
        <f t="shared" si="3"/>
        <v>45848</v>
      </c>
      <c r="D104">
        <f t="shared" si="4"/>
        <v>2025</v>
      </c>
      <c r="E104">
        <f t="shared" si="5"/>
        <v>7</v>
      </c>
      <c r="F104" s="13" t="s">
        <v>216</v>
      </c>
      <c r="G104" s="13" t="s">
        <v>11</v>
      </c>
      <c r="H104" s="13" t="s">
        <v>2792</v>
      </c>
    </row>
    <row r="105" spans="1:8" x14ac:dyDescent="0.25">
      <c r="A105" t="s">
        <v>217</v>
      </c>
      <c r="B105" s="15" cm="1">
        <f t="array" ref="B105">_xll.GetPrice("FP-LBR-1999",,"Low",_SPECIFIEDvarPubDate,)</f>
        <v>285</v>
      </c>
      <c r="C105" s="1">
        <f t="shared" si="3"/>
        <v>45848</v>
      </c>
      <c r="D105">
        <f t="shared" si="4"/>
        <v>2025</v>
      </c>
      <c r="E105">
        <f t="shared" si="5"/>
        <v>7</v>
      </c>
      <c r="F105" s="13" t="s">
        <v>218</v>
      </c>
      <c r="G105" s="13" t="s">
        <v>11</v>
      </c>
      <c r="H105" s="13" t="s">
        <v>2792</v>
      </c>
    </row>
    <row r="106" spans="1:8" x14ac:dyDescent="0.25">
      <c r="A106" t="s">
        <v>219</v>
      </c>
      <c r="B106" s="15" cm="1">
        <f t="array" ref="B106">_xll.GetPrice("FP-LBR-2000",,"Low",_SPECIFIEDvarPubDate,)</f>
        <v>335</v>
      </c>
      <c r="C106" s="1">
        <f t="shared" si="3"/>
        <v>45848</v>
      </c>
      <c r="D106">
        <f t="shared" si="4"/>
        <v>2025</v>
      </c>
      <c r="E106">
        <f t="shared" si="5"/>
        <v>7</v>
      </c>
      <c r="F106" s="13" t="s">
        <v>220</v>
      </c>
      <c r="G106" s="13" t="s">
        <v>11</v>
      </c>
      <c r="H106" s="13" t="s">
        <v>2792</v>
      </c>
    </row>
    <row r="107" spans="1:8" x14ac:dyDescent="0.25">
      <c r="A107" t="s">
        <v>221</v>
      </c>
      <c r="B107" s="15" cm="1">
        <f t="array" ref="B107">_xll.GetPrice("FP-LBR-2006",,"Low",_SPECIFIEDvarPubDate,)</f>
        <v>275</v>
      </c>
      <c r="C107" s="1">
        <f t="shared" si="3"/>
        <v>45848</v>
      </c>
      <c r="D107">
        <f t="shared" si="4"/>
        <v>2025</v>
      </c>
      <c r="E107">
        <f t="shared" si="5"/>
        <v>7</v>
      </c>
      <c r="F107" s="13" t="s">
        <v>222</v>
      </c>
      <c r="G107" s="13" t="s">
        <v>11</v>
      </c>
      <c r="H107" s="13" t="s">
        <v>2792</v>
      </c>
    </row>
    <row r="108" spans="1:8" x14ac:dyDescent="0.25">
      <c r="A108" t="s">
        <v>223</v>
      </c>
      <c r="B108" s="15" cm="1">
        <f t="array" ref="B108">_xll.GetPrice("FP-LBR-2007",,"Low",_SPECIFIEDvarPubDate,)</f>
        <v>210</v>
      </c>
      <c r="C108" s="1">
        <f t="shared" si="3"/>
        <v>45848</v>
      </c>
      <c r="D108">
        <f t="shared" si="4"/>
        <v>2025</v>
      </c>
      <c r="E108">
        <f t="shared" si="5"/>
        <v>7</v>
      </c>
      <c r="F108" s="13" t="s">
        <v>224</v>
      </c>
      <c r="G108" s="13" t="s">
        <v>11</v>
      </c>
      <c r="H108" s="13" t="s">
        <v>2792</v>
      </c>
    </row>
    <row r="109" spans="1:8" x14ac:dyDescent="0.25">
      <c r="A109" t="s">
        <v>225</v>
      </c>
      <c r="B109" s="15" cm="1">
        <f t="array" ref="B109">_xll.GetPrice("FP-LBR-2008",,"Low",_SPECIFIEDvarPubDate,)</f>
        <v>240</v>
      </c>
      <c r="C109" s="1">
        <f t="shared" si="3"/>
        <v>45848</v>
      </c>
      <c r="D109">
        <f t="shared" si="4"/>
        <v>2025</v>
      </c>
      <c r="E109">
        <f t="shared" si="5"/>
        <v>7</v>
      </c>
      <c r="F109" s="13" t="s">
        <v>226</v>
      </c>
      <c r="G109" s="13" t="s">
        <v>11</v>
      </c>
      <c r="H109" s="13" t="s">
        <v>2792</v>
      </c>
    </row>
    <row r="110" spans="1:8" x14ac:dyDescent="0.25">
      <c r="A110" t="s">
        <v>227</v>
      </c>
      <c r="B110" s="15" cm="1">
        <f t="array" ref="B110">_xll.GetPrice("FP-LBR-2009",,"Low",_SPECIFIEDvarPubDate,)</f>
        <v>235</v>
      </c>
      <c r="C110" s="1">
        <f t="shared" si="3"/>
        <v>45848</v>
      </c>
      <c r="D110">
        <f t="shared" si="4"/>
        <v>2025</v>
      </c>
      <c r="E110">
        <f t="shared" si="5"/>
        <v>7</v>
      </c>
      <c r="F110" s="13" t="s">
        <v>228</v>
      </c>
      <c r="G110" s="13" t="s">
        <v>11</v>
      </c>
      <c r="H110" s="13" t="s">
        <v>2792</v>
      </c>
    </row>
    <row r="111" spans="1:8" x14ac:dyDescent="0.25">
      <c r="A111" t="s">
        <v>229</v>
      </c>
      <c r="B111" s="15" cm="1">
        <f t="array" ref="B111">_xll.GetPrice("FP-LBR-2010",,"Low",_SPECIFIEDvarPubDate,)</f>
        <v>255</v>
      </c>
      <c r="C111" s="1">
        <f t="shared" si="3"/>
        <v>45848</v>
      </c>
      <c r="D111">
        <f t="shared" si="4"/>
        <v>2025</v>
      </c>
      <c r="E111">
        <f t="shared" si="5"/>
        <v>7</v>
      </c>
      <c r="F111" s="13" t="s">
        <v>230</v>
      </c>
      <c r="G111" s="13" t="s">
        <v>11</v>
      </c>
      <c r="H111" s="13" t="s">
        <v>2792</v>
      </c>
    </row>
    <row r="112" spans="1:8" x14ac:dyDescent="0.25">
      <c r="A112" t="s">
        <v>231</v>
      </c>
      <c r="B112" s="15" cm="1">
        <f t="array" ref="B112">_xll.GetPrice("FP-LBR-1824",,"Low",_SPECIFIEDvarPubDate,)</f>
        <v>1390</v>
      </c>
      <c r="C112" s="1">
        <f t="shared" si="3"/>
        <v>45848</v>
      </c>
      <c r="D112">
        <f t="shared" si="4"/>
        <v>2025</v>
      </c>
      <c r="E112">
        <f t="shared" si="5"/>
        <v>7</v>
      </c>
      <c r="F112" s="13" t="s">
        <v>232</v>
      </c>
      <c r="G112" s="13" t="s">
        <v>11</v>
      </c>
      <c r="H112" s="13" t="s">
        <v>2792</v>
      </c>
    </row>
    <row r="113" spans="1:8" x14ac:dyDescent="0.25">
      <c r="A113" t="s">
        <v>233</v>
      </c>
      <c r="B113" s="15" cm="1">
        <f t="array" ref="B113">_xll.GetPrice("FP-LBR-1825",,"Low",_SPECIFIEDvarPubDate,)</f>
        <v>1435</v>
      </c>
      <c r="C113" s="1">
        <f t="shared" si="3"/>
        <v>45848</v>
      </c>
      <c r="D113">
        <f t="shared" si="4"/>
        <v>2025</v>
      </c>
      <c r="E113">
        <f t="shared" si="5"/>
        <v>7</v>
      </c>
      <c r="F113" s="13" t="s">
        <v>234</v>
      </c>
      <c r="G113" s="13" t="s">
        <v>11</v>
      </c>
      <c r="H113" s="13" t="s">
        <v>2792</v>
      </c>
    </row>
    <row r="114" spans="1:8" x14ac:dyDescent="0.25">
      <c r="A114" t="s">
        <v>235</v>
      </c>
      <c r="B114" s="15" cm="1">
        <f t="array" ref="B114">_xll.GetPrice("FP-LBR-1826",,"Low",_SPECIFIEDvarPubDate,)</f>
        <v>2165</v>
      </c>
      <c r="C114" s="1">
        <f t="shared" si="3"/>
        <v>45848</v>
      </c>
      <c r="D114">
        <f t="shared" si="4"/>
        <v>2025</v>
      </c>
      <c r="E114">
        <f t="shared" si="5"/>
        <v>7</v>
      </c>
      <c r="F114" s="13" t="s">
        <v>236</v>
      </c>
      <c r="G114" s="13" t="s">
        <v>11</v>
      </c>
      <c r="H114" s="13" t="s">
        <v>2792</v>
      </c>
    </row>
    <row r="115" spans="1:8" x14ac:dyDescent="0.25">
      <c r="A115" t="s">
        <v>237</v>
      </c>
      <c r="B115" s="15" cm="1">
        <f t="array" ref="B115">_xll.GetPrice("FP-LBR-1827",,"Low",_SPECIFIEDvarPubDate,)</f>
        <v>2175</v>
      </c>
      <c r="C115" s="1">
        <f t="shared" si="3"/>
        <v>45848</v>
      </c>
      <c r="D115">
        <f t="shared" si="4"/>
        <v>2025</v>
      </c>
      <c r="E115">
        <f t="shared" si="5"/>
        <v>7</v>
      </c>
      <c r="F115" s="13" t="s">
        <v>238</v>
      </c>
      <c r="G115" s="13" t="s">
        <v>11</v>
      </c>
      <c r="H115" s="13" t="s">
        <v>2792</v>
      </c>
    </row>
    <row r="116" spans="1:8" x14ac:dyDescent="0.25">
      <c r="A116" t="s">
        <v>239</v>
      </c>
      <c r="B116" s="15" cm="1">
        <f t="array" ref="B116">_xll.GetPrice("FP-LBR-1828",,"Low",_SPECIFIEDvarPubDate,)</f>
        <v>2410</v>
      </c>
      <c r="C116" s="1">
        <f t="shared" si="3"/>
        <v>45848</v>
      </c>
      <c r="D116">
        <f t="shared" si="4"/>
        <v>2025</v>
      </c>
      <c r="E116">
        <f t="shared" si="5"/>
        <v>7</v>
      </c>
      <c r="F116" s="13" t="s">
        <v>240</v>
      </c>
      <c r="G116" s="13" t="s">
        <v>11</v>
      </c>
      <c r="H116" s="13" t="s">
        <v>2792</v>
      </c>
    </row>
    <row r="117" spans="1:8" x14ac:dyDescent="0.25">
      <c r="A117" t="s">
        <v>241</v>
      </c>
      <c r="B117" s="15" cm="1">
        <f t="array" ref="B117">_xll.GetPrice("FP-LBR-1829",,"Low",_SPECIFIEDvarPubDate,)</f>
        <v>975</v>
      </c>
      <c r="C117" s="1">
        <f t="shared" si="3"/>
        <v>45848</v>
      </c>
      <c r="D117">
        <f t="shared" si="4"/>
        <v>2025</v>
      </c>
      <c r="E117">
        <f t="shared" si="5"/>
        <v>7</v>
      </c>
      <c r="F117" s="13" t="s">
        <v>242</v>
      </c>
      <c r="G117" s="13" t="s">
        <v>11</v>
      </c>
      <c r="H117" s="13" t="s">
        <v>2792</v>
      </c>
    </row>
    <row r="118" spans="1:8" x14ac:dyDescent="0.25">
      <c r="A118" t="s">
        <v>243</v>
      </c>
      <c r="B118" s="15" cm="1">
        <f t="array" ref="B118">_xll.GetPrice("FP-LBR-1830",,"Low",_SPECIFIEDvarPubDate,)</f>
        <v>1010</v>
      </c>
      <c r="C118" s="1">
        <f t="shared" si="3"/>
        <v>45848</v>
      </c>
      <c r="D118">
        <f t="shared" si="4"/>
        <v>2025</v>
      </c>
      <c r="E118">
        <f t="shared" si="5"/>
        <v>7</v>
      </c>
      <c r="F118" s="13" t="s">
        <v>244</v>
      </c>
      <c r="G118" s="13" t="s">
        <v>11</v>
      </c>
      <c r="H118" s="13" t="s">
        <v>2792</v>
      </c>
    </row>
    <row r="119" spans="1:8" x14ac:dyDescent="0.25">
      <c r="A119" t="s">
        <v>245</v>
      </c>
      <c r="B119" s="15" cm="1">
        <f t="array" ref="B119">_xll.GetPrice("FP-LBR-1898",,"Low",_SPECIFIEDvarPubDate,)</f>
        <v>370</v>
      </c>
      <c r="C119" s="1">
        <f t="shared" si="3"/>
        <v>45848</v>
      </c>
      <c r="D119">
        <f t="shared" si="4"/>
        <v>2025</v>
      </c>
      <c r="E119">
        <f t="shared" si="5"/>
        <v>7</v>
      </c>
      <c r="F119" s="13" t="s">
        <v>246</v>
      </c>
      <c r="G119" s="13" t="s">
        <v>11</v>
      </c>
      <c r="H119" s="13" t="s">
        <v>2792</v>
      </c>
    </row>
    <row r="120" spans="1:8" x14ac:dyDescent="0.25">
      <c r="A120" t="s">
        <v>247</v>
      </c>
      <c r="B120" s="15" cm="1">
        <f t="array" ref="B120">_xll.GetPrice("FP-LBR-1899",,"Low",_SPECIFIEDvarPubDate,)</f>
        <v>329</v>
      </c>
      <c r="C120" s="1">
        <f t="shared" si="3"/>
        <v>45848</v>
      </c>
      <c r="D120">
        <f t="shared" si="4"/>
        <v>2025</v>
      </c>
      <c r="E120">
        <f t="shared" si="5"/>
        <v>7</v>
      </c>
      <c r="F120" s="13" t="s">
        <v>248</v>
      </c>
      <c r="G120" s="13" t="s">
        <v>11</v>
      </c>
      <c r="H120" s="13" t="s">
        <v>2792</v>
      </c>
    </row>
    <row r="121" spans="1:8" x14ac:dyDescent="0.25">
      <c r="A121" t="s">
        <v>249</v>
      </c>
      <c r="B121" s="15" cm="1">
        <f t="array" ref="B121">_xll.GetPrice("FP-LBR-1902",,"Low",_SPECIFIEDvarPubDate,)</f>
        <v>342</v>
      </c>
      <c r="C121" s="1">
        <f t="shared" si="3"/>
        <v>45848</v>
      </c>
      <c r="D121">
        <f t="shared" si="4"/>
        <v>2025</v>
      </c>
      <c r="E121">
        <f t="shared" si="5"/>
        <v>7</v>
      </c>
      <c r="F121" s="13" t="s">
        <v>250</v>
      </c>
      <c r="G121" s="13" t="s">
        <v>11</v>
      </c>
      <c r="H121" s="13" t="s">
        <v>2792</v>
      </c>
    </row>
    <row r="122" spans="1:8" x14ac:dyDescent="0.25">
      <c r="A122" t="s">
        <v>251</v>
      </c>
      <c r="B122" s="15" cm="1">
        <f t="array" ref="B122">_xll.GetPrice("FP-LBR-1980",,"Low",_SPECIFIEDvarPubDate,)</f>
        <v>385</v>
      </c>
      <c r="C122" s="1">
        <f t="shared" si="3"/>
        <v>45848</v>
      </c>
      <c r="D122">
        <f t="shared" si="4"/>
        <v>2025</v>
      </c>
      <c r="E122">
        <f t="shared" si="5"/>
        <v>7</v>
      </c>
      <c r="F122" s="13" t="s">
        <v>252</v>
      </c>
      <c r="G122" s="13" t="s">
        <v>11</v>
      </c>
      <c r="H122" s="13" t="s">
        <v>2792</v>
      </c>
    </row>
    <row r="123" spans="1:8" x14ac:dyDescent="0.25">
      <c r="A123" t="s">
        <v>253</v>
      </c>
      <c r="B123" s="15" cm="1">
        <f t="array" ref="B123">_xll.GetPrice("FP-LBR-1981",,"Low",_SPECIFIEDvarPubDate,)</f>
        <v>313</v>
      </c>
      <c r="C123" s="1">
        <f t="shared" si="3"/>
        <v>45848</v>
      </c>
      <c r="D123">
        <f t="shared" si="4"/>
        <v>2025</v>
      </c>
      <c r="E123">
        <f t="shared" si="5"/>
        <v>7</v>
      </c>
      <c r="F123" s="13" t="s">
        <v>254</v>
      </c>
      <c r="G123" s="13" t="s">
        <v>11</v>
      </c>
      <c r="H123" s="13" t="s">
        <v>2792</v>
      </c>
    </row>
    <row r="124" spans="1:8" x14ac:dyDescent="0.25">
      <c r="A124" t="s">
        <v>255</v>
      </c>
      <c r="B124" s="15" cm="1">
        <f t="array" ref="B124">_xll.GetPrice("FP-LBR-1982",,"Low",_SPECIFIEDvarPubDate,)</f>
        <v>313</v>
      </c>
      <c r="C124" s="1">
        <f t="shared" si="3"/>
        <v>45848</v>
      </c>
      <c r="D124">
        <f t="shared" si="4"/>
        <v>2025</v>
      </c>
      <c r="E124">
        <f t="shared" si="5"/>
        <v>7</v>
      </c>
      <c r="F124" s="13" t="s">
        <v>256</v>
      </c>
      <c r="G124" s="13" t="s">
        <v>11</v>
      </c>
      <c r="H124" s="13" t="s">
        <v>2792</v>
      </c>
    </row>
    <row r="125" spans="1:8" x14ac:dyDescent="0.25">
      <c r="A125" t="s">
        <v>257</v>
      </c>
      <c r="B125" s="15" cm="1">
        <f t="array" ref="B125">_xll.GetPrice("FP-LBR-1983",,"Low",_SPECIFIEDvarPubDate,)</f>
        <v>340</v>
      </c>
      <c r="C125" s="1">
        <f t="shared" si="3"/>
        <v>45848</v>
      </c>
      <c r="D125">
        <f t="shared" si="4"/>
        <v>2025</v>
      </c>
      <c r="E125">
        <f t="shared" si="5"/>
        <v>7</v>
      </c>
      <c r="F125" s="13" t="s">
        <v>258</v>
      </c>
      <c r="G125" s="13" t="s">
        <v>11</v>
      </c>
      <c r="H125" s="13" t="s">
        <v>2792</v>
      </c>
    </row>
    <row r="126" spans="1:8" x14ac:dyDescent="0.25">
      <c r="A126" t="s">
        <v>259</v>
      </c>
      <c r="B126" s="15" cm="1">
        <f t="array" ref="B126">_xll.GetPrice("FP-LBR-1984",,"Low",_SPECIFIEDvarPubDate,)</f>
        <v>350</v>
      </c>
      <c r="C126" s="1">
        <f t="shared" si="3"/>
        <v>45848</v>
      </c>
      <c r="D126">
        <f t="shared" si="4"/>
        <v>2025</v>
      </c>
      <c r="E126">
        <f t="shared" si="5"/>
        <v>7</v>
      </c>
      <c r="F126" s="13" t="s">
        <v>260</v>
      </c>
      <c r="G126" s="13" t="s">
        <v>11</v>
      </c>
      <c r="H126" s="13" t="s">
        <v>2792</v>
      </c>
    </row>
    <row r="127" spans="1:8" x14ac:dyDescent="0.25">
      <c r="A127" t="s">
        <v>261</v>
      </c>
      <c r="B127" s="15" cm="1">
        <f t="array" ref="B127">_xll.GetPrice("FP-LBR-1986",,"Low",_SPECIFIEDvarPubDate,)</f>
        <v>310</v>
      </c>
      <c r="C127" s="1">
        <f t="shared" si="3"/>
        <v>45848</v>
      </c>
      <c r="D127">
        <f t="shared" si="4"/>
        <v>2025</v>
      </c>
      <c r="E127">
        <f t="shared" si="5"/>
        <v>7</v>
      </c>
      <c r="F127" s="13" t="s">
        <v>262</v>
      </c>
      <c r="G127" s="13" t="s">
        <v>11</v>
      </c>
      <c r="H127" s="13" t="s">
        <v>2792</v>
      </c>
    </row>
    <row r="128" spans="1:8" x14ac:dyDescent="0.25">
      <c r="A128" t="s">
        <v>263</v>
      </c>
      <c r="B128" s="15" cm="1">
        <f t="array" ref="B128">_xll.GetPrice("FP-LBR-1987",,"Low",_SPECIFIEDvarPubDate,)</f>
        <v>225</v>
      </c>
      <c r="C128" s="1">
        <f t="shared" si="3"/>
        <v>45848</v>
      </c>
      <c r="D128">
        <f t="shared" si="4"/>
        <v>2025</v>
      </c>
      <c r="E128">
        <f t="shared" si="5"/>
        <v>7</v>
      </c>
      <c r="F128" s="13" t="s">
        <v>264</v>
      </c>
      <c r="G128" s="13" t="s">
        <v>11</v>
      </c>
      <c r="H128" s="13" t="s">
        <v>2792</v>
      </c>
    </row>
    <row r="129" spans="1:8" x14ac:dyDescent="0.25">
      <c r="A129" t="s">
        <v>265</v>
      </c>
      <c r="B129" s="15" cm="1">
        <f t="array" ref="B129">_xll.GetPrice("FP-LBR-1988",,"Low",_SPECIFIEDvarPubDate,)</f>
        <v>240</v>
      </c>
      <c r="C129" s="1">
        <f t="shared" si="3"/>
        <v>45848</v>
      </c>
      <c r="D129">
        <f t="shared" si="4"/>
        <v>2025</v>
      </c>
      <c r="E129">
        <f t="shared" si="5"/>
        <v>7</v>
      </c>
      <c r="F129" s="13" t="s">
        <v>266</v>
      </c>
      <c r="G129" s="13" t="s">
        <v>11</v>
      </c>
      <c r="H129" s="13" t="s">
        <v>2792</v>
      </c>
    </row>
    <row r="130" spans="1:8" x14ac:dyDescent="0.25">
      <c r="A130" t="s">
        <v>267</v>
      </c>
      <c r="B130" s="15" cm="1">
        <f t="array" ref="B130">_xll.GetPrice("FP-LBR-1989",,"Low",_SPECIFIEDvarPubDate,)</f>
        <v>250</v>
      </c>
      <c r="C130" s="1">
        <f t="shared" ref="C130:C193" si="6">_SPECIFIEDvarPubDate</f>
        <v>45848</v>
      </c>
      <c r="D130">
        <f t="shared" ref="D130:D193" si="7">_SPECIFIEDvarYear</f>
        <v>2025</v>
      </c>
      <c r="E130">
        <f t="shared" ref="E130:E193" si="8">_SPECIFIEDvarMonth</f>
        <v>7</v>
      </c>
      <c r="F130" s="13" t="s">
        <v>268</v>
      </c>
      <c r="G130" s="13" t="s">
        <v>11</v>
      </c>
      <c r="H130" s="13" t="s">
        <v>2792</v>
      </c>
    </row>
    <row r="131" spans="1:8" x14ac:dyDescent="0.25">
      <c r="A131" t="s">
        <v>269</v>
      </c>
      <c r="B131" s="15" cm="1">
        <f t="array" ref="B131">_xll.GetPrice("FP-LBR-1990",,"Low",_SPECIFIEDvarPubDate,)</f>
        <v>265</v>
      </c>
      <c r="C131" s="1">
        <f t="shared" si="6"/>
        <v>45848</v>
      </c>
      <c r="D131">
        <f t="shared" si="7"/>
        <v>2025</v>
      </c>
      <c r="E131">
        <f t="shared" si="8"/>
        <v>7</v>
      </c>
      <c r="F131" s="13" t="s">
        <v>270</v>
      </c>
      <c r="G131" s="13" t="s">
        <v>11</v>
      </c>
      <c r="H131" s="13" t="s">
        <v>2792</v>
      </c>
    </row>
    <row r="132" spans="1:8" x14ac:dyDescent="0.25">
      <c r="A132" t="s">
        <v>271</v>
      </c>
      <c r="B132" s="15" cm="1">
        <f t="array" ref="B132">_xll.GetPrice("FP-LBR-0528",,"Low",_SPECIFIEDvarPubDate,)</f>
        <v>593</v>
      </c>
      <c r="C132" s="1">
        <f t="shared" si="6"/>
        <v>45848</v>
      </c>
      <c r="D132">
        <f t="shared" si="7"/>
        <v>2025</v>
      </c>
      <c r="E132">
        <f t="shared" si="8"/>
        <v>7</v>
      </c>
      <c r="F132" s="13" t="s">
        <v>272</v>
      </c>
      <c r="G132" s="13" t="s">
        <v>11</v>
      </c>
      <c r="H132" s="13" t="s">
        <v>2792</v>
      </c>
    </row>
    <row r="133" spans="1:8" x14ac:dyDescent="0.25">
      <c r="A133" t="s">
        <v>273</v>
      </c>
      <c r="B133" s="15" cm="1">
        <f t="array" ref="B133">_xll.GetPrice("FP-LBR-1908",,"Low",_SPECIFIEDvarPubDate,)</f>
        <v>594</v>
      </c>
      <c r="C133" s="1">
        <f t="shared" si="6"/>
        <v>45848</v>
      </c>
      <c r="D133">
        <f t="shared" si="7"/>
        <v>2025</v>
      </c>
      <c r="E133">
        <f t="shared" si="8"/>
        <v>7</v>
      </c>
      <c r="F133" s="13" t="s">
        <v>274</v>
      </c>
      <c r="G133" s="13" t="s">
        <v>11</v>
      </c>
      <c r="H133" s="13" t="s">
        <v>2792</v>
      </c>
    </row>
    <row r="134" spans="1:8" x14ac:dyDescent="0.25">
      <c r="A134" t="s">
        <v>275</v>
      </c>
      <c r="B134" s="15" cm="1">
        <f t="array" ref="B134">_xll.GetPrice("FP-LBR-0518",,"Low",_SPECIFIEDvarPubDate,)</f>
        <v>569</v>
      </c>
      <c r="C134" s="1">
        <f t="shared" si="6"/>
        <v>45848</v>
      </c>
      <c r="D134">
        <f t="shared" si="7"/>
        <v>2025</v>
      </c>
      <c r="E134">
        <f t="shared" si="8"/>
        <v>7</v>
      </c>
      <c r="F134" s="13" t="s">
        <v>276</v>
      </c>
      <c r="G134" s="13" t="s">
        <v>11</v>
      </c>
      <c r="H134" s="13" t="s">
        <v>2792</v>
      </c>
    </row>
    <row r="135" spans="1:8" x14ac:dyDescent="0.25">
      <c r="A135" t="s">
        <v>277</v>
      </c>
      <c r="B135" s="15" cm="1">
        <f t="array" ref="B135">_xll.GetPrice("FP-LBR-1911",,"Low",_SPECIFIEDvarPubDate,)</f>
        <v>576</v>
      </c>
      <c r="C135" s="1">
        <f t="shared" si="6"/>
        <v>45848</v>
      </c>
      <c r="D135">
        <f t="shared" si="7"/>
        <v>2025</v>
      </c>
      <c r="E135">
        <f t="shared" si="8"/>
        <v>7</v>
      </c>
      <c r="F135" s="13" t="s">
        <v>278</v>
      </c>
      <c r="G135" s="13" t="s">
        <v>11</v>
      </c>
      <c r="H135" s="13" t="s">
        <v>2792</v>
      </c>
    </row>
    <row r="136" spans="1:8" x14ac:dyDescent="0.25">
      <c r="A136" t="s">
        <v>279</v>
      </c>
      <c r="B136" s="15" cm="1">
        <f t="array" ref="B136">_xll.GetPrice("FP-LBR-1912",,"Low",_SPECIFIEDvarPubDate,)</f>
        <v>554</v>
      </c>
      <c r="C136" s="1">
        <f t="shared" si="6"/>
        <v>45848</v>
      </c>
      <c r="D136">
        <f t="shared" si="7"/>
        <v>2025</v>
      </c>
      <c r="E136">
        <f t="shared" si="8"/>
        <v>7</v>
      </c>
      <c r="F136" s="13" t="s">
        <v>280</v>
      </c>
      <c r="G136" s="13" t="s">
        <v>11</v>
      </c>
      <c r="H136" s="13" t="s">
        <v>2792</v>
      </c>
    </row>
    <row r="137" spans="1:8" x14ac:dyDescent="0.25">
      <c r="A137" t="s">
        <v>281</v>
      </c>
      <c r="B137" s="15" cm="1">
        <f t="array" ref="B137">_xll.GetPrice("FP-LBR-1927",,"Low",_SPECIFIEDvarPubDate,)</f>
        <v>720</v>
      </c>
      <c r="C137" s="1">
        <f t="shared" si="6"/>
        <v>45848</v>
      </c>
      <c r="D137">
        <f t="shared" si="7"/>
        <v>2025</v>
      </c>
      <c r="E137">
        <f t="shared" si="8"/>
        <v>7</v>
      </c>
      <c r="F137" s="13" t="s">
        <v>282</v>
      </c>
      <c r="G137" s="13" t="s">
        <v>11</v>
      </c>
      <c r="H137" s="13" t="s">
        <v>2792</v>
      </c>
    </row>
    <row r="138" spans="1:8" x14ac:dyDescent="0.25">
      <c r="A138" t="s">
        <v>283</v>
      </c>
      <c r="B138" s="15" cm="1">
        <f t="array" ref="B138">_xll.GetPrice("FP-LBR-1928",,"Low",_SPECIFIEDvarPubDate,)</f>
        <v>693</v>
      </c>
      <c r="C138" s="1">
        <f t="shared" si="6"/>
        <v>45848</v>
      </c>
      <c r="D138">
        <f t="shared" si="7"/>
        <v>2025</v>
      </c>
      <c r="E138">
        <f t="shared" si="8"/>
        <v>7</v>
      </c>
      <c r="F138" s="13" t="s">
        <v>284</v>
      </c>
      <c r="G138" s="13" t="s">
        <v>11</v>
      </c>
      <c r="H138" s="13" t="s">
        <v>2792</v>
      </c>
    </row>
    <row r="139" spans="1:8" x14ac:dyDescent="0.25">
      <c r="A139" t="s">
        <v>285</v>
      </c>
      <c r="B139" s="15" cm="1">
        <f t="array" ref="B139">_xll.GetPrice("FP-LBR-1929",,"Low",_SPECIFIEDvarPubDate,)</f>
        <v>707</v>
      </c>
      <c r="C139" s="1">
        <f t="shared" si="6"/>
        <v>45848</v>
      </c>
      <c r="D139">
        <f t="shared" si="7"/>
        <v>2025</v>
      </c>
      <c r="E139">
        <f t="shared" si="8"/>
        <v>7</v>
      </c>
      <c r="F139" s="13" t="s">
        <v>286</v>
      </c>
      <c r="G139" s="13" t="s">
        <v>11</v>
      </c>
      <c r="H139" s="13" t="s">
        <v>2792</v>
      </c>
    </row>
    <row r="140" spans="1:8" x14ac:dyDescent="0.25">
      <c r="A140" t="s">
        <v>287</v>
      </c>
      <c r="B140" s="15" cm="1">
        <f t="array" ref="B140">_xll.GetPrice("FP-LBR-0296",,"Low",_SPECIFIEDvarPubDate,)</f>
        <v>410</v>
      </c>
      <c r="C140" s="1">
        <f t="shared" si="6"/>
        <v>45848</v>
      </c>
      <c r="D140">
        <f t="shared" si="7"/>
        <v>2025</v>
      </c>
      <c r="E140">
        <f t="shared" si="8"/>
        <v>7</v>
      </c>
      <c r="F140" s="13" t="s">
        <v>288</v>
      </c>
      <c r="G140" s="13" t="s">
        <v>11</v>
      </c>
      <c r="H140" s="13" t="s">
        <v>2792</v>
      </c>
    </row>
    <row r="141" spans="1:8" x14ac:dyDescent="0.25">
      <c r="A141" t="s">
        <v>289</v>
      </c>
      <c r="B141" s="15" cm="1">
        <f t="array" ref="B141">_xll.GetPrice("FP-LBR-0297",,"Low",_SPECIFIEDvarPubDate,)</f>
        <v>490</v>
      </c>
      <c r="C141" s="1">
        <f t="shared" si="6"/>
        <v>45848</v>
      </c>
      <c r="D141">
        <f t="shared" si="7"/>
        <v>2025</v>
      </c>
      <c r="E141">
        <f t="shared" si="8"/>
        <v>7</v>
      </c>
      <c r="F141" s="13" t="s">
        <v>290</v>
      </c>
      <c r="G141" s="13" t="s">
        <v>11</v>
      </c>
      <c r="H141" s="13" t="s">
        <v>2792</v>
      </c>
    </row>
    <row r="142" spans="1:8" x14ac:dyDescent="0.25">
      <c r="A142" t="s">
        <v>291</v>
      </c>
      <c r="B142" s="15" cm="1">
        <f t="array" ref="B142">_xll.GetPrice("FP-LBR-0298",,"Low",_SPECIFIEDvarPubDate,)</f>
        <v>440</v>
      </c>
      <c r="C142" s="1">
        <f t="shared" si="6"/>
        <v>45848</v>
      </c>
      <c r="D142">
        <f t="shared" si="7"/>
        <v>2025</v>
      </c>
      <c r="E142">
        <f t="shared" si="8"/>
        <v>7</v>
      </c>
      <c r="F142" s="13" t="s">
        <v>292</v>
      </c>
      <c r="G142" s="13" t="s">
        <v>11</v>
      </c>
      <c r="H142" s="13" t="s">
        <v>2792</v>
      </c>
    </row>
    <row r="143" spans="1:8" x14ac:dyDescent="0.25">
      <c r="A143" t="s">
        <v>293</v>
      </c>
      <c r="B143" s="15" cm="1">
        <f t="array" ref="B143">_xll.GetPrice("FP-LBR-1935",,"Low",_SPECIFIEDvarPubDate,)</f>
        <v>483</v>
      </c>
      <c r="C143" s="1">
        <f t="shared" si="6"/>
        <v>45848</v>
      </c>
      <c r="D143">
        <f t="shared" si="7"/>
        <v>2025</v>
      </c>
      <c r="E143">
        <f t="shared" si="8"/>
        <v>7</v>
      </c>
      <c r="F143" s="13" t="s">
        <v>294</v>
      </c>
      <c r="G143" s="13" t="s">
        <v>11</v>
      </c>
      <c r="H143" s="13" t="s">
        <v>2792</v>
      </c>
    </row>
    <row r="144" spans="1:8" x14ac:dyDescent="0.25">
      <c r="A144" t="s">
        <v>295</v>
      </c>
      <c r="B144" s="15" cm="1">
        <f t="array" ref="B144">_xll.GetPrice("FP-LBR-1936",,"Low",_SPECIFIEDvarPubDate,)</f>
        <v>461</v>
      </c>
      <c r="C144" s="1">
        <f t="shared" si="6"/>
        <v>45848</v>
      </c>
      <c r="D144">
        <f t="shared" si="7"/>
        <v>2025</v>
      </c>
      <c r="E144">
        <f t="shared" si="8"/>
        <v>7</v>
      </c>
      <c r="F144" s="13" t="s">
        <v>296</v>
      </c>
      <c r="G144" s="13" t="s">
        <v>11</v>
      </c>
      <c r="H144" s="13" t="s">
        <v>2792</v>
      </c>
    </row>
    <row r="145" spans="1:8" x14ac:dyDescent="0.25">
      <c r="A145" t="s">
        <v>297</v>
      </c>
      <c r="B145" s="15" cm="1">
        <f t="array" ref="B145">_xll.GetPrice("FP-LBR-1937",,"Low",_SPECIFIEDvarPubDate,)</f>
        <v>462</v>
      </c>
      <c r="C145" s="1">
        <f t="shared" si="6"/>
        <v>45848</v>
      </c>
      <c r="D145">
        <f t="shared" si="7"/>
        <v>2025</v>
      </c>
      <c r="E145">
        <f t="shared" si="8"/>
        <v>7</v>
      </c>
      <c r="F145" s="13" t="s">
        <v>298</v>
      </c>
      <c r="G145" s="13" t="s">
        <v>11</v>
      </c>
      <c r="H145" s="13" t="s">
        <v>2792</v>
      </c>
    </row>
    <row r="146" spans="1:8" x14ac:dyDescent="0.25">
      <c r="A146" t="s">
        <v>299</v>
      </c>
      <c r="B146" s="15" cm="1">
        <f t="array" ref="B146">_xll.GetPrice("FP-LBR-1938",,"Low",_SPECIFIEDvarPubDate,)</f>
        <v>460</v>
      </c>
      <c r="C146" s="1">
        <f t="shared" si="6"/>
        <v>45848</v>
      </c>
      <c r="D146">
        <f t="shared" si="7"/>
        <v>2025</v>
      </c>
      <c r="E146">
        <f t="shared" si="8"/>
        <v>7</v>
      </c>
      <c r="F146" s="13" t="s">
        <v>300</v>
      </c>
      <c r="G146" s="13" t="s">
        <v>11</v>
      </c>
      <c r="H146" s="13" t="s">
        <v>2792</v>
      </c>
    </row>
    <row r="147" spans="1:8" x14ac:dyDescent="0.25">
      <c r="A147" t="s">
        <v>301</v>
      </c>
      <c r="B147" s="15" cm="1">
        <f t="array" ref="B147">_xll.GetPrice("FP-LBR-1939",,"Low",_SPECIFIEDvarPubDate,)</f>
        <v>425</v>
      </c>
      <c r="C147" s="1">
        <f t="shared" si="6"/>
        <v>45848</v>
      </c>
      <c r="D147">
        <f t="shared" si="7"/>
        <v>2025</v>
      </c>
      <c r="E147">
        <f t="shared" si="8"/>
        <v>7</v>
      </c>
      <c r="F147" s="13" t="s">
        <v>302</v>
      </c>
      <c r="G147" s="13" t="s">
        <v>11</v>
      </c>
      <c r="H147" s="13" t="s">
        <v>2792</v>
      </c>
    </row>
    <row r="148" spans="1:8" x14ac:dyDescent="0.25">
      <c r="A148" t="s">
        <v>303</v>
      </c>
      <c r="B148" s="15" cm="1">
        <f t="array" ref="B148">_xll.GetPrice("FP-LBR-1941",,"Low",_SPECIFIEDvarPubDate,)</f>
        <v>438</v>
      </c>
      <c r="C148" s="1">
        <f t="shared" si="6"/>
        <v>45848</v>
      </c>
      <c r="D148">
        <f t="shared" si="7"/>
        <v>2025</v>
      </c>
      <c r="E148">
        <f t="shared" si="8"/>
        <v>7</v>
      </c>
      <c r="F148" s="13" t="s">
        <v>304</v>
      </c>
      <c r="G148" s="13" t="s">
        <v>11</v>
      </c>
      <c r="H148" s="13" t="s">
        <v>2792</v>
      </c>
    </row>
    <row r="149" spans="1:8" x14ac:dyDescent="0.25">
      <c r="A149" t="s">
        <v>305</v>
      </c>
      <c r="B149" s="15" cm="1">
        <f t="array" ref="B149">_xll.GetPrice("FP-LBR-0516",,"Low",_SPECIFIEDvarPubDate,)</f>
        <v>516</v>
      </c>
      <c r="C149" s="1">
        <f t="shared" si="6"/>
        <v>45848</v>
      </c>
      <c r="D149">
        <f t="shared" si="7"/>
        <v>2025</v>
      </c>
      <c r="E149">
        <f t="shared" si="8"/>
        <v>7</v>
      </c>
      <c r="F149" s="13" t="s">
        <v>306</v>
      </c>
      <c r="G149" s="13" t="s">
        <v>11</v>
      </c>
      <c r="H149" s="13" t="s">
        <v>2792</v>
      </c>
    </row>
    <row r="150" spans="1:8" x14ac:dyDescent="0.25">
      <c r="A150" t="s">
        <v>307</v>
      </c>
      <c r="B150" s="15" cm="1">
        <f t="array" ref="B150">_xll.GetPrice("FP-LBR-0517",,"Low",_SPECIFIEDvarPubDate,)</f>
        <v>500</v>
      </c>
      <c r="C150" s="1">
        <f t="shared" si="6"/>
        <v>45848</v>
      </c>
      <c r="D150">
        <f t="shared" si="7"/>
        <v>2025</v>
      </c>
      <c r="E150">
        <f t="shared" si="8"/>
        <v>7</v>
      </c>
      <c r="F150" s="13" t="s">
        <v>308</v>
      </c>
      <c r="G150" s="13" t="s">
        <v>11</v>
      </c>
      <c r="H150" s="13" t="s">
        <v>2792</v>
      </c>
    </row>
    <row r="151" spans="1:8" x14ac:dyDescent="0.25">
      <c r="A151" t="s">
        <v>309</v>
      </c>
      <c r="B151" s="15" cm="1">
        <f t="array" ref="B151">_xll.GetPrice("FP-LBR-0518",,"Low",_SPECIFIEDvarPubDate,)</f>
        <v>569</v>
      </c>
      <c r="C151" s="1">
        <f t="shared" si="6"/>
        <v>45848</v>
      </c>
      <c r="D151">
        <f t="shared" si="7"/>
        <v>2025</v>
      </c>
      <c r="E151">
        <f t="shared" si="8"/>
        <v>7</v>
      </c>
      <c r="F151" s="13" t="s">
        <v>276</v>
      </c>
      <c r="G151" s="13" t="s">
        <v>11</v>
      </c>
      <c r="H151" s="13" t="s">
        <v>2792</v>
      </c>
    </row>
    <row r="152" spans="1:8" x14ac:dyDescent="0.25">
      <c r="A152" t="s">
        <v>310</v>
      </c>
      <c r="B152" s="15" cm="1">
        <f t="array" ref="B152">_xll.GetPrice("FP-LBR-0519",,"Low",_SPECIFIEDvarPubDate,)</f>
        <v>717</v>
      </c>
      <c r="C152" s="1">
        <f t="shared" si="6"/>
        <v>45848</v>
      </c>
      <c r="D152">
        <f t="shared" si="7"/>
        <v>2025</v>
      </c>
      <c r="E152">
        <f t="shared" si="8"/>
        <v>7</v>
      </c>
      <c r="F152" s="13" t="s">
        <v>311</v>
      </c>
      <c r="G152" s="13" t="s">
        <v>11</v>
      </c>
      <c r="H152" s="13" t="s">
        <v>2792</v>
      </c>
    </row>
    <row r="153" spans="1:8" x14ac:dyDescent="0.25">
      <c r="A153" t="s">
        <v>312</v>
      </c>
      <c r="B153" s="15" cm="1">
        <f t="array" ref="B153">_xll.GetPrice("FP-LBR-0536",,"Low",_SPECIFIEDvarPubDate,)</f>
        <v>482</v>
      </c>
      <c r="C153" s="1">
        <f t="shared" si="6"/>
        <v>45848</v>
      </c>
      <c r="D153">
        <f t="shared" si="7"/>
        <v>2025</v>
      </c>
      <c r="E153">
        <f t="shared" si="8"/>
        <v>7</v>
      </c>
      <c r="F153" s="13" t="s">
        <v>313</v>
      </c>
      <c r="G153" s="13" t="s">
        <v>11</v>
      </c>
      <c r="H153" s="13" t="s">
        <v>2792</v>
      </c>
    </row>
    <row r="154" spans="1:8" x14ac:dyDescent="0.25">
      <c r="A154" t="s">
        <v>314</v>
      </c>
      <c r="B154" s="15" cm="1">
        <f t="array" ref="B154">_xll.GetPrice("FP-LBR-0424",,"Low",_SPECIFIEDvarPubDate,)</f>
        <v>690</v>
      </c>
      <c r="C154" s="1">
        <f t="shared" si="6"/>
        <v>45848</v>
      </c>
      <c r="D154">
        <f t="shared" si="7"/>
        <v>2025</v>
      </c>
      <c r="E154">
        <f t="shared" si="8"/>
        <v>7</v>
      </c>
      <c r="F154" s="13" t="s">
        <v>315</v>
      </c>
      <c r="G154" s="13" t="s">
        <v>11</v>
      </c>
      <c r="H154" s="13" t="s">
        <v>2792</v>
      </c>
    </row>
    <row r="155" spans="1:8" x14ac:dyDescent="0.25">
      <c r="A155" t="s">
        <v>316</v>
      </c>
      <c r="B155" s="15" cm="1">
        <f t="array" ref="B155">_xll.GetPrice("FP-LBR-0425",,"Low",_SPECIFIEDvarPubDate,)</f>
        <v>665</v>
      </c>
      <c r="C155" s="1">
        <f t="shared" si="6"/>
        <v>45848</v>
      </c>
      <c r="D155">
        <f t="shared" si="7"/>
        <v>2025</v>
      </c>
      <c r="E155">
        <f t="shared" si="8"/>
        <v>7</v>
      </c>
      <c r="F155" s="13" t="s">
        <v>317</v>
      </c>
      <c r="G155" s="13" t="s">
        <v>11</v>
      </c>
      <c r="H155" s="13" t="s">
        <v>2792</v>
      </c>
    </row>
    <row r="156" spans="1:8" x14ac:dyDescent="0.25">
      <c r="A156" t="s">
        <v>318</v>
      </c>
      <c r="B156" s="15" cm="1">
        <f t="array" ref="B156">_xll.GetPrice("FP-LBR-0314",,"Low",_SPECIFIEDvarPubDate,)</f>
        <v>401</v>
      </c>
      <c r="C156" s="1">
        <f t="shared" si="6"/>
        <v>45848</v>
      </c>
      <c r="D156">
        <f t="shared" si="7"/>
        <v>2025</v>
      </c>
      <c r="E156">
        <f t="shared" si="8"/>
        <v>7</v>
      </c>
      <c r="F156" s="13" t="s">
        <v>319</v>
      </c>
      <c r="G156" s="13" t="s">
        <v>11</v>
      </c>
      <c r="H156" s="13" t="s">
        <v>2792</v>
      </c>
    </row>
    <row r="157" spans="1:8" x14ac:dyDescent="0.25">
      <c r="A157" t="s">
        <v>320</v>
      </c>
      <c r="B157" s="15" cm="1">
        <f t="array" ref="B157">_xll.GetPrice("FP-LBR-0315",,"Low",_SPECIFIEDvarPubDate,)</f>
        <v>335</v>
      </c>
      <c r="C157" s="1">
        <f t="shared" si="6"/>
        <v>45848</v>
      </c>
      <c r="D157">
        <f t="shared" si="7"/>
        <v>2025</v>
      </c>
      <c r="E157">
        <f t="shared" si="8"/>
        <v>7</v>
      </c>
      <c r="F157" s="13" t="s">
        <v>321</v>
      </c>
      <c r="G157" s="13" t="s">
        <v>11</v>
      </c>
      <c r="H157" s="13" t="s">
        <v>2792</v>
      </c>
    </row>
    <row r="158" spans="1:8" x14ac:dyDescent="0.25">
      <c r="A158" t="s">
        <v>322</v>
      </c>
      <c r="B158" s="15" cm="1">
        <f t="array" ref="B158">_xll.GetPrice("FP-LBR-0316",,"Low",_SPECIFIEDvarPubDate,)</f>
        <v>337</v>
      </c>
      <c r="C158" s="1">
        <f t="shared" si="6"/>
        <v>45848</v>
      </c>
      <c r="D158">
        <f t="shared" si="7"/>
        <v>2025</v>
      </c>
      <c r="E158">
        <f t="shared" si="8"/>
        <v>7</v>
      </c>
      <c r="F158" s="13" t="s">
        <v>323</v>
      </c>
      <c r="G158" s="13" t="s">
        <v>11</v>
      </c>
      <c r="H158" s="13" t="s">
        <v>2792</v>
      </c>
    </row>
    <row r="159" spans="1:8" x14ac:dyDescent="0.25">
      <c r="A159" t="s">
        <v>324</v>
      </c>
      <c r="B159" s="15" cm="1">
        <f t="array" ref="B159">_xll.GetPrice("FP-LBR-0317",,"Low",_SPECIFIEDvarPubDate,)</f>
        <v>390</v>
      </c>
      <c r="C159" s="1">
        <f t="shared" si="6"/>
        <v>45848</v>
      </c>
      <c r="D159">
        <f t="shared" si="7"/>
        <v>2025</v>
      </c>
      <c r="E159">
        <f t="shared" si="8"/>
        <v>7</v>
      </c>
      <c r="F159" s="13" t="s">
        <v>325</v>
      </c>
      <c r="G159" s="13" t="s">
        <v>11</v>
      </c>
      <c r="H159" s="13" t="s">
        <v>2792</v>
      </c>
    </row>
    <row r="160" spans="1:8" x14ac:dyDescent="0.25">
      <c r="A160" t="s">
        <v>326</v>
      </c>
      <c r="B160" s="15" cm="1">
        <f t="array" ref="B160">_xll.GetPrice("FP-LBR-0318",,"Low",_SPECIFIEDvarPubDate,)</f>
        <v>394</v>
      </c>
      <c r="C160" s="1">
        <f t="shared" si="6"/>
        <v>45848</v>
      </c>
      <c r="D160">
        <f t="shared" si="7"/>
        <v>2025</v>
      </c>
      <c r="E160">
        <f t="shared" si="8"/>
        <v>7</v>
      </c>
      <c r="F160" s="13" t="s">
        <v>327</v>
      </c>
      <c r="G160" s="13" t="s">
        <v>11</v>
      </c>
      <c r="H160" s="13" t="s">
        <v>2792</v>
      </c>
    </row>
    <row r="161" spans="1:8" x14ac:dyDescent="0.25">
      <c r="A161" t="s">
        <v>328</v>
      </c>
      <c r="B161" s="15" cm="1">
        <f t="array" ref="B161">_xll.GetPrice("FP-LBR-1316",,"Low",_SPECIFIEDvarPubDate,)</f>
        <v>510</v>
      </c>
      <c r="C161" s="1">
        <f t="shared" si="6"/>
        <v>45848</v>
      </c>
      <c r="D161">
        <f t="shared" si="7"/>
        <v>2025</v>
      </c>
      <c r="E161">
        <f t="shared" si="8"/>
        <v>7</v>
      </c>
      <c r="F161" s="13" t="s">
        <v>329</v>
      </c>
      <c r="G161" s="13" t="s">
        <v>11</v>
      </c>
      <c r="H161" s="13" t="s">
        <v>2792</v>
      </c>
    </row>
    <row r="162" spans="1:8" x14ac:dyDescent="0.25">
      <c r="A162" t="s">
        <v>330</v>
      </c>
      <c r="B162" s="15" cm="1">
        <f t="array" ref="B162">_xll.GetPrice("FP-LBR-0546",,"Low",_SPECIFIEDvarPubDate,)</f>
        <v>505</v>
      </c>
      <c r="C162" s="1">
        <f t="shared" si="6"/>
        <v>45848</v>
      </c>
      <c r="D162">
        <f t="shared" si="7"/>
        <v>2025</v>
      </c>
      <c r="E162">
        <f t="shared" si="8"/>
        <v>7</v>
      </c>
      <c r="F162" s="13" t="s">
        <v>331</v>
      </c>
      <c r="G162" s="13" t="s">
        <v>11</v>
      </c>
      <c r="H162" s="13" t="s">
        <v>2792</v>
      </c>
    </row>
    <row r="163" spans="1:8" x14ac:dyDescent="0.25">
      <c r="A163" t="s">
        <v>332</v>
      </c>
      <c r="B163" s="15" cm="1">
        <f t="array" ref="B163">_xll.GetPrice("FP-LBR-1944",,"Low",_SPECIFIEDvarPubDate,)</f>
        <v>506</v>
      </c>
      <c r="C163" s="1">
        <f t="shared" si="6"/>
        <v>45848</v>
      </c>
      <c r="D163">
        <f t="shared" si="7"/>
        <v>2025</v>
      </c>
      <c r="E163">
        <f t="shared" si="8"/>
        <v>7</v>
      </c>
      <c r="F163" s="13" t="s">
        <v>333</v>
      </c>
      <c r="G163" s="13" t="s">
        <v>11</v>
      </c>
      <c r="H163" s="13" t="s">
        <v>2792</v>
      </c>
    </row>
    <row r="164" spans="1:8" x14ac:dyDescent="0.25">
      <c r="A164" t="s">
        <v>334</v>
      </c>
      <c r="B164" s="15" cm="1">
        <f t="array" ref="B164">_xll.GetPrice("FP-LBR-0536",,"Low",_SPECIFIEDvarPubDate,)</f>
        <v>482</v>
      </c>
      <c r="C164" s="1">
        <f t="shared" si="6"/>
        <v>45848</v>
      </c>
      <c r="D164">
        <f t="shared" si="7"/>
        <v>2025</v>
      </c>
      <c r="E164">
        <f t="shared" si="8"/>
        <v>7</v>
      </c>
      <c r="F164" s="13" t="s">
        <v>313</v>
      </c>
      <c r="G164" s="13" t="s">
        <v>11</v>
      </c>
      <c r="H164" s="13" t="s">
        <v>2792</v>
      </c>
    </row>
    <row r="165" spans="1:8" x14ac:dyDescent="0.25">
      <c r="A165" t="s">
        <v>335</v>
      </c>
      <c r="B165" s="15" cm="1">
        <f t="array" ref="B165">_xll.GetPrice("FP-LBR-1947",,"Low",_SPECIFIEDvarPubDate,)</f>
        <v>488</v>
      </c>
      <c r="C165" s="1">
        <f t="shared" si="6"/>
        <v>45848</v>
      </c>
      <c r="D165">
        <f t="shared" si="7"/>
        <v>2025</v>
      </c>
      <c r="E165">
        <f t="shared" si="8"/>
        <v>7</v>
      </c>
      <c r="F165" s="13" t="s">
        <v>336</v>
      </c>
      <c r="G165" s="13" t="s">
        <v>11</v>
      </c>
      <c r="H165" s="13" t="s">
        <v>2792</v>
      </c>
    </row>
    <row r="166" spans="1:8" x14ac:dyDescent="0.25">
      <c r="A166" t="s">
        <v>337</v>
      </c>
      <c r="B166" s="15" cm="1">
        <f t="array" ref="B166">_xll.GetPrice("FP-LBR-1948",,"Low",_SPECIFIEDvarPubDate,)</f>
        <v>471</v>
      </c>
      <c r="C166" s="1">
        <f t="shared" si="6"/>
        <v>45848</v>
      </c>
      <c r="D166">
        <f t="shared" si="7"/>
        <v>2025</v>
      </c>
      <c r="E166">
        <f t="shared" si="8"/>
        <v>7</v>
      </c>
      <c r="F166" s="13" t="s">
        <v>338</v>
      </c>
      <c r="G166" s="13" t="s">
        <v>11</v>
      </c>
      <c r="H166" s="13" t="s">
        <v>2792</v>
      </c>
    </row>
    <row r="167" spans="1:8" x14ac:dyDescent="0.25">
      <c r="A167" t="s">
        <v>339</v>
      </c>
      <c r="B167" s="15" cm="1">
        <f t="array" ref="B167">_xll.GetPrice("FP-LBR-0526",,"Low",_SPECIFIEDvarPubDate,)</f>
        <v>540</v>
      </c>
      <c r="C167" s="1">
        <f t="shared" si="6"/>
        <v>45848</v>
      </c>
      <c r="D167">
        <f t="shared" si="7"/>
        <v>2025</v>
      </c>
      <c r="E167">
        <f t="shared" si="8"/>
        <v>7</v>
      </c>
      <c r="F167" s="13" t="s">
        <v>340</v>
      </c>
      <c r="G167" s="13" t="s">
        <v>11</v>
      </c>
      <c r="H167" s="13" t="s">
        <v>2792</v>
      </c>
    </row>
    <row r="168" spans="1:8" x14ac:dyDescent="0.25">
      <c r="A168" t="s">
        <v>341</v>
      </c>
      <c r="B168" s="15" cm="1">
        <f t="array" ref="B168">_xll.GetPrice("FP-LBR-0527",,"Low",_SPECIFIEDvarPubDate,)</f>
        <v>523</v>
      </c>
      <c r="C168" s="1">
        <f t="shared" si="6"/>
        <v>45848</v>
      </c>
      <c r="D168">
        <f t="shared" si="7"/>
        <v>2025</v>
      </c>
      <c r="E168">
        <f t="shared" si="8"/>
        <v>7</v>
      </c>
      <c r="F168" s="13" t="s">
        <v>342</v>
      </c>
      <c r="G168" s="13" t="s">
        <v>11</v>
      </c>
      <c r="H168" s="13" t="s">
        <v>2792</v>
      </c>
    </row>
    <row r="169" spans="1:8" x14ac:dyDescent="0.25">
      <c r="A169" t="s">
        <v>343</v>
      </c>
      <c r="B169" s="15" cm="1">
        <f t="array" ref="B169">_xll.GetPrice("FP-LBR-0528",,"Low",_SPECIFIEDvarPubDate,)</f>
        <v>593</v>
      </c>
      <c r="C169" s="1">
        <f t="shared" si="6"/>
        <v>45848</v>
      </c>
      <c r="D169">
        <f t="shared" si="7"/>
        <v>2025</v>
      </c>
      <c r="E169">
        <f t="shared" si="8"/>
        <v>7</v>
      </c>
      <c r="F169" s="13" t="s">
        <v>272</v>
      </c>
      <c r="G169" s="13" t="s">
        <v>11</v>
      </c>
      <c r="H169" s="13" t="s">
        <v>2792</v>
      </c>
    </row>
    <row r="170" spans="1:8" x14ac:dyDescent="0.25">
      <c r="A170" t="s">
        <v>344</v>
      </c>
      <c r="B170" s="15" cm="1">
        <f t="array" ref="B170">_xll.GetPrice("FP-LBR-0531",,"Low",_SPECIFIEDvarPubDate,)</f>
        <v>380</v>
      </c>
      <c r="C170" s="1">
        <f t="shared" si="6"/>
        <v>45848</v>
      </c>
      <c r="D170">
        <f t="shared" si="7"/>
        <v>2025</v>
      </c>
      <c r="E170">
        <f t="shared" si="8"/>
        <v>7</v>
      </c>
      <c r="F170" s="13" t="s">
        <v>345</v>
      </c>
      <c r="G170" s="13" t="s">
        <v>11</v>
      </c>
      <c r="H170" s="13" t="s">
        <v>2792</v>
      </c>
    </row>
    <row r="171" spans="1:8" x14ac:dyDescent="0.25">
      <c r="A171" t="s">
        <v>346</v>
      </c>
      <c r="B171" s="15" cm="1">
        <f t="array" ref="B171">_xll.GetPrice("FP-LBR-0546",,"Low",_SPECIFIEDvarPubDate,)</f>
        <v>505</v>
      </c>
      <c r="C171" s="1">
        <f t="shared" si="6"/>
        <v>45848</v>
      </c>
      <c r="D171">
        <f t="shared" si="7"/>
        <v>2025</v>
      </c>
      <c r="E171">
        <f t="shared" si="8"/>
        <v>7</v>
      </c>
      <c r="F171" s="13" t="s">
        <v>331</v>
      </c>
      <c r="G171" s="13" t="s">
        <v>11</v>
      </c>
      <c r="H171" s="13" t="s">
        <v>2792</v>
      </c>
    </row>
    <row r="172" spans="1:8" x14ac:dyDescent="0.25">
      <c r="A172" t="s">
        <v>347</v>
      </c>
      <c r="B172" s="15" cm="1">
        <f t="array" ref="B172">_xll.GetPrice("FP-LBR-2001",,"Low",_SPECIFIEDvarPubDate,)</f>
        <v>405</v>
      </c>
      <c r="C172" s="1">
        <f t="shared" si="6"/>
        <v>45848</v>
      </c>
      <c r="D172">
        <f t="shared" si="7"/>
        <v>2025</v>
      </c>
      <c r="E172">
        <f t="shared" si="8"/>
        <v>7</v>
      </c>
      <c r="F172" s="13" t="s">
        <v>348</v>
      </c>
      <c r="G172" s="13" t="s">
        <v>11</v>
      </c>
      <c r="H172" s="13" t="s">
        <v>2792</v>
      </c>
    </row>
    <row r="173" spans="1:8" x14ac:dyDescent="0.25">
      <c r="A173" t="s">
        <v>349</v>
      </c>
      <c r="B173" s="15" cm="1">
        <f t="array" ref="B173">_xll.GetPrice("FP-LBR-0161",,"Low",_SPECIFIEDvarPubDate,)</f>
        <v>600</v>
      </c>
      <c r="C173" s="1">
        <f t="shared" si="6"/>
        <v>45848</v>
      </c>
      <c r="D173">
        <f t="shared" si="7"/>
        <v>2025</v>
      </c>
      <c r="E173">
        <f t="shared" si="8"/>
        <v>7</v>
      </c>
      <c r="F173" s="13" t="s">
        <v>350</v>
      </c>
      <c r="G173" s="13" t="s">
        <v>11</v>
      </c>
      <c r="H173" s="13" t="s">
        <v>2792</v>
      </c>
    </row>
    <row r="174" spans="1:8" x14ac:dyDescent="0.25">
      <c r="A174" t="s">
        <v>351</v>
      </c>
      <c r="B174" s="15" cm="1">
        <f t="array" ref="B174">_xll.GetPrice("FP-LBR-1963",,"Low",_SPECIFIEDvarPubDate,)</f>
        <v>534</v>
      </c>
      <c r="C174" s="1">
        <f t="shared" si="6"/>
        <v>45848</v>
      </c>
      <c r="D174">
        <f t="shared" si="7"/>
        <v>2025</v>
      </c>
      <c r="E174">
        <f t="shared" si="8"/>
        <v>7</v>
      </c>
      <c r="F174" s="13" t="s">
        <v>352</v>
      </c>
      <c r="G174" s="13" t="s">
        <v>11</v>
      </c>
      <c r="H174" s="13" t="s">
        <v>2792</v>
      </c>
    </row>
    <row r="175" spans="1:8" x14ac:dyDescent="0.25">
      <c r="A175" t="s">
        <v>353</v>
      </c>
      <c r="B175" s="15" cm="1">
        <f t="array" ref="B175">_xll.GetPrice("FP-LBR-1966",,"Low",_SPECIFIEDvarPubDate,)</f>
        <v>509</v>
      </c>
      <c r="C175" s="1">
        <f t="shared" si="6"/>
        <v>45848</v>
      </c>
      <c r="D175">
        <f t="shared" si="7"/>
        <v>2025</v>
      </c>
      <c r="E175">
        <f t="shared" si="8"/>
        <v>7</v>
      </c>
      <c r="F175" s="13" t="s">
        <v>354</v>
      </c>
      <c r="G175" s="13" t="s">
        <v>11</v>
      </c>
      <c r="H175" s="13" t="s">
        <v>2792</v>
      </c>
    </row>
    <row r="176" spans="1:8" x14ac:dyDescent="0.25">
      <c r="A176" t="s">
        <v>355</v>
      </c>
      <c r="B176" s="15" cm="1">
        <f t="array" ref="B176">_xll.GetPrice("FP-LBR-1967",,"Low",_SPECIFIEDvarPubDate,)</f>
        <v>519</v>
      </c>
      <c r="C176" s="1">
        <f t="shared" si="6"/>
        <v>45848</v>
      </c>
      <c r="D176">
        <f t="shared" si="7"/>
        <v>2025</v>
      </c>
      <c r="E176">
        <f t="shared" si="8"/>
        <v>7</v>
      </c>
      <c r="F176" s="13" t="s">
        <v>356</v>
      </c>
      <c r="G176" s="13" t="s">
        <v>11</v>
      </c>
      <c r="H176" s="13" t="s">
        <v>2792</v>
      </c>
    </row>
    <row r="177" spans="1:8" x14ac:dyDescent="0.25">
      <c r="A177" t="s">
        <v>357</v>
      </c>
      <c r="B177" s="15" cm="1">
        <f t="array" ref="B177">_xll.GetPrice("FP-LBR-1212",,"Low",_SPECIFIEDvarPubDate,)</f>
        <v>580</v>
      </c>
      <c r="C177" s="1">
        <f t="shared" si="6"/>
        <v>45848</v>
      </c>
      <c r="D177">
        <f t="shared" si="7"/>
        <v>2025</v>
      </c>
      <c r="E177">
        <f t="shared" si="8"/>
        <v>7</v>
      </c>
      <c r="F177" s="13" t="s">
        <v>358</v>
      </c>
      <c r="G177" s="13" t="s">
        <v>11</v>
      </c>
      <c r="H177" s="13" t="s">
        <v>2792</v>
      </c>
    </row>
    <row r="178" spans="1:8" x14ac:dyDescent="0.25">
      <c r="A178" t="s">
        <v>359</v>
      </c>
      <c r="B178" s="15" cm="1">
        <f t="array" ref="B178">_xll.GetPrice("FP-LBR-1213",,"Low",_SPECIFIEDvarPubDate,)</f>
        <v>515</v>
      </c>
      <c r="C178" s="1">
        <f t="shared" si="6"/>
        <v>45848</v>
      </c>
      <c r="D178">
        <f t="shared" si="7"/>
        <v>2025</v>
      </c>
      <c r="E178">
        <f t="shared" si="8"/>
        <v>7</v>
      </c>
      <c r="F178" s="13" t="s">
        <v>360</v>
      </c>
      <c r="G178" s="13" t="s">
        <v>11</v>
      </c>
      <c r="H178" s="13" t="s">
        <v>2792</v>
      </c>
    </row>
    <row r="179" spans="1:8" x14ac:dyDescent="0.25">
      <c r="A179" t="s">
        <v>361</v>
      </c>
      <c r="B179" s="15" cm="1">
        <f t="array" ref="B179">_xll.GetPrice("FP-LBR-1214",,"Low",_SPECIFIEDvarPubDate,)</f>
        <v>495</v>
      </c>
      <c r="C179" s="1">
        <f t="shared" si="6"/>
        <v>45848</v>
      </c>
      <c r="D179">
        <f t="shared" si="7"/>
        <v>2025</v>
      </c>
      <c r="E179">
        <f t="shared" si="8"/>
        <v>7</v>
      </c>
      <c r="F179" s="13" t="s">
        <v>362</v>
      </c>
      <c r="G179" s="13" t="s">
        <v>11</v>
      </c>
      <c r="H179" s="13" t="s">
        <v>2792</v>
      </c>
    </row>
    <row r="180" spans="1:8" x14ac:dyDescent="0.25">
      <c r="A180" t="s">
        <v>363</v>
      </c>
      <c r="B180" s="15" cm="1">
        <f t="array" ref="B180">_xll.GetPrice("FP-LBR-1215",,"Low",_SPECIFIEDvarPubDate,)</f>
        <v>575</v>
      </c>
      <c r="C180" s="1">
        <f t="shared" si="6"/>
        <v>45848</v>
      </c>
      <c r="D180">
        <f t="shared" si="7"/>
        <v>2025</v>
      </c>
      <c r="E180">
        <f t="shared" si="8"/>
        <v>7</v>
      </c>
      <c r="F180" s="13" t="s">
        <v>364</v>
      </c>
      <c r="G180" s="13" t="s">
        <v>11</v>
      </c>
      <c r="H180" s="13" t="s">
        <v>2792</v>
      </c>
    </row>
    <row r="181" spans="1:8" x14ac:dyDescent="0.25">
      <c r="A181" t="s">
        <v>365</v>
      </c>
      <c r="B181" s="15" cm="1">
        <f t="array" ref="B181">_xll.GetPrice("FP-LBR-1216",,"Low",_SPECIFIEDvarPubDate,)</f>
        <v>405</v>
      </c>
      <c r="C181" s="1">
        <f t="shared" si="6"/>
        <v>45848</v>
      </c>
      <c r="D181">
        <f t="shared" si="7"/>
        <v>2025</v>
      </c>
      <c r="E181">
        <f t="shared" si="8"/>
        <v>7</v>
      </c>
      <c r="F181" s="13" t="s">
        <v>366</v>
      </c>
      <c r="G181" s="13" t="s">
        <v>11</v>
      </c>
      <c r="H181" s="13" t="s">
        <v>2792</v>
      </c>
    </row>
    <row r="182" spans="1:8" x14ac:dyDescent="0.25">
      <c r="A182" t="s">
        <v>367</v>
      </c>
      <c r="B182" s="15" cm="1">
        <f t="array" ref="B182">_xll.GetPrice("FP-LBR-1217",,"Low",_SPECIFIEDvarPubDate,)</f>
        <v>335</v>
      </c>
      <c r="C182" s="1">
        <f t="shared" si="6"/>
        <v>45848</v>
      </c>
      <c r="D182">
        <f t="shared" si="7"/>
        <v>2025</v>
      </c>
      <c r="E182">
        <f t="shared" si="8"/>
        <v>7</v>
      </c>
      <c r="F182" s="13" t="s">
        <v>368</v>
      </c>
      <c r="G182" s="13" t="s">
        <v>11</v>
      </c>
      <c r="H182" s="13" t="s">
        <v>2792</v>
      </c>
    </row>
    <row r="183" spans="1:8" x14ac:dyDescent="0.25">
      <c r="A183" t="s">
        <v>369</v>
      </c>
      <c r="B183" s="15" cm="1">
        <f t="array" ref="B183">_xll.GetPrice("FP-LBR-1244",,"Low",_SPECIFIEDvarPubDate,)</f>
        <v>510</v>
      </c>
      <c r="C183" s="1">
        <f t="shared" si="6"/>
        <v>45848</v>
      </c>
      <c r="D183">
        <f t="shared" si="7"/>
        <v>2025</v>
      </c>
      <c r="E183">
        <f t="shared" si="8"/>
        <v>7</v>
      </c>
      <c r="F183" s="13" t="s">
        <v>370</v>
      </c>
      <c r="G183" s="13" t="s">
        <v>11</v>
      </c>
      <c r="H183" s="13" t="s">
        <v>2792</v>
      </c>
    </row>
    <row r="184" spans="1:8" x14ac:dyDescent="0.25">
      <c r="A184" t="s">
        <v>371</v>
      </c>
      <c r="B184" s="15" cm="1">
        <f t="array" ref="B184">_xll.GetPrice("FP-LBR-1245",,"Low",_SPECIFIEDvarPubDate,)</f>
        <v>550</v>
      </c>
      <c r="C184" s="1">
        <f t="shared" si="6"/>
        <v>45848</v>
      </c>
      <c r="D184">
        <f t="shared" si="7"/>
        <v>2025</v>
      </c>
      <c r="E184">
        <f t="shared" si="8"/>
        <v>7</v>
      </c>
      <c r="F184" s="13" t="s">
        <v>372</v>
      </c>
      <c r="G184" s="13" t="s">
        <v>11</v>
      </c>
      <c r="H184" s="13" t="s">
        <v>2792</v>
      </c>
    </row>
    <row r="185" spans="1:8" x14ac:dyDescent="0.25">
      <c r="A185" t="s">
        <v>373</v>
      </c>
      <c r="B185" s="15" cm="1">
        <f t="array" ref="B185">_xll.GetPrice("FP-LBR-1249",,"Low",_SPECIFIEDvarPubDate,)</f>
        <v>515</v>
      </c>
      <c r="C185" s="1">
        <f t="shared" si="6"/>
        <v>45848</v>
      </c>
      <c r="D185">
        <f t="shared" si="7"/>
        <v>2025</v>
      </c>
      <c r="E185">
        <f t="shared" si="8"/>
        <v>7</v>
      </c>
      <c r="F185" s="13" t="s">
        <v>374</v>
      </c>
      <c r="G185" s="13" t="s">
        <v>11</v>
      </c>
      <c r="H185" s="13" t="s">
        <v>2792</v>
      </c>
    </row>
    <row r="186" spans="1:8" x14ac:dyDescent="0.25">
      <c r="A186" t="s">
        <v>375</v>
      </c>
      <c r="B186" s="15" cm="1">
        <f t="array" ref="B186">_xll.GetPrice("FP-LBR-1242",,"Low",_SPECIFIEDvarPubDate,)</f>
        <v>500</v>
      </c>
      <c r="C186" s="1">
        <f t="shared" si="6"/>
        <v>45848</v>
      </c>
      <c r="D186">
        <f t="shared" si="7"/>
        <v>2025</v>
      </c>
      <c r="E186">
        <f t="shared" si="8"/>
        <v>7</v>
      </c>
      <c r="F186" s="13" t="s">
        <v>376</v>
      </c>
      <c r="G186" s="13" t="s">
        <v>11</v>
      </c>
      <c r="H186" s="13" t="s">
        <v>2792</v>
      </c>
    </row>
    <row r="187" spans="1:8" x14ac:dyDescent="0.25">
      <c r="A187" t="s">
        <v>377</v>
      </c>
      <c r="B187" s="15" cm="1">
        <f t="array" ref="B187">_xll.GetPrice("FP-LBR-1247",,"Low",_SPECIFIEDvarPubDate,)</f>
        <v>450</v>
      </c>
      <c r="C187" s="1">
        <f t="shared" si="6"/>
        <v>45848</v>
      </c>
      <c r="D187">
        <f t="shared" si="7"/>
        <v>2025</v>
      </c>
      <c r="E187">
        <f t="shared" si="8"/>
        <v>7</v>
      </c>
      <c r="F187" s="13" t="s">
        <v>378</v>
      </c>
      <c r="G187" s="13" t="s">
        <v>11</v>
      </c>
      <c r="H187" s="13" t="s">
        <v>2792</v>
      </c>
    </row>
    <row r="188" spans="1:8" x14ac:dyDescent="0.25">
      <c r="A188" t="s">
        <v>379</v>
      </c>
      <c r="B188" s="15" cm="1">
        <f t="array" ref="B188">_xll.GetPrice("FP-LBR-1985",,"Low",_SPECIFIEDvarPubDate,)</f>
        <v>420</v>
      </c>
      <c r="C188" s="1">
        <f t="shared" si="6"/>
        <v>45848</v>
      </c>
      <c r="D188">
        <f t="shared" si="7"/>
        <v>2025</v>
      </c>
      <c r="E188">
        <f t="shared" si="8"/>
        <v>7</v>
      </c>
      <c r="F188" s="13" t="s">
        <v>380</v>
      </c>
      <c r="G188" s="13" t="s">
        <v>11</v>
      </c>
      <c r="H188" s="13" t="s">
        <v>2792</v>
      </c>
    </row>
    <row r="189" spans="1:8" x14ac:dyDescent="0.25">
      <c r="A189" t="s">
        <v>381</v>
      </c>
      <c r="B189" s="15" cm="1">
        <f t="array" ref="B189">_xll.GetPrice("FP-LBR-0277",,"Low",_SPECIFIEDvarPubDate,)</f>
        <v>615</v>
      </c>
      <c r="C189" s="1">
        <f t="shared" si="6"/>
        <v>45848</v>
      </c>
      <c r="D189">
        <f t="shared" si="7"/>
        <v>2025</v>
      </c>
      <c r="E189">
        <f t="shared" si="8"/>
        <v>7</v>
      </c>
      <c r="F189" s="13" t="s">
        <v>382</v>
      </c>
      <c r="G189" s="13" t="s">
        <v>11</v>
      </c>
      <c r="H189" s="13" t="s">
        <v>2792</v>
      </c>
    </row>
    <row r="190" spans="1:8" x14ac:dyDescent="0.25">
      <c r="A190" t="s">
        <v>383</v>
      </c>
      <c r="B190" s="15" cm="1">
        <f t="array" ref="B190">_xll.GetPrice("FP-LBR-1975",,"Low",_SPECIFIEDvarPubDate,)</f>
        <v>473</v>
      </c>
      <c r="C190" s="1">
        <f t="shared" si="6"/>
        <v>45848</v>
      </c>
      <c r="D190">
        <f t="shared" si="7"/>
        <v>2025</v>
      </c>
      <c r="E190">
        <f t="shared" si="8"/>
        <v>7</v>
      </c>
      <c r="F190" s="13" t="s">
        <v>384</v>
      </c>
      <c r="G190" s="13" t="s">
        <v>11</v>
      </c>
      <c r="H190" s="13" t="s">
        <v>2792</v>
      </c>
    </row>
    <row r="191" spans="1:8" x14ac:dyDescent="0.25">
      <c r="A191" t="s">
        <v>385</v>
      </c>
      <c r="B191" s="15" cm="1">
        <f t="array" ref="B191">_xll.GetPrice("FP-LBR-1976",,"Low",_SPECIFIEDvarPubDate,)</f>
        <v>487</v>
      </c>
      <c r="C191" s="1">
        <f t="shared" si="6"/>
        <v>45848</v>
      </c>
      <c r="D191">
        <f t="shared" si="7"/>
        <v>2025</v>
      </c>
      <c r="E191">
        <f t="shared" si="8"/>
        <v>7</v>
      </c>
      <c r="F191" s="13" t="s">
        <v>386</v>
      </c>
      <c r="G191" s="13" t="s">
        <v>11</v>
      </c>
      <c r="H191" s="13" t="s">
        <v>2792</v>
      </c>
    </row>
    <row r="192" spans="1:8" x14ac:dyDescent="0.25">
      <c r="A192" t="s">
        <v>387</v>
      </c>
      <c r="B192" s="15" cm="1">
        <f t="array" ref="B192">_xll.GetPrice("FP-LBR-1218",,"Low",_SPECIFIEDvarPubDate,)</f>
        <v>605</v>
      </c>
      <c r="C192" s="1">
        <f t="shared" si="6"/>
        <v>45848</v>
      </c>
      <c r="D192">
        <f t="shared" si="7"/>
        <v>2025</v>
      </c>
      <c r="E192">
        <f t="shared" si="8"/>
        <v>7</v>
      </c>
      <c r="F192" s="13" t="s">
        <v>388</v>
      </c>
      <c r="G192" s="13" t="s">
        <v>11</v>
      </c>
      <c r="H192" s="13" t="s">
        <v>2792</v>
      </c>
    </row>
    <row r="193" spans="1:8" x14ac:dyDescent="0.25">
      <c r="A193" t="s">
        <v>389</v>
      </c>
      <c r="B193" s="15" cm="1">
        <f t="array" ref="B193">_xll.GetPrice("FP-LBR-1219",,"Low",_SPECIFIEDvarPubDate,)</f>
        <v>510</v>
      </c>
      <c r="C193" s="1">
        <f t="shared" si="6"/>
        <v>45848</v>
      </c>
      <c r="D193">
        <f t="shared" si="7"/>
        <v>2025</v>
      </c>
      <c r="E193">
        <f t="shared" si="8"/>
        <v>7</v>
      </c>
      <c r="F193" s="13" t="s">
        <v>390</v>
      </c>
      <c r="G193" s="13" t="s">
        <v>11</v>
      </c>
      <c r="H193" s="13" t="s">
        <v>2792</v>
      </c>
    </row>
    <row r="194" spans="1:8" x14ac:dyDescent="0.25">
      <c r="A194" t="s">
        <v>391</v>
      </c>
      <c r="B194" s="15" cm="1">
        <f t="array" ref="B194">_xll.GetPrice("FP-LBR-1220",,"Low",_SPECIFIEDvarPubDate,)</f>
        <v>505</v>
      </c>
      <c r="C194" s="1">
        <f t="shared" ref="C194:C257" si="9">_SPECIFIEDvarPubDate</f>
        <v>45848</v>
      </c>
      <c r="D194">
        <f t="shared" ref="D194:D257" si="10">_SPECIFIEDvarYear</f>
        <v>2025</v>
      </c>
      <c r="E194">
        <f t="shared" ref="E194:E257" si="11">_SPECIFIEDvarMonth</f>
        <v>7</v>
      </c>
      <c r="F194" s="13" t="s">
        <v>392</v>
      </c>
      <c r="G194" s="13" t="s">
        <v>11</v>
      </c>
      <c r="H194" s="13" t="s">
        <v>2792</v>
      </c>
    </row>
    <row r="195" spans="1:8" x14ac:dyDescent="0.25">
      <c r="A195" t="s">
        <v>393</v>
      </c>
      <c r="B195" s="15" cm="1">
        <f t="array" ref="B195">_xll.GetPrice("FP-LBR-1222",,"Low",_SPECIFIEDvarPubDate,)</f>
        <v>405</v>
      </c>
      <c r="C195" s="1">
        <f t="shared" si="9"/>
        <v>45848</v>
      </c>
      <c r="D195">
        <f t="shared" si="10"/>
        <v>2025</v>
      </c>
      <c r="E195">
        <f t="shared" si="11"/>
        <v>7</v>
      </c>
      <c r="F195" s="13" t="s">
        <v>394</v>
      </c>
      <c r="G195" s="13" t="s">
        <v>11</v>
      </c>
      <c r="H195" s="13" t="s">
        <v>2792</v>
      </c>
    </row>
    <row r="196" spans="1:8" x14ac:dyDescent="0.25">
      <c r="A196" t="s">
        <v>395</v>
      </c>
      <c r="B196" s="15" cm="1">
        <f t="array" ref="B196">_xll.GetPrice("FP-LBR-1223",,"Low",_SPECIFIEDvarPubDate,)</f>
        <v>360</v>
      </c>
      <c r="C196" s="1">
        <f t="shared" si="9"/>
        <v>45848</v>
      </c>
      <c r="D196">
        <f t="shared" si="10"/>
        <v>2025</v>
      </c>
      <c r="E196">
        <f t="shared" si="11"/>
        <v>7</v>
      </c>
      <c r="F196" s="13" t="s">
        <v>396</v>
      </c>
      <c r="G196" s="13" t="s">
        <v>11</v>
      </c>
      <c r="H196" s="13" t="s">
        <v>2792</v>
      </c>
    </row>
    <row r="197" spans="1:8" x14ac:dyDescent="0.25">
      <c r="A197" t="s">
        <v>397</v>
      </c>
      <c r="B197" s="15" cm="1">
        <f t="array" ref="B197">_xll.GetPrice("FP-LBR-1254",,"Low",_SPECIFIEDvarPubDate,)</f>
        <v>515</v>
      </c>
      <c r="C197" s="1">
        <f t="shared" si="9"/>
        <v>45848</v>
      </c>
      <c r="D197">
        <f t="shared" si="10"/>
        <v>2025</v>
      </c>
      <c r="E197">
        <f t="shared" si="11"/>
        <v>7</v>
      </c>
      <c r="F197" s="13" t="s">
        <v>398</v>
      </c>
      <c r="G197" s="13" t="s">
        <v>11</v>
      </c>
      <c r="H197" s="13" t="s">
        <v>2792</v>
      </c>
    </row>
    <row r="198" spans="1:8" x14ac:dyDescent="0.25">
      <c r="A198" t="s">
        <v>399</v>
      </c>
      <c r="B198" s="15" cm="1">
        <f t="array" ref="B198">_xll.GetPrice("FP-LBR-1255",,"Low",_SPECIFIEDvarPubDate,)</f>
        <v>565</v>
      </c>
      <c r="C198" s="1">
        <f t="shared" si="9"/>
        <v>45848</v>
      </c>
      <c r="D198">
        <f t="shared" si="10"/>
        <v>2025</v>
      </c>
      <c r="E198">
        <f t="shared" si="11"/>
        <v>7</v>
      </c>
      <c r="F198" s="13" t="s">
        <v>400</v>
      </c>
      <c r="G198" s="13" t="s">
        <v>11</v>
      </c>
      <c r="H198" s="13" t="s">
        <v>2792</v>
      </c>
    </row>
    <row r="199" spans="1:8" x14ac:dyDescent="0.25">
      <c r="A199" t="s">
        <v>401</v>
      </c>
      <c r="B199" s="15" cm="1">
        <f t="array" ref="B199">_xll.GetPrice("FP-LBR-1259",,"Low",_SPECIFIEDvarPubDate,)</f>
        <v>515</v>
      </c>
      <c r="C199" s="1">
        <f t="shared" si="9"/>
        <v>45848</v>
      </c>
      <c r="D199">
        <f t="shared" si="10"/>
        <v>2025</v>
      </c>
      <c r="E199">
        <f t="shared" si="11"/>
        <v>7</v>
      </c>
      <c r="F199" s="13" t="s">
        <v>402</v>
      </c>
      <c r="G199" s="13" t="s">
        <v>11</v>
      </c>
      <c r="H199" s="13" t="s">
        <v>2792</v>
      </c>
    </row>
    <row r="200" spans="1:8" x14ac:dyDescent="0.25">
      <c r="A200" t="s">
        <v>403</v>
      </c>
      <c r="B200" s="15" cm="1">
        <f t="array" ref="B200">_xll.GetPrice("FP-LBR-1252",,"Low",_SPECIFIEDvarPubDate,)</f>
        <v>505</v>
      </c>
      <c r="C200" s="1">
        <f t="shared" si="9"/>
        <v>45848</v>
      </c>
      <c r="D200">
        <f t="shared" si="10"/>
        <v>2025</v>
      </c>
      <c r="E200">
        <f t="shared" si="11"/>
        <v>7</v>
      </c>
      <c r="F200" s="13" t="s">
        <v>404</v>
      </c>
      <c r="G200" s="13" t="s">
        <v>11</v>
      </c>
      <c r="H200" s="13" t="s">
        <v>2792</v>
      </c>
    </row>
    <row r="201" spans="1:8" x14ac:dyDescent="0.25">
      <c r="A201" t="s">
        <v>405</v>
      </c>
      <c r="B201" s="15" cm="1">
        <f t="array" ref="B201">_xll.GetPrice("FP-LBR-1257",,"Low",_SPECIFIEDvarPubDate,)</f>
        <v>460</v>
      </c>
      <c r="C201" s="1">
        <f t="shared" si="9"/>
        <v>45848</v>
      </c>
      <c r="D201">
        <f t="shared" si="10"/>
        <v>2025</v>
      </c>
      <c r="E201">
        <f t="shared" si="11"/>
        <v>7</v>
      </c>
      <c r="F201" s="13" t="s">
        <v>406</v>
      </c>
      <c r="G201" s="13" t="s">
        <v>11</v>
      </c>
      <c r="H201" s="13" t="s">
        <v>2792</v>
      </c>
    </row>
    <row r="202" spans="1:8" x14ac:dyDescent="0.25">
      <c r="A202" t="s">
        <v>407</v>
      </c>
      <c r="B202" s="15" cm="1">
        <f t="array" ref="B202">_xll.GetPrice("FP-LBR-1224",,"Low",_SPECIFIEDvarPubDate,)</f>
        <v>670</v>
      </c>
      <c r="C202" s="1">
        <f t="shared" si="9"/>
        <v>45848</v>
      </c>
      <c r="D202">
        <f t="shared" si="10"/>
        <v>2025</v>
      </c>
      <c r="E202">
        <f t="shared" si="11"/>
        <v>7</v>
      </c>
      <c r="F202" s="13" t="s">
        <v>408</v>
      </c>
      <c r="G202" s="13" t="s">
        <v>11</v>
      </c>
      <c r="H202" s="13" t="s">
        <v>2792</v>
      </c>
    </row>
    <row r="203" spans="1:8" x14ac:dyDescent="0.25">
      <c r="A203" t="s">
        <v>409</v>
      </c>
      <c r="B203" s="15" cm="1">
        <f t="array" ref="B203">_xll.GetPrice("FP-LBR-1225",,"Low",_SPECIFIEDvarPubDate,)</f>
        <v>610</v>
      </c>
      <c r="C203" s="1">
        <f t="shared" si="9"/>
        <v>45848</v>
      </c>
      <c r="D203">
        <f t="shared" si="10"/>
        <v>2025</v>
      </c>
      <c r="E203">
        <f t="shared" si="11"/>
        <v>7</v>
      </c>
      <c r="F203" s="13" t="s">
        <v>410</v>
      </c>
      <c r="G203" s="13" t="s">
        <v>11</v>
      </c>
      <c r="H203" s="13" t="s">
        <v>2792</v>
      </c>
    </row>
    <row r="204" spans="1:8" x14ac:dyDescent="0.25">
      <c r="A204" t="s">
        <v>411</v>
      </c>
      <c r="B204" s="15" cm="1">
        <f t="array" ref="B204">_xll.GetPrice("FP-LBR-1226",,"Low",_SPECIFIEDvarPubDate,)</f>
        <v>600</v>
      </c>
      <c r="C204" s="1">
        <f t="shared" si="9"/>
        <v>45848</v>
      </c>
      <c r="D204">
        <f t="shared" si="10"/>
        <v>2025</v>
      </c>
      <c r="E204">
        <f t="shared" si="11"/>
        <v>7</v>
      </c>
      <c r="F204" s="13" t="s">
        <v>412</v>
      </c>
      <c r="G204" s="13" t="s">
        <v>11</v>
      </c>
      <c r="H204" s="13" t="s">
        <v>2792</v>
      </c>
    </row>
    <row r="205" spans="1:8" x14ac:dyDescent="0.25">
      <c r="A205" t="s">
        <v>413</v>
      </c>
      <c r="B205" s="15" cm="1">
        <f t="array" ref="B205">_xll.GetPrice("FP-LBR-1227",,"Low",_SPECIFIEDvarPubDate,)</f>
        <v>730</v>
      </c>
      <c r="C205" s="1">
        <f t="shared" si="9"/>
        <v>45848</v>
      </c>
      <c r="D205">
        <f t="shared" si="10"/>
        <v>2025</v>
      </c>
      <c r="E205">
        <f t="shared" si="11"/>
        <v>7</v>
      </c>
      <c r="F205" s="13" t="s">
        <v>414</v>
      </c>
      <c r="G205" s="13" t="s">
        <v>11</v>
      </c>
      <c r="H205" s="13" t="s">
        <v>2792</v>
      </c>
    </row>
    <row r="206" spans="1:8" x14ac:dyDescent="0.25">
      <c r="A206" t="s">
        <v>415</v>
      </c>
      <c r="B206" s="15" cm="1">
        <f t="array" ref="B206">_xll.GetPrice("FP-LBR-1263",,"Low",_SPECIFIEDvarPubDate,)</f>
        <v>595</v>
      </c>
      <c r="C206" s="1">
        <f t="shared" si="9"/>
        <v>45848</v>
      </c>
      <c r="D206">
        <f t="shared" si="10"/>
        <v>2025</v>
      </c>
      <c r="E206">
        <f t="shared" si="11"/>
        <v>7</v>
      </c>
      <c r="F206" s="13" t="s">
        <v>416</v>
      </c>
      <c r="G206" s="13" t="s">
        <v>11</v>
      </c>
      <c r="H206" s="13" t="s">
        <v>2792</v>
      </c>
    </row>
    <row r="207" spans="1:8" x14ac:dyDescent="0.25">
      <c r="A207" t="s">
        <v>417</v>
      </c>
      <c r="B207" s="15" cm="1">
        <f t="array" ref="B207">_xll.GetPrice("FP-LBR-1266",,"Low",_SPECIFIEDvarPubDate,)</f>
        <v>610</v>
      </c>
      <c r="C207" s="1">
        <f t="shared" si="9"/>
        <v>45848</v>
      </c>
      <c r="D207">
        <f t="shared" si="10"/>
        <v>2025</v>
      </c>
      <c r="E207">
        <f t="shared" si="11"/>
        <v>7</v>
      </c>
      <c r="F207" s="13" t="s">
        <v>418</v>
      </c>
      <c r="G207" s="13" t="s">
        <v>11</v>
      </c>
      <c r="H207" s="13" t="s">
        <v>2792</v>
      </c>
    </row>
    <row r="208" spans="1:8" x14ac:dyDescent="0.25">
      <c r="A208" t="s">
        <v>419</v>
      </c>
      <c r="B208" s="15" cm="1">
        <f t="array" ref="B208">_xll.GetPrice("FP-LBR-0325",,"Low",_SPECIFIEDvarPubDate,)</f>
        <v>415</v>
      </c>
      <c r="C208" s="1">
        <f t="shared" si="9"/>
        <v>45848</v>
      </c>
      <c r="D208">
        <f t="shared" si="10"/>
        <v>2025</v>
      </c>
      <c r="E208">
        <f t="shared" si="11"/>
        <v>7</v>
      </c>
      <c r="F208" s="13" t="s">
        <v>420</v>
      </c>
      <c r="G208" s="13" t="s">
        <v>11</v>
      </c>
      <c r="H208" s="13" t="s">
        <v>2792</v>
      </c>
    </row>
    <row r="209" spans="1:8" x14ac:dyDescent="0.25">
      <c r="A209" t="s">
        <v>421</v>
      </c>
      <c r="B209" s="15" cm="1">
        <f t="array" ref="B209">_xll.GetPrice("FP-LBR-0332",,"Low",_SPECIFIEDvarPubDate,)</f>
        <v>300</v>
      </c>
      <c r="C209" s="1">
        <f t="shared" si="9"/>
        <v>45848</v>
      </c>
      <c r="D209">
        <f t="shared" si="10"/>
        <v>2025</v>
      </c>
      <c r="E209">
        <f t="shared" si="11"/>
        <v>7</v>
      </c>
      <c r="F209" s="13" t="s">
        <v>422</v>
      </c>
      <c r="G209" s="13" t="s">
        <v>11</v>
      </c>
      <c r="H209" s="13" t="s">
        <v>2792</v>
      </c>
    </row>
    <row r="210" spans="1:8" x14ac:dyDescent="0.25">
      <c r="A210" t="s">
        <v>423</v>
      </c>
      <c r="B210" s="15" cm="1">
        <f t="array" ref="B210">_xll.GetPrice("FP-LBR-0339",,"Low",_SPECIFIEDvarPubDate,)</f>
        <v>335</v>
      </c>
      <c r="C210" s="1">
        <f t="shared" si="9"/>
        <v>45848</v>
      </c>
      <c r="D210">
        <f t="shared" si="10"/>
        <v>2025</v>
      </c>
      <c r="E210">
        <f t="shared" si="11"/>
        <v>7</v>
      </c>
      <c r="F210" s="13" t="s">
        <v>424</v>
      </c>
      <c r="G210" s="13" t="s">
        <v>11</v>
      </c>
      <c r="H210" s="13" t="s">
        <v>2792</v>
      </c>
    </row>
    <row r="211" spans="1:8" x14ac:dyDescent="0.25">
      <c r="A211" t="s">
        <v>425</v>
      </c>
      <c r="B211" s="15" cm="1">
        <f t="array" ref="B211">_xll.GetPrice("FP-LBR-0346",,"Low",_SPECIFIEDvarPubDate,)</f>
        <v>355</v>
      </c>
      <c r="C211" s="1">
        <f t="shared" si="9"/>
        <v>45848</v>
      </c>
      <c r="D211">
        <f t="shared" si="10"/>
        <v>2025</v>
      </c>
      <c r="E211">
        <f t="shared" si="11"/>
        <v>7</v>
      </c>
      <c r="F211" s="13" t="s">
        <v>426</v>
      </c>
      <c r="G211" s="13" t="s">
        <v>11</v>
      </c>
      <c r="H211" s="13" t="s">
        <v>2792</v>
      </c>
    </row>
    <row r="212" spans="1:8" x14ac:dyDescent="0.25">
      <c r="A212" t="s">
        <v>427</v>
      </c>
      <c r="B212" s="15" cm="1">
        <f t="array" ref="B212">_xll.GetPrice("FP-LBR-0353",,"Low",_SPECIFIEDvarPubDate,)</f>
        <v>440</v>
      </c>
      <c r="C212" s="1">
        <f t="shared" si="9"/>
        <v>45848</v>
      </c>
      <c r="D212">
        <f t="shared" si="10"/>
        <v>2025</v>
      </c>
      <c r="E212">
        <f t="shared" si="11"/>
        <v>7</v>
      </c>
      <c r="F212" s="13" t="s">
        <v>428</v>
      </c>
      <c r="G212" s="13" t="s">
        <v>11</v>
      </c>
      <c r="H212" s="13" t="s">
        <v>2792</v>
      </c>
    </row>
    <row r="213" spans="1:8" x14ac:dyDescent="0.25">
      <c r="A213" t="s">
        <v>429</v>
      </c>
      <c r="B213" s="15" cm="1">
        <f t="array" ref="B213">_xll.GetPrice("FP-LBR-0360",,"Low",_SPECIFIEDvarPubDate,)</f>
        <v>385</v>
      </c>
      <c r="C213" s="1">
        <f t="shared" si="9"/>
        <v>45848</v>
      </c>
      <c r="D213">
        <f t="shared" si="10"/>
        <v>2025</v>
      </c>
      <c r="E213">
        <f t="shared" si="11"/>
        <v>7</v>
      </c>
      <c r="F213" s="13" t="s">
        <v>430</v>
      </c>
      <c r="G213" s="13" t="s">
        <v>11</v>
      </c>
      <c r="H213" s="13" t="s">
        <v>2792</v>
      </c>
    </row>
    <row r="214" spans="1:8" x14ac:dyDescent="0.25">
      <c r="A214" t="s">
        <v>431</v>
      </c>
      <c r="B214" s="15" cm="1">
        <f t="array" ref="B214">_xll.GetPrice("FP-LBR-0367",,"Low",_SPECIFIEDvarPubDate,)</f>
        <v>280</v>
      </c>
      <c r="C214" s="1">
        <f t="shared" si="9"/>
        <v>45848</v>
      </c>
      <c r="D214">
        <f t="shared" si="10"/>
        <v>2025</v>
      </c>
      <c r="E214">
        <f t="shared" si="11"/>
        <v>7</v>
      </c>
      <c r="F214" s="13" t="s">
        <v>432</v>
      </c>
      <c r="G214" s="13" t="s">
        <v>11</v>
      </c>
      <c r="H214" s="13" t="s">
        <v>2792</v>
      </c>
    </row>
    <row r="215" spans="1:8" x14ac:dyDescent="0.25">
      <c r="A215" t="s">
        <v>433</v>
      </c>
      <c r="B215" s="15" cm="1">
        <f t="array" ref="B215">_xll.GetPrice("FP-LBR-0374",,"Low",_SPECIFIEDvarPubDate,)</f>
        <v>305</v>
      </c>
      <c r="C215" s="1">
        <f t="shared" si="9"/>
        <v>45848</v>
      </c>
      <c r="D215">
        <f t="shared" si="10"/>
        <v>2025</v>
      </c>
      <c r="E215">
        <f t="shared" si="11"/>
        <v>7</v>
      </c>
      <c r="F215" s="13" t="s">
        <v>434</v>
      </c>
      <c r="G215" s="13" t="s">
        <v>11</v>
      </c>
      <c r="H215" s="13" t="s">
        <v>2792</v>
      </c>
    </row>
    <row r="216" spans="1:8" x14ac:dyDescent="0.25">
      <c r="A216" t="s">
        <v>435</v>
      </c>
      <c r="B216" s="15" cm="1">
        <f t="array" ref="B216">_xll.GetPrice("FP-LBR-0381",,"Low",_SPECIFIEDvarPubDate,)</f>
        <v>285</v>
      </c>
      <c r="C216" s="1">
        <f t="shared" si="9"/>
        <v>45848</v>
      </c>
      <c r="D216">
        <f t="shared" si="10"/>
        <v>2025</v>
      </c>
      <c r="E216">
        <f t="shared" si="11"/>
        <v>7</v>
      </c>
      <c r="F216" s="13" t="s">
        <v>436</v>
      </c>
      <c r="G216" s="13" t="s">
        <v>11</v>
      </c>
      <c r="H216" s="13" t="s">
        <v>2792</v>
      </c>
    </row>
    <row r="217" spans="1:8" x14ac:dyDescent="0.25">
      <c r="A217" t="s">
        <v>437</v>
      </c>
      <c r="B217" s="15" cm="1">
        <f t="array" ref="B217">_xll.GetPrice("FP-LBR-0388",,"Low",_SPECIFIEDvarPubDate,)</f>
        <v>275</v>
      </c>
      <c r="C217" s="1">
        <f t="shared" si="9"/>
        <v>45848</v>
      </c>
      <c r="D217">
        <f t="shared" si="10"/>
        <v>2025</v>
      </c>
      <c r="E217">
        <f t="shared" si="11"/>
        <v>7</v>
      </c>
      <c r="F217" s="13" t="s">
        <v>438</v>
      </c>
      <c r="G217" s="13" t="s">
        <v>11</v>
      </c>
      <c r="H217" s="13" t="s">
        <v>2792</v>
      </c>
    </row>
    <row r="218" spans="1:8" x14ac:dyDescent="0.25">
      <c r="A218" t="s">
        <v>439</v>
      </c>
      <c r="B218" s="15" cm="1">
        <f t="array" ref="B218">_xll.GetPrice("FP-LBR-2051",,"Low",_SPECIFIEDvarPubDate,)</f>
        <v>435</v>
      </c>
      <c r="C218" s="1">
        <f t="shared" si="9"/>
        <v>45848</v>
      </c>
      <c r="D218">
        <f t="shared" si="10"/>
        <v>2025</v>
      </c>
      <c r="E218">
        <f t="shared" si="11"/>
        <v>7</v>
      </c>
      <c r="F218" s="13" t="s">
        <v>440</v>
      </c>
      <c r="G218" s="13" t="s">
        <v>11</v>
      </c>
      <c r="H218" s="13" t="s">
        <v>2792</v>
      </c>
    </row>
    <row r="219" spans="1:8" x14ac:dyDescent="0.25">
      <c r="A219" t="s">
        <v>441</v>
      </c>
      <c r="B219" s="15" cm="1">
        <f t="array" ref="B219">_xll.GetPrice("FP-LBR-2058",,"Low",_SPECIFIEDvarPubDate,)</f>
        <v>345</v>
      </c>
      <c r="C219" s="1">
        <f t="shared" si="9"/>
        <v>45848</v>
      </c>
      <c r="D219">
        <f t="shared" si="10"/>
        <v>2025</v>
      </c>
      <c r="E219">
        <f t="shared" si="11"/>
        <v>7</v>
      </c>
      <c r="F219" s="13" t="s">
        <v>442</v>
      </c>
      <c r="G219" s="13" t="s">
        <v>11</v>
      </c>
      <c r="H219" s="13" t="s">
        <v>2792</v>
      </c>
    </row>
    <row r="220" spans="1:8" x14ac:dyDescent="0.25">
      <c r="A220" t="s">
        <v>443</v>
      </c>
      <c r="B220" s="15" cm="1">
        <f t="array" ref="B220">_xll.GetPrice("FP-LBR-2016",,"Low",_SPECIFIEDvarPubDate,)</f>
        <v>390</v>
      </c>
      <c r="C220" s="1">
        <f t="shared" si="9"/>
        <v>45848</v>
      </c>
      <c r="D220">
        <f t="shared" si="10"/>
        <v>2025</v>
      </c>
      <c r="E220">
        <f t="shared" si="11"/>
        <v>7</v>
      </c>
      <c r="F220" s="13" t="s">
        <v>444</v>
      </c>
      <c r="G220" s="13" t="s">
        <v>11</v>
      </c>
      <c r="H220" s="13" t="s">
        <v>2792</v>
      </c>
    </row>
    <row r="221" spans="1:8" x14ac:dyDescent="0.25">
      <c r="A221" t="s">
        <v>445</v>
      </c>
      <c r="B221" s="15" cm="1">
        <f t="array" ref="B221">_xll.GetPrice("FP-LBR-2023",,"Low",_SPECIFIEDvarPubDate,)</f>
        <v>285</v>
      </c>
      <c r="C221" s="1">
        <f t="shared" si="9"/>
        <v>45848</v>
      </c>
      <c r="D221">
        <f t="shared" si="10"/>
        <v>2025</v>
      </c>
      <c r="E221">
        <f t="shared" si="11"/>
        <v>7</v>
      </c>
      <c r="F221" s="13" t="s">
        <v>446</v>
      </c>
      <c r="G221" s="13" t="s">
        <v>11</v>
      </c>
      <c r="H221" s="13" t="s">
        <v>2792</v>
      </c>
    </row>
    <row r="222" spans="1:8" x14ac:dyDescent="0.25">
      <c r="A222" t="s">
        <v>447</v>
      </c>
      <c r="B222" s="15" cm="1">
        <f t="array" ref="B222">_xll.GetPrice("FP-LBR-2030",,"Low",_SPECIFIEDvarPubDate,)</f>
        <v>315</v>
      </c>
      <c r="C222" s="1">
        <f t="shared" si="9"/>
        <v>45848</v>
      </c>
      <c r="D222">
        <f t="shared" si="10"/>
        <v>2025</v>
      </c>
      <c r="E222">
        <f t="shared" si="11"/>
        <v>7</v>
      </c>
      <c r="F222" s="13" t="s">
        <v>448</v>
      </c>
      <c r="G222" s="13" t="s">
        <v>11</v>
      </c>
      <c r="H222" s="13" t="s">
        <v>2792</v>
      </c>
    </row>
    <row r="223" spans="1:8" x14ac:dyDescent="0.25">
      <c r="A223" t="s">
        <v>449</v>
      </c>
      <c r="B223" s="15" cm="1">
        <f t="array" ref="B223">_xll.GetPrice("FP-LBR-2037",,"Low",_SPECIFIEDvarPubDate,)</f>
        <v>275</v>
      </c>
      <c r="C223" s="1">
        <f t="shared" si="9"/>
        <v>45848</v>
      </c>
      <c r="D223">
        <f t="shared" si="10"/>
        <v>2025</v>
      </c>
      <c r="E223">
        <f t="shared" si="11"/>
        <v>7</v>
      </c>
      <c r="F223" s="13" t="s">
        <v>450</v>
      </c>
      <c r="G223" s="13" t="s">
        <v>11</v>
      </c>
      <c r="H223" s="13" t="s">
        <v>2792</v>
      </c>
    </row>
    <row r="224" spans="1:8" x14ac:dyDescent="0.25">
      <c r="A224" t="s">
        <v>451</v>
      </c>
      <c r="B224" s="15" cm="1">
        <f t="array" ref="B224">_xll.GetPrice("FP-LBR-2044",,"Low",_SPECIFIEDvarPubDate,)</f>
        <v>310</v>
      </c>
      <c r="C224" s="1">
        <f t="shared" si="9"/>
        <v>45848</v>
      </c>
      <c r="D224">
        <f t="shared" si="10"/>
        <v>2025</v>
      </c>
      <c r="E224">
        <f t="shared" si="11"/>
        <v>7</v>
      </c>
      <c r="F224" s="13" t="s">
        <v>452</v>
      </c>
      <c r="G224" s="13" t="s">
        <v>11</v>
      </c>
      <c r="H224" s="13" t="s">
        <v>2792</v>
      </c>
    </row>
    <row r="225" spans="1:8" x14ac:dyDescent="0.25">
      <c r="A225" t="s">
        <v>453</v>
      </c>
      <c r="B225" s="15" cm="1">
        <f t="array" ref="B225">_xll.GetPrice("FP-LBR-1274",,"Low",_SPECIFIEDvarPubDate,)</f>
        <v>520</v>
      </c>
      <c r="C225" s="1">
        <f t="shared" si="9"/>
        <v>45848</v>
      </c>
      <c r="D225">
        <f t="shared" si="10"/>
        <v>2025</v>
      </c>
      <c r="E225">
        <f t="shared" si="11"/>
        <v>7</v>
      </c>
      <c r="F225" s="13" t="s">
        <v>454</v>
      </c>
      <c r="G225" s="13" t="s">
        <v>11</v>
      </c>
      <c r="H225" s="13" t="s">
        <v>2792</v>
      </c>
    </row>
    <row r="226" spans="1:8" x14ac:dyDescent="0.25">
      <c r="A226" t="s">
        <v>455</v>
      </c>
      <c r="B226" s="15" cm="1">
        <f t="array" ref="B226">_xll.GetPrice("FP-LBR-1279",,"Low",_SPECIFIEDvarPubDate,)</f>
        <v>530</v>
      </c>
      <c r="C226" s="1">
        <f t="shared" si="9"/>
        <v>45848</v>
      </c>
      <c r="D226">
        <f t="shared" si="10"/>
        <v>2025</v>
      </c>
      <c r="E226">
        <f t="shared" si="11"/>
        <v>7</v>
      </c>
      <c r="F226" s="13" t="s">
        <v>456</v>
      </c>
      <c r="G226" s="13" t="s">
        <v>11</v>
      </c>
      <c r="H226" s="13" t="s">
        <v>2792</v>
      </c>
    </row>
    <row r="227" spans="1:8" x14ac:dyDescent="0.25">
      <c r="A227" t="s">
        <v>457</v>
      </c>
      <c r="B227" s="15" cm="1">
        <f t="array" ref="B227">_xll.GetPrice("FP-LBR-1284",,"Low",_SPECIFIEDvarPubDate,)</f>
        <v>535</v>
      </c>
      <c r="C227" s="1">
        <f t="shared" si="9"/>
        <v>45848</v>
      </c>
      <c r="D227">
        <f t="shared" si="10"/>
        <v>2025</v>
      </c>
      <c r="E227">
        <f t="shared" si="11"/>
        <v>7</v>
      </c>
      <c r="F227" s="13" t="s">
        <v>458</v>
      </c>
      <c r="G227" s="13" t="s">
        <v>11</v>
      </c>
      <c r="H227" s="13" t="s">
        <v>2792</v>
      </c>
    </row>
    <row r="228" spans="1:8" x14ac:dyDescent="0.25">
      <c r="A228" t="s">
        <v>459</v>
      </c>
      <c r="B228" s="15" cm="1">
        <f t="array" ref="B228">_xll.GetPrice("FP-LBR-1289",,"Low",_SPECIFIEDvarPubDate,)</f>
        <v>535</v>
      </c>
      <c r="C228" s="1">
        <f t="shared" si="9"/>
        <v>45848</v>
      </c>
      <c r="D228">
        <f t="shared" si="10"/>
        <v>2025</v>
      </c>
      <c r="E228">
        <f t="shared" si="11"/>
        <v>7</v>
      </c>
      <c r="F228" s="13" t="s">
        <v>460</v>
      </c>
      <c r="G228" s="13" t="s">
        <v>11</v>
      </c>
      <c r="H228" s="13" t="s">
        <v>2792</v>
      </c>
    </row>
    <row r="229" spans="1:8" x14ac:dyDescent="0.25">
      <c r="A229" t="s">
        <v>461</v>
      </c>
      <c r="B229" s="15" cm="1">
        <f t="array" ref="B229">_xll.GetPrice("FP-LBR-1338",,"Low",_SPECIFIEDvarPubDate,)</f>
        <v>335</v>
      </c>
      <c r="C229" s="1">
        <f t="shared" si="9"/>
        <v>45848</v>
      </c>
      <c r="D229">
        <f t="shared" si="10"/>
        <v>2025</v>
      </c>
      <c r="E229">
        <f t="shared" si="11"/>
        <v>7</v>
      </c>
      <c r="F229" s="13" t="s">
        <v>462</v>
      </c>
      <c r="G229" s="13" t="s">
        <v>11</v>
      </c>
      <c r="H229" s="13" t="s">
        <v>2792</v>
      </c>
    </row>
    <row r="230" spans="1:8" x14ac:dyDescent="0.25">
      <c r="A230" t="s">
        <v>463</v>
      </c>
      <c r="B230" s="15" cm="1">
        <f t="array" ref="B230">_xll.GetPrice("FP-LBR-1345",,"Low",_SPECIFIEDvarPubDate,)</f>
        <v>280</v>
      </c>
      <c r="C230" s="1">
        <f t="shared" si="9"/>
        <v>45848</v>
      </c>
      <c r="D230">
        <f t="shared" si="10"/>
        <v>2025</v>
      </c>
      <c r="E230">
        <f t="shared" si="11"/>
        <v>7</v>
      </c>
      <c r="F230" s="13" t="s">
        <v>464</v>
      </c>
      <c r="G230" s="13" t="s">
        <v>11</v>
      </c>
      <c r="H230" s="13" t="s">
        <v>2792</v>
      </c>
    </row>
    <row r="231" spans="1:8" x14ac:dyDescent="0.25">
      <c r="A231" t="s">
        <v>465</v>
      </c>
      <c r="B231" s="15" cm="1">
        <f t="array" ref="B231">_xll.GetPrice("FP-LBR-1358",,"Low",_SPECIFIEDvarPubDate,)</f>
        <v>335</v>
      </c>
      <c r="C231" s="1">
        <f t="shared" si="9"/>
        <v>45848</v>
      </c>
      <c r="D231">
        <f t="shared" si="10"/>
        <v>2025</v>
      </c>
      <c r="E231">
        <f t="shared" si="11"/>
        <v>7</v>
      </c>
      <c r="F231" s="13" t="s">
        <v>466</v>
      </c>
      <c r="G231" s="13" t="s">
        <v>11</v>
      </c>
      <c r="H231" s="13" t="s">
        <v>2792</v>
      </c>
    </row>
    <row r="232" spans="1:8" x14ac:dyDescent="0.25">
      <c r="A232" t="s">
        <v>467</v>
      </c>
      <c r="B232" s="15" cm="1">
        <f t="array" ref="B232">_xll.GetPrice("FP-LBR-1371",,"Low",_SPECIFIEDvarPubDate,)</f>
        <v>310</v>
      </c>
      <c r="C232" s="1">
        <f t="shared" si="9"/>
        <v>45848</v>
      </c>
      <c r="D232">
        <f t="shared" si="10"/>
        <v>2025</v>
      </c>
      <c r="E232">
        <f t="shared" si="11"/>
        <v>7</v>
      </c>
      <c r="F232" s="13" t="s">
        <v>468</v>
      </c>
      <c r="G232" s="13" t="s">
        <v>11</v>
      </c>
      <c r="H232" s="13" t="s">
        <v>2792</v>
      </c>
    </row>
    <row r="233" spans="1:8" x14ac:dyDescent="0.25">
      <c r="A233" t="s">
        <v>469</v>
      </c>
      <c r="B233" s="15" cm="1">
        <f t="array" ref="B233">_xll.GetPrice("FP-LBR-1384",,"Low",_SPECIFIEDvarPubDate,)</f>
        <v>280</v>
      </c>
      <c r="C233" s="1">
        <f t="shared" si="9"/>
        <v>45848</v>
      </c>
      <c r="D233">
        <f t="shared" si="10"/>
        <v>2025</v>
      </c>
      <c r="E233">
        <f t="shared" si="11"/>
        <v>7</v>
      </c>
      <c r="F233" s="13" t="s">
        <v>470</v>
      </c>
      <c r="G233" s="13" t="s">
        <v>11</v>
      </c>
      <c r="H233" s="13" t="s">
        <v>2792</v>
      </c>
    </row>
    <row r="234" spans="1:8" x14ac:dyDescent="0.25">
      <c r="A234" t="s">
        <v>471</v>
      </c>
      <c r="B234" s="15" cm="1">
        <f t="array" ref="B234">_xll.GetPrice("FP-LBR-1212",,"Low",_SPECIFIEDvarPubDate,)</f>
        <v>580</v>
      </c>
      <c r="C234" s="1">
        <f t="shared" si="9"/>
        <v>45848</v>
      </c>
      <c r="D234">
        <f t="shared" si="10"/>
        <v>2025</v>
      </c>
      <c r="E234">
        <f t="shared" si="11"/>
        <v>7</v>
      </c>
      <c r="F234" s="13" t="s">
        <v>358</v>
      </c>
      <c r="G234" s="13" t="s">
        <v>11</v>
      </c>
      <c r="H234" s="13" t="s">
        <v>2792</v>
      </c>
    </row>
    <row r="235" spans="1:8" x14ac:dyDescent="0.25">
      <c r="A235" t="s">
        <v>472</v>
      </c>
      <c r="B235" s="15" cm="1">
        <f t="array" ref="B235">_xll.GetPrice("FP-LBR-1875",,"Low",_SPECIFIEDvarPubDate,)</f>
        <v>607</v>
      </c>
      <c r="C235" s="1">
        <f t="shared" si="9"/>
        <v>45848</v>
      </c>
      <c r="D235">
        <f t="shared" si="10"/>
        <v>2025</v>
      </c>
      <c r="E235">
        <f t="shared" si="11"/>
        <v>7</v>
      </c>
      <c r="F235" s="13" t="s">
        <v>473</v>
      </c>
      <c r="G235" s="13" t="s">
        <v>11</v>
      </c>
      <c r="H235" s="13" t="s">
        <v>2792</v>
      </c>
    </row>
    <row r="236" spans="1:8" x14ac:dyDescent="0.25">
      <c r="A236" t="s">
        <v>474</v>
      </c>
      <c r="B236" s="15" cm="1">
        <f t="array" ref="B236">_xll.GetPrice("FP-LBR-1876",,"Low",_SPECIFIEDvarPubDate,)</f>
        <v>607</v>
      </c>
      <c r="C236" s="1">
        <f t="shared" si="9"/>
        <v>45848</v>
      </c>
      <c r="D236">
        <f t="shared" si="10"/>
        <v>2025</v>
      </c>
      <c r="E236">
        <f t="shared" si="11"/>
        <v>7</v>
      </c>
      <c r="F236" s="13" t="s">
        <v>475</v>
      </c>
      <c r="G236" s="13" t="s">
        <v>11</v>
      </c>
      <c r="H236" s="13" t="s">
        <v>2792</v>
      </c>
    </row>
    <row r="237" spans="1:8" x14ac:dyDescent="0.25">
      <c r="A237" t="s">
        <v>476</v>
      </c>
      <c r="B237" s="15" cm="1">
        <f t="array" ref="B237">_xll.GetPrice("FP-LBR-1877",,"Low",_SPECIFIEDvarPubDate,)</f>
        <v>609</v>
      </c>
      <c r="C237" s="1">
        <f t="shared" si="9"/>
        <v>45848</v>
      </c>
      <c r="D237">
        <f t="shared" si="10"/>
        <v>2025</v>
      </c>
      <c r="E237">
        <f t="shared" si="11"/>
        <v>7</v>
      </c>
      <c r="F237" s="13" t="s">
        <v>477</v>
      </c>
      <c r="G237" s="13" t="s">
        <v>11</v>
      </c>
      <c r="H237" s="13" t="s">
        <v>2792</v>
      </c>
    </row>
    <row r="238" spans="1:8" x14ac:dyDescent="0.25">
      <c r="A238" t="s">
        <v>478</v>
      </c>
      <c r="B238" s="15" cm="1">
        <f t="array" ref="B238">_xll.GetPrice("FP-LBR-1218",,"Low",_SPECIFIEDvarPubDate,)</f>
        <v>605</v>
      </c>
      <c r="C238" s="1">
        <f t="shared" si="9"/>
        <v>45848</v>
      </c>
      <c r="D238">
        <f t="shared" si="10"/>
        <v>2025</v>
      </c>
      <c r="E238">
        <f t="shared" si="11"/>
        <v>7</v>
      </c>
      <c r="F238" s="13" t="s">
        <v>388</v>
      </c>
      <c r="G238" s="13" t="s">
        <v>11</v>
      </c>
      <c r="H238" s="13" t="s">
        <v>2792</v>
      </c>
    </row>
    <row r="239" spans="1:8" x14ac:dyDescent="0.25">
      <c r="A239" t="s">
        <v>479</v>
      </c>
      <c r="B239" s="15" cm="1">
        <f t="array" ref="B239">_xll.GetPrice("FP-LBR-1218",,"Low",_SPECIFIEDvarPubDate,)</f>
        <v>605</v>
      </c>
      <c r="C239" s="1">
        <f t="shared" si="9"/>
        <v>45848</v>
      </c>
      <c r="D239">
        <f t="shared" si="10"/>
        <v>2025</v>
      </c>
      <c r="E239">
        <f t="shared" si="11"/>
        <v>7</v>
      </c>
      <c r="F239" s="13" t="s">
        <v>388</v>
      </c>
      <c r="G239" s="13" t="s">
        <v>11</v>
      </c>
      <c r="H239" s="13" t="s">
        <v>2792</v>
      </c>
    </row>
    <row r="240" spans="1:8" x14ac:dyDescent="0.25">
      <c r="A240" t="s">
        <v>480</v>
      </c>
      <c r="B240" s="15" cm="1">
        <f t="array" ref="B240">_xll.GetPrice("FP-LBR-1880",,"Low",_SPECIFIEDvarPubDate,)</f>
        <v>630</v>
      </c>
      <c r="C240" s="1">
        <f t="shared" si="9"/>
        <v>45848</v>
      </c>
      <c r="D240">
        <f t="shared" si="10"/>
        <v>2025</v>
      </c>
      <c r="E240">
        <f t="shared" si="11"/>
        <v>7</v>
      </c>
      <c r="F240" s="13" t="s">
        <v>481</v>
      </c>
      <c r="G240" s="13" t="s">
        <v>11</v>
      </c>
      <c r="H240" s="13" t="s">
        <v>2792</v>
      </c>
    </row>
    <row r="241" spans="1:8" x14ac:dyDescent="0.25">
      <c r="A241" t="s">
        <v>482</v>
      </c>
      <c r="B241" s="15" cm="1">
        <f t="array" ref="B241">_xll.GetPrice("FP-LBR-1881",,"Low",_SPECIFIEDvarPubDate,)</f>
        <v>621</v>
      </c>
      <c r="C241" s="1">
        <f t="shared" si="9"/>
        <v>45848</v>
      </c>
      <c r="D241">
        <f t="shared" si="10"/>
        <v>2025</v>
      </c>
      <c r="E241">
        <f t="shared" si="11"/>
        <v>7</v>
      </c>
      <c r="F241" s="13" t="s">
        <v>483</v>
      </c>
      <c r="G241" s="13" t="s">
        <v>11</v>
      </c>
      <c r="H241" s="13" t="s">
        <v>2792</v>
      </c>
    </row>
    <row r="242" spans="1:8" x14ac:dyDescent="0.25">
      <c r="A242" t="s">
        <v>484</v>
      </c>
      <c r="B242" s="15" cm="1">
        <f t="array" ref="B242">_xll.GetPrice("FP-LBR-0326",,"Low",_SPECIFIEDvarPubDate,)</f>
        <v>335</v>
      </c>
      <c r="C242" s="1">
        <f t="shared" si="9"/>
        <v>45848</v>
      </c>
      <c r="D242">
        <f t="shared" si="10"/>
        <v>2025</v>
      </c>
      <c r="E242">
        <f t="shared" si="11"/>
        <v>7</v>
      </c>
      <c r="F242" s="13" t="s">
        <v>485</v>
      </c>
      <c r="G242" s="13" t="s">
        <v>11</v>
      </c>
      <c r="H242" s="13" t="s">
        <v>2792</v>
      </c>
    </row>
    <row r="243" spans="1:8" x14ac:dyDescent="0.25">
      <c r="A243" t="s">
        <v>486</v>
      </c>
      <c r="B243" s="15" cm="1">
        <f t="array" ref="B243">_xll.GetPrice("FP-LBR-0333",,"Low",_SPECIFIEDvarPubDate,)</f>
        <v>300</v>
      </c>
      <c r="C243" s="1">
        <f t="shared" si="9"/>
        <v>45848</v>
      </c>
      <c r="D243">
        <f t="shared" si="10"/>
        <v>2025</v>
      </c>
      <c r="E243">
        <f t="shared" si="11"/>
        <v>7</v>
      </c>
      <c r="F243" s="13" t="s">
        <v>487</v>
      </c>
      <c r="G243" s="13" t="s">
        <v>11</v>
      </c>
      <c r="H243" s="13" t="s">
        <v>2792</v>
      </c>
    </row>
    <row r="244" spans="1:8" x14ac:dyDescent="0.25">
      <c r="A244" t="s">
        <v>488</v>
      </c>
      <c r="B244" s="15" cm="1">
        <f t="array" ref="B244">_xll.GetPrice("FP-LBR-0340",,"Low",_SPECIFIEDvarPubDate,)</f>
        <v>340</v>
      </c>
      <c r="C244" s="1">
        <f t="shared" si="9"/>
        <v>45848</v>
      </c>
      <c r="D244">
        <f t="shared" si="10"/>
        <v>2025</v>
      </c>
      <c r="E244">
        <f t="shared" si="11"/>
        <v>7</v>
      </c>
      <c r="F244" s="13" t="s">
        <v>489</v>
      </c>
      <c r="G244" s="13" t="s">
        <v>11</v>
      </c>
      <c r="H244" s="13" t="s">
        <v>2792</v>
      </c>
    </row>
    <row r="245" spans="1:8" x14ac:dyDescent="0.25">
      <c r="A245" t="s">
        <v>490</v>
      </c>
      <c r="B245" s="15" cm="1">
        <f t="array" ref="B245">_xll.GetPrice("FP-LBR-0347",,"Low",_SPECIFIEDvarPubDate,)</f>
        <v>410</v>
      </c>
      <c r="C245" s="1">
        <f t="shared" si="9"/>
        <v>45848</v>
      </c>
      <c r="D245">
        <f t="shared" si="10"/>
        <v>2025</v>
      </c>
      <c r="E245">
        <f t="shared" si="11"/>
        <v>7</v>
      </c>
      <c r="F245" s="13" t="s">
        <v>491</v>
      </c>
      <c r="G245" s="13" t="s">
        <v>11</v>
      </c>
      <c r="H245" s="13" t="s">
        <v>2792</v>
      </c>
    </row>
    <row r="246" spans="1:8" x14ac:dyDescent="0.25">
      <c r="A246" t="s">
        <v>492</v>
      </c>
      <c r="B246" s="15" cm="1">
        <f t="array" ref="B246">_xll.GetPrice("FP-LBR-0354",,"Low",_SPECIFIEDvarPubDate,)</f>
        <v>420</v>
      </c>
      <c r="C246" s="1">
        <f t="shared" si="9"/>
        <v>45848</v>
      </c>
      <c r="D246">
        <f t="shared" si="10"/>
        <v>2025</v>
      </c>
      <c r="E246">
        <f t="shared" si="11"/>
        <v>7</v>
      </c>
      <c r="F246" s="13" t="s">
        <v>493</v>
      </c>
      <c r="G246" s="13" t="s">
        <v>11</v>
      </c>
      <c r="H246" s="13" t="s">
        <v>2792</v>
      </c>
    </row>
    <row r="247" spans="1:8" x14ac:dyDescent="0.25">
      <c r="A247" t="s">
        <v>494</v>
      </c>
      <c r="B247" s="15" cm="1">
        <f t="array" ref="B247">_xll.GetPrice("FP-LBR-0361",,"Low",_SPECIFIEDvarPubDate,)</f>
        <v>300</v>
      </c>
      <c r="C247" s="1">
        <f t="shared" si="9"/>
        <v>45848</v>
      </c>
      <c r="D247">
        <f t="shared" si="10"/>
        <v>2025</v>
      </c>
      <c r="E247">
        <f t="shared" si="11"/>
        <v>7</v>
      </c>
      <c r="F247" s="13" t="s">
        <v>495</v>
      </c>
      <c r="G247" s="13" t="s">
        <v>11</v>
      </c>
      <c r="H247" s="13" t="s">
        <v>2792</v>
      </c>
    </row>
    <row r="248" spans="1:8" x14ac:dyDescent="0.25">
      <c r="A248" t="s">
        <v>496</v>
      </c>
      <c r="B248" s="15" cm="1">
        <f t="array" ref="B248">_xll.GetPrice("FP-LBR-0368",,"Low",_SPECIFIEDvarPubDate,)</f>
        <v>285</v>
      </c>
      <c r="C248" s="1">
        <f t="shared" si="9"/>
        <v>45848</v>
      </c>
      <c r="D248">
        <f t="shared" si="10"/>
        <v>2025</v>
      </c>
      <c r="E248">
        <f t="shared" si="11"/>
        <v>7</v>
      </c>
      <c r="F248" s="13" t="s">
        <v>497</v>
      </c>
      <c r="G248" s="13" t="s">
        <v>11</v>
      </c>
      <c r="H248" s="13" t="s">
        <v>2792</v>
      </c>
    </row>
    <row r="249" spans="1:8" x14ac:dyDescent="0.25">
      <c r="A249" t="s">
        <v>498</v>
      </c>
      <c r="B249" s="15" cm="1">
        <f t="array" ref="B249">_xll.GetPrice("FP-LBR-0375",,"Low",_SPECIFIEDvarPubDate,)</f>
        <v>285</v>
      </c>
      <c r="C249" s="1">
        <f t="shared" si="9"/>
        <v>45848</v>
      </c>
      <c r="D249">
        <f t="shared" si="10"/>
        <v>2025</v>
      </c>
      <c r="E249">
        <f t="shared" si="11"/>
        <v>7</v>
      </c>
      <c r="F249" s="13" t="s">
        <v>499</v>
      </c>
      <c r="G249" s="13" t="s">
        <v>11</v>
      </c>
      <c r="H249" s="13" t="s">
        <v>2792</v>
      </c>
    </row>
    <row r="250" spans="1:8" x14ac:dyDescent="0.25">
      <c r="A250" t="s">
        <v>500</v>
      </c>
      <c r="B250" s="15" cm="1">
        <f t="array" ref="B250">_xll.GetPrice("FP-LBR-0382",,"Low",_SPECIFIEDvarPubDate,)</f>
        <v>290</v>
      </c>
      <c r="C250" s="1">
        <f t="shared" si="9"/>
        <v>45848</v>
      </c>
      <c r="D250">
        <f t="shared" si="10"/>
        <v>2025</v>
      </c>
      <c r="E250">
        <f t="shared" si="11"/>
        <v>7</v>
      </c>
      <c r="F250" s="13" t="s">
        <v>501</v>
      </c>
      <c r="G250" s="13" t="s">
        <v>11</v>
      </c>
      <c r="H250" s="13" t="s">
        <v>2792</v>
      </c>
    </row>
    <row r="251" spans="1:8" x14ac:dyDescent="0.25">
      <c r="A251" t="s">
        <v>502</v>
      </c>
      <c r="B251" s="15" cm="1">
        <f t="array" ref="B251">_xll.GetPrice("FP-LBR-0389",,"Low",_SPECIFIEDvarPubDate,)</f>
        <v>310</v>
      </c>
      <c r="C251" s="1">
        <f t="shared" si="9"/>
        <v>45848</v>
      </c>
      <c r="D251">
        <f t="shared" si="10"/>
        <v>2025</v>
      </c>
      <c r="E251">
        <f t="shared" si="11"/>
        <v>7</v>
      </c>
      <c r="F251" s="13" t="s">
        <v>503</v>
      </c>
      <c r="G251" s="13" t="s">
        <v>11</v>
      </c>
      <c r="H251" s="13" t="s">
        <v>2792</v>
      </c>
    </row>
    <row r="252" spans="1:8" x14ac:dyDescent="0.25">
      <c r="A252" t="s">
        <v>504</v>
      </c>
      <c r="B252" s="15" cm="1">
        <f t="array" ref="B252">_xll.GetPrice("FP-LBR-0395",,"Low",_SPECIFIEDvarPubDate,)</f>
        <v>745</v>
      </c>
      <c r="C252" s="1">
        <f t="shared" si="9"/>
        <v>45848</v>
      </c>
      <c r="D252">
        <f t="shared" si="10"/>
        <v>2025</v>
      </c>
      <c r="E252">
        <f t="shared" si="11"/>
        <v>7</v>
      </c>
      <c r="F252" s="13" t="s">
        <v>505</v>
      </c>
      <c r="G252" s="13" t="s">
        <v>11</v>
      </c>
      <c r="H252" s="13" t="s">
        <v>2792</v>
      </c>
    </row>
    <row r="253" spans="1:8" x14ac:dyDescent="0.25">
      <c r="A253" t="s">
        <v>506</v>
      </c>
      <c r="B253" s="15" cm="1">
        <f t="array" ref="B253">_xll.GetPrice("FP-LBR-0399",,"Low",_SPECIFIEDvarPubDate,)</f>
        <v>365</v>
      </c>
      <c r="C253" s="1">
        <f t="shared" si="9"/>
        <v>45848</v>
      </c>
      <c r="D253">
        <f t="shared" si="10"/>
        <v>2025</v>
      </c>
      <c r="E253">
        <f t="shared" si="11"/>
        <v>7</v>
      </c>
      <c r="F253" s="13" t="s">
        <v>507</v>
      </c>
      <c r="G253" s="13" t="s">
        <v>11</v>
      </c>
      <c r="H253" s="13" t="s">
        <v>2792</v>
      </c>
    </row>
    <row r="254" spans="1:8" x14ac:dyDescent="0.25">
      <c r="A254" t="s">
        <v>508</v>
      </c>
      <c r="B254" s="15" cm="1">
        <f t="array" ref="B254">_xll.GetPrice("FP-LBR-2052",,"Low",_SPECIFIEDvarPubDate,)</f>
        <v>390</v>
      </c>
      <c r="C254" s="1">
        <f t="shared" si="9"/>
        <v>45848</v>
      </c>
      <c r="D254">
        <f t="shared" si="10"/>
        <v>2025</v>
      </c>
      <c r="E254">
        <f t="shared" si="11"/>
        <v>7</v>
      </c>
      <c r="F254" s="13" t="s">
        <v>509</v>
      </c>
      <c r="G254" s="13" t="s">
        <v>11</v>
      </c>
      <c r="H254" s="13" t="s">
        <v>2792</v>
      </c>
    </row>
    <row r="255" spans="1:8" x14ac:dyDescent="0.25">
      <c r="A255" t="s">
        <v>510</v>
      </c>
      <c r="B255" s="15" cm="1">
        <f t="array" ref="B255">_xll.GetPrice("FP-LBR-2059",,"Low",_SPECIFIEDvarPubDate,)</f>
        <v>345</v>
      </c>
      <c r="C255" s="1">
        <f t="shared" si="9"/>
        <v>45848</v>
      </c>
      <c r="D255">
        <f t="shared" si="10"/>
        <v>2025</v>
      </c>
      <c r="E255">
        <f t="shared" si="11"/>
        <v>7</v>
      </c>
      <c r="F255" s="13" t="s">
        <v>511</v>
      </c>
      <c r="G255" s="13" t="s">
        <v>11</v>
      </c>
      <c r="H255" s="13" t="s">
        <v>2792</v>
      </c>
    </row>
    <row r="256" spans="1:8" x14ac:dyDescent="0.25">
      <c r="A256" t="s">
        <v>512</v>
      </c>
      <c r="B256" s="15" cm="1">
        <f t="array" ref="B256">_xll.GetPrice("FP-LBR-2017",,"Low",_SPECIFIEDvarPubDate,)</f>
        <v>340</v>
      </c>
      <c r="C256" s="1">
        <f t="shared" si="9"/>
        <v>45848</v>
      </c>
      <c r="D256">
        <f t="shared" si="10"/>
        <v>2025</v>
      </c>
      <c r="E256">
        <f t="shared" si="11"/>
        <v>7</v>
      </c>
      <c r="F256" s="13" t="s">
        <v>513</v>
      </c>
      <c r="G256" s="13" t="s">
        <v>11</v>
      </c>
      <c r="H256" s="13" t="s">
        <v>2792</v>
      </c>
    </row>
    <row r="257" spans="1:8" x14ac:dyDescent="0.25">
      <c r="A257" t="s">
        <v>514</v>
      </c>
      <c r="B257" s="15" cm="1">
        <f t="array" ref="B257">_xll.GetPrice("FP-LBR-2024",,"Low",_SPECIFIEDvarPubDate,)</f>
        <v>310</v>
      </c>
      <c r="C257" s="1">
        <f t="shared" si="9"/>
        <v>45848</v>
      </c>
      <c r="D257">
        <f t="shared" si="10"/>
        <v>2025</v>
      </c>
      <c r="E257">
        <f t="shared" si="11"/>
        <v>7</v>
      </c>
      <c r="F257" s="13" t="s">
        <v>515</v>
      </c>
      <c r="G257" s="13" t="s">
        <v>11</v>
      </c>
      <c r="H257" s="13" t="s">
        <v>2792</v>
      </c>
    </row>
    <row r="258" spans="1:8" x14ac:dyDescent="0.25">
      <c r="A258" t="s">
        <v>516</v>
      </c>
      <c r="B258" s="15" cm="1">
        <f t="array" ref="B258">_xll.GetPrice("FP-LBR-2031",,"Low",_SPECIFIEDvarPubDate,)</f>
        <v>305</v>
      </c>
      <c r="C258" s="1">
        <f t="shared" ref="C258:C321" si="12">_SPECIFIEDvarPubDate</f>
        <v>45848</v>
      </c>
      <c r="D258">
        <f t="shared" ref="D258:D321" si="13">_SPECIFIEDvarYear</f>
        <v>2025</v>
      </c>
      <c r="E258">
        <f t="shared" ref="E258:E321" si="14">_SPECIFIEDvarMonth</f>
        <v>7</v>
      </c>
      <c r="F258" s="13" t="s">
        <v>517</v>
      </c>
      <c r="G258" s="13" t="s">
        <v>11</v>
      </c>
      <c r="H258" s="13" t="s">
        <v>2792</v>
      </c>
    </row>
    <row r="259" spans="1:8" x14ac:dyDescent="0.25">
      <c r="A259" t="s">
        <v>518</v>
      </c>
      <c r="B259" s="15" cm="1">
        <f t="array" ref="B259">_xll.GetPrice("FP-LBR-2038",,"Low",_SPECIFIEDvarPubDate,)</f>
        <v>325</v>
      </c>
      <c r="C259" s="1">
        <f t="shared" si="12"/>
        <v>45848</v>
      </c>
      <c r="D259">
        <f t="shared" si="13"/>
        <v>2025</v>
      </c>
      <c r="E259">
        <f t="shared" si="14"/>
        <v>7</v>
      </c>
      <c r="F259" s="13" t="s">
        <v>519</v>
      </c>
      <c r="G259" s="13" t="s">
        <v>11</v>
      </c>
      <c r="H259" s="13" t="s">
        <v>2792</v>
      </c>
    </row>
    <row r="260" spans="1:8" x14ac:dyDescent="0.25">
      <c r="A260" t="s">
        <v>520</v>
      </c>
      <c r="B260" s="15" cm="1">
        <f t="array" ref="B260">_xll.GetPrice("FP-LBR-2045",,"Low",_SPECIFIEDvarPubDate,)</f>
        <v>310</v>
      </c>
      <c r="C260" s="1">
        <f t="shared" si="12"/>
        <v>45848</v>
      </c>
      <c r="D260">
        <f t="shared" si="13"/>
        <v>2025</v>
      </c>
      <c r="E260">
        <f t="shared" si="14"/>
        <v>7</v>
      </c>
      <c r="F260" s="13" t="s">
        <v>521</v>
      </c>
      <c r="G260" s="13" t="s">
        <v>11</v>
      </c>
      <c r="H260" s="13" t="s">
        <v>2792</v>
      </c>
    </row>
    <row r="261" spans="1:8" x14ac:dyDescent="0.25">
      <c r="A261" t="s">
        <v>522</v>
      </c>
      <c r="B261" s="15" cm="1">
        <f t="array" ref="B261">_xll.GetPrice("FP-LBR-1275",,"Low",_SPECIFIEDvarPubDate,)</f>
        <v>495</v>
      </c>
      <c r="C261" s="1">
        <f t="shared" si="12"/>
        <v>45848</v>
      </c>
      <c r="D261">
        <f t="shared" si="13"/>
        <v>2025</v>
      </c>
      <c r="E261">
        <f t="shared" si="14"/>
        <v>7</v>
      </c>
      <c r="F261" s="13" t="s">
        <v>523</v>
      </c>
      <c r="G261" s="13" t="s">
        <v>11</v>
      </c>
      <c r="H261" s="13" t="s">
        <v>2792</v>
      </c>
    </row>
    <row r="262" spans="1:8" x14ac:dyDescent="0.25">
      <c r="A262" t="s">
        <v>524</v>
      </c>
      <c r="B262" s="15" cm="1">
        <f t="array" ref="B262">_xll.GetPrice("FP-LBR-1280",,"Low",_SPECIFIEDvarPubDate,)</f>
        <v>530</v>
      </c>
      <c r="C262" s="1">
        <f t="shared" si="12"/>
        <v>45848</v>
      </c>
      <c r="D262">
        <f t="shared" si="13"/>
        <v>2025</v>
      </c>
      <c r="E262">
        <f t="shared" si="14"/>
        <v>7</v>
      </c>
      <c r="F262" s="13" t="s">
        <v>525</v>
      </c>
      <c r="G262" s="13" t="s">
        <v>11</v>
      </c>
      <c r="H262" s="13" t="s">
        <v>2792</v>
      </c>
    </row>
    <row r="263" spans="1:8" x14ac:dyDescent="0.25">
      <c r="A263" t="s">
        <v>526</v>
      </c>
      <c r="B263" s="15" cm="1">
        <f t="array" ref="B263">_xll.GetPrice("FP-LBR-1285",,"Low",_SPECIFIEDvarPubDate,)</f>
        <v>520</v>
      </c>
      <c r="C263" s="1">
        <f t="shared" si="12"/>
        <v>45848</v>
      </c>
      <c r="D263">
        <f t="shared" si="13"/>
        <v>2025</v>
      </c>
      <c r="E263">
        <f t="shared" si="14"/>
        <v>7</v>
      </c>
      <c r="F263" s="13" t="s">
        <v>527</v>
      </c>
      <c r="G263" s="13" t="s">
        <v>11</v>
      </c>
      <c r="H263" s="13" t="s">
        <v>2792</v>
      </c>
    </row>
    <row r="264" spans="1:8" x14ac:dyDescent="0.25">
      <c r="A264" t="s">
        <v>528</v>
      </c>
      <c r="B264" s="15" cm="1">
        <f t="array" ref="B264">_xll.GetPrice("FP-LBR-1290",,"Low",_SPECIFIEDvarPubDate,)</f>
        <v>535</v>
      </c>
      <c r="C264" s="1">
        <f t="shared" si="12"/>
        <v>45848</v>
      </c>
      <c r="D264">
        <f t="shared" si="13"/>
        <v>2025</v>
      </c>
      <c r="E264">
        <f t="shared" si="14"/>
        <v>7</v>
      </c>
      <c r="F264" s="13" t="s">
        <v>529</v>
      </c>
      <c r="G264" s="13" t="s">
        <v>11</v>
      </c>
      <c r="H264" s="13" t="s">
        <v>2792</v>
      </c>
    </row>
    <row r="265" spans="1:8" x14ac:dyDescent="0.25">
      <c r="A265" t="s">
        <v>530</v>
      </c>
      <c r="B265" s="15" cm="1">
        <f t="array" ref="B265">_xll.GetPrice("FP-LBR-1339",,"Low",_SPECIFIEDvarPubDate,)</f>
        <v>405</v>
      </c>
      <c r="C265" s="1">
        <f t="shared" si="12"/>
        <v>45848</v>
      </c>
      <c r="D265">
        <f t="shared" si="13"/>
        <v>2025</v>
      </c>
      <c r="E265">
        <f t="shared" si="14"/>
        <v>7</v>
      </c>
      <c r="F265" s="13" t="s">
        <v>531</v>
      </c>
      <c r="G265" s="13" t="s">
        <v>11</v>
      </c>
      <c r="H265" s="13" t="s">
        <v>2792</v>
      </c>
    </row>
    <row r="266" spans="1:8" x14ac:dyDescent="0.25">
      <c r="A266" t="s">
        <v>532</v>
      </c>
      <c r="B266" s="15" cm="1">
        <f t="array" ref="B266">_xll.GetPrice("FP-LBR-1346",,"Low",_SPECIFIEDvarPubDate,)</f>
        <v>370</v>
      </c>
      <c r="C266" s="1">
        <f t="shared" si="12"/>
        <v>45848</v>
      </c>
      <c r="D266">
        <f t="shared" si="13"/>
        <v>2025</v>
      </c>
      <c r="E266">
        <f t="shared" si="14"/>
        <v>7</v>
      </c>
      <c r="F266" s="13" t="s">
        <v>533</v>
      </c>
      <c r="G266" s="13" t="s">
        <v>11</v>
      </c>
      <c r="H266" s="13" t="s">
        <v>2792</v>
      </c>
    </row>
    <row r="267" spans="1:8" x14ac:dyDescent="0.25">
      <c r="A267" t="s">
        <v>534</v>
      </c>
      <c r="B267" s="15" cm="1">
        <f t="array" ref="B267">_xll.GetPrice("FP-LBR-1359",,"Low",_SPECIFIEDvarPubDate,)</f>
        <v>330</v>
      </c>
      <c r="C267" s="1">
        <f t="shared" si="12"/>
        <v>45848</v>
      </c>
      <c r="D267">
        <f t="shared" si="13"/>
        <v>2025</v>
      </c>
      <c r="E267">
        <f t="shared" si="14"/>
        <v>7</v>
      </c>
      <c r="F267" s="13" t="s">
        <v>535</v>
      </c>
      <c r="G267" s="13" t="s">
        <v>11</v>
      </c>
      <c r="H267" s="13" t="s">
        <v>2792</v>
      </c>
    </row>
    <row r="268" spans="1:8" x14ac:dyDescent="0.25">
      <c r="A268" t="s">
        <v>536</v>
      </c>
      <c r="B268" s="15" cm="1">
        <f t="array" ref="B268">_xll.GetPrice("FP-LBR-1372",,"Low",_SPECIFIEDvarPubDate,)</f>
        <v>400</v>
      </c>
      <c r="C268" s="1">
        <f t="shared" si="12"/>
        <v>45848</v>
      </c>
      <c r="D268">
        <f t="shared" si="13"/>
        <v>2025</v>
      </c>
      <c r="E268">
        <f t="shared" si="14"/>
        <v>7</v>
      </c>
      <c r="F268" s="13" t="s">
        <v>537</v>
      </c>
      <c r="G268" s="13" t="s">
        <v>11</v>
      </c>
      <c r="H268" s="13" t="s">
        <v>2792</v>
      </c>
    </row>
    <row r="269" spans="1:8" x14ac:dyDescent="0.25">
      <c r="A269" t="s">
        <v>538</v>
      </c>
      <c r="B269" s="15" cm="1">
        <f t="array" ref="B269">_xll.GetPrice("FP-LBR-1385",,"Low",_SPECIFIEDvarPubDate,)</f>
        <v>460</v>
      </c>
      <c r="C269" s="1">
        <f t="shared" si="12"/>
        <v>45848</v>
      </c>
      <c r="D269">
        <f t="shared" si="13"/>
        <v>2025</v>
      </c>
      <c r="E269">
        <f t="shared" si="14"/>
        <v>7</v>
      </c>
      <c r="F269" s="13" t="s">
        <v>539</v>
      </c>
      <c r="G269" s="13" t="s">
        <v>11</v>
      </c>
      <c r="H269" s="13" t="s">
        <v>2792</v>
      </c>
    </row>
    <row r="270" spans="1:8" x14ac:dyDescent="0.25">
      <c r="A270" t="s">
        <v>540</v>
      </c>
      <c r="B270" s="15" cm="1">
        <f t="array" ref="B270">_xll.GetPrice("FP-LBR-1244",,"Low",_SPECIFIEDvarPubDate,)</f>
        <v>510</v>
      </c>
      <c r="C270" s="1">
        <f t="shared" si="12"/>
        <v>45848</v>
      </c>
      <c r="D270">
        <f t="shared" si="13"/>
        <v>2025</v>
      </c>
      <c r="E270">
        <f t="shared" si="14"/>
        <v>7</v>
      </c>
      <c r="F270" s="13" t="s">
        <v>370</v>
      </c>
      <c r="G270" s="13" t="s">
        <v>11</v>
      </c>
      <c r="H270" s="13" t="s">
        <v>2792</v>
      </c>
    </row>
    <row r="271" spans="1:8" x14ac:dyDescent="0.25">
      <c r="A271" t="s">
        <v>541</v>
      </c>
      <c r="B271" s="15" cm="1">
        <f t="array" ref="B271">_xll.GetPrice("FP-LBR-1968",,"Low",_SPECIFIEDvarPubDate,)</f>
        <v>537</v>
      </c>
      <c r="C271" s="1">
        <f t="shared" si="12"/>
        <v>45848</v>
      </c>
      <c r="D271">
        <f t="shared" si="13"/>
        <v>2025</v>
      </c>
      <c r="E271">
        <f t="shared" si="14"/>
        <v>7</v>
      </c>
      <c r="F271" s="13" t="s">
        <v>542</v>
      </c>
      <c r="G271" s="13" t="s">
        <v>11</v>
      </c>
      <c r="H271" s="13" t="s">
        <v>2792</v>
      </c>
    </row>
    <row r="272" spans="1:8" x14ac:dyDescent="0.25">
      <c r="A272" t="s">
        <v>543</v>
      </c>
      <c r="B272" s="15" cm="1">
        <f t="array" ref="B272">_xll.GetPrice("FP-LBR-1969",,"Low",_SPECIFIEDvarPubDate,)</f>
        <v>537</v>
      </c>
      <c r="C272" s="1">
        <f t="shared" si="12"/>
        <v>45848</v>
      </c>
      <c r="D272">
        <f t="shared" si="13"/>
        <v>2025</v>
      </c>
      <c r="E272">
        <f t="shared" si="14"/>
        <v>7</v>
      </c>
      <c r="F272" s="13" t="s">
        <v>544</v>
      </c>
      <c r="G272" s="13" t="s">
        <v>11</v>
      </c>
      <c r="H272" s="13" t="s">
        <v>2792</v>
      </c>
    </row>
    <row r="273" spans="1:8" x14ac:dyDescent="0.25">
      <c r="A273" t="s">
        <v>545</v>
      </c>
      <c r="B273" s="15" cm="1">
        <f t="array" ref="B273">_xll.GetPrice("FP-LBR-1970",,"Low",_SPECIFIEDvarPubDate,)</f>
        <v>539</v>
      </c>
      <c r="C273" s="1">
        <f t="shared" si="12"/>
        <v>45848</v>
      </c>
      <c r="D273">
        <f t="shared" si="13"/>
        <v>2025</v>
      </c>
      <c r="E273">
        <f t="shared" si="14"/>
        <v>7</v>
      </c>
      <c r="F273" s="13" t="s">
        <v>546</v>
      </c>
      <c r="G273" s="13" t="s">
        <v>11</v>
      </c>
      <c r="H273" s="13" t="s">
        <v>2792</v>
      </c>
    </row>
    <row r="274" spans="1:8" x14ac:dyDescent="0.25">
      <c r="A274" t="s">
        <v>547</v>
      </c>
      <c r="B274" s="15" cm="1">
        <f t="array" ref="B274">_xll.GetPrice("FP-LBR-1254",,"Low",_SPECIFIEDvarPubDate,)</f>
        <v>515</v>
      </c>
      <c r="C274" s="1">
        <f t="shared" si="12"/>
        <v>45848</v>
      </c>
      <c r="D274">
        <f t="shared" si="13"/>
        <v>2025</v>
      </c>
      <c r="E274">
        <f t="shared" si="14"/>
        <v>7</v>
      </c>
      <c r="F274" s="13" t="s">
        <v>398</v>
      </c>
      <c r="G274" s="13" t="s">
        <v>11</v>
      </c>
      <c r="H274" s="13" t="s">
        <v>2792</v>
      </c>
    </row>
    <row r="275" spans="1:8" x14ac:dyDescent="0.25">
      <c r="A275" t="s">
        <v>548</v>
      </c>
      <c r="B275" s="15" cm="1">
        <f t="array" ref="B275">_xll.GetPrice("FP-LBR-1254",,"Low",_SPECIFIEDvarPubDate,)</f>
        <v>515</v>
      </c>
      <c r="C275" s="1">
        <f t="shared" si="12"/>
        <v>45848</v>
      </c>
      <c r="D275">
        <f t="shared" si="13"/>
        <v>2025</v>
      </c>
      <c r="E275">
        <f t="shared" si="14"/>
        <v>7</v>
      </c>
      <c r="F275" s="13" t="s">
        <v>398</v>
      </c>
      <c r="G275" s="13" t="s">
        <v>11</v>
      </c>
      <c r="H275" s="13" t="s">
        <v>2792</v>
      </c>
    </row>
    <row r="276" spans="1:8" x14ac:dyDescent="0.25">
      <c r="A276" t="s">
        <v>549</v>
      </c>
      <c r="B276" s="15" cm="1">
        <f t="array" ref="B276">_xll.GetPrice("FP-LBR-1973",,"Low",_SPECIFIEDvarPubDate,)</f>
        <v>540</v>
      </c>
      <c r="C276" s="1">
        <f t="shared" si="12"/>
        <v>45848</v>
      </c>
      <c r="D276">
        <f t="shared" si="13"/>
        <v>2025</v>
      </c>
      <c r="E276">
        <f t="shared" si="14"/>
        <v>7</v>
      </c>
      <c r="F276" s="13" t="s">
        <v>550</v>
      </c>
      <c r="G276" s="13" t="s">
        <v>11</v>
      </c>
      <c r="H276" s="13" t="s">
        <v>2792</v>
      </c>
    </row>
    <row r="277" spans="1:8" x14ac:dyDescent="0.25">
      <c r="A277" t="s">
        <v>551</v>
      </c>
      <c r="B277" s="15" cm="1">
        <f t="array" ref="B277">_xll.GetPrice("FP-LBR-1974",,"Low",_SPECIFIEDvarPubDate,)</f>
        <v>531</v>
      </c>
      <c r="C277" s="1">
        <f t="shared" si="12"/>
        <v>45848</v>
      </c>
      <c r="D277">
        <f t="shared" si="13"/>
        <v>2025</v>
      </c>
      <c r="E277">
        <f t="shared" si="14"/>
        <v>7</v>
      </c>
      <c r="F277" s="13" t="s">
        <v>552</v>
      </c>
      <c r="G277" s="13" t="s">
        <v>11</v>
      </c>
      <c r="H277" s="13" t="s">
        <v>2792</v>
      </c>
    </row>
    <row r="278" spans="1:8" x14ac:dyDescent="0.25">
      <c r="A278" t="s">
        <v>553</v>
      </c>
      <c r="B278" s="15" cm="1">
        <f t="array" ref="B278">_xll.GetPrice("FP-LBR-0327",,"Low",_SPECIFIEDvarPubDate,)</f>
        <v>345</v>
      </c>
      <c r="C278" s="1">
        <f t="shared" si="12"/>
        <v>45848</v>
      </c>
      <c r="D278">
        <f t="shared" si="13"/>
        <v>2025</v>
      </c>
      <c r="E278">
        <f t="shared" si="14"/>
        <v>7</v>
      </c>
      <c r="F278" s="13" t="s">
        <v>554</v>
      </c>
      <c r="G278" s="13" t="s">
        <v>11</v>
      </c>
      <c r="H278" s="13" t="s">
        <v>2792</v>
      </c>
    </row>
    <row r="279" spans="1:8" x14ac:dyDescent="0.25">
      <c r="A279" t="s">
        <v>555</v>
      </c>
      <c r="B279" s="15" cm="1">
        <f t="array" ref="B279">_xll.GetPrice("FP-LBR-0334",,"Low",_SPECIFIEDvarPubDate,)</f>
        <v>345</v>
      </c>
      <c r="C279" s="1">
        <f t="shared" si="12"/>
        <v>45848</v>
      </c>
      <c r="D279">
        <f t="shared" si="13"/>
        <v>2025</v>
      </c>
      <c r="E279">
        <f t="shared" si="14"/>
        <v>7</v>
      </c>
      <c r="F279" s="13" t="s">
        <v>556</v>
      </c>
      <c r="G279" s="13" t="s">
        <v>11</v>
      </c>
      <c r="H279" s="13" t="s">
        <v>2792</v>
      </c>
    </row>
    <row r="280" spans="1:8" x14ac:dyDescent="0.25">
      <c r="A280" t="s">
        <v>557</v>
      </c>
      <c r="B280" s="15" cm="1">
        <f t="array" ref="B280">_xll.GetPrice("FP-LBR-0341",,"Low",_SPECIFIEDvarPubDate,)</f>
        <v>350</v>
      </c>
      <c r="C280" s="1">
        <f t="shared" si="12"/>
        <v>45848</v>
      </c>
      <c r="D280">
        <f t="shared" si="13"/>
        <v>2025</v>
      </c>
      <c r="E280">
        <f t="shared" si="14"/>
        <v>7</v>
      </c>
      <c r="F280" s="13" t="s">
        <v>558</v>
      </c>
      <c r="G280" s="13" t="s">
        <v>11</v>
      </c>
      <c r="H280" s="13" t="s">
        <v>2792</v>
      </c>
    </row>
    <row r="281" spans="1:8" x14ac:dyDescent="0.25">
      <c r="A281" t="s">
        <v>559</v>
      </c>
      <c r="B281" s="15" cm="1">
        <f t="array" ref="B281">_xll.GetPrice("FP-LBR-0348",,"Low",_SPECIFIEDvarPubDate,)</f>
        <v>410</v>
      </c>
      <c r="C281" s="1">
        <f t="shared" si="12"/>
        <v>45848</v>
      </c>
      <c r="D281">
        <f t="shared" si="13"/>
        <v>2025</v>
      </c>
      <c r="E281">
        <f t="shared" si="14"/>
        <v>7</v>
      </c>
      <c r="F281" s="13" t="s">
        <v>560</v>
      </c>
      <c r="G281" s="13" t="s">
        <v>11</v>
      </c>
      <c r="H281" s="13" t="s">
        <v>2792</v>
      </c>
    </row>
    <row r="282" spans="1:8" x14ac:dyDescent="0.25">
      <c r="A282" t="s">
        <v>561</v>
      </c>
      <c r="B282" s="15" cm="1">
        <f t="array" ref="B282">_xll.GetPrice("FP-LBR-0355",,"Low",_SPECIFIEDvarPubDate,)</f>
        <v>335</v>
      </c>
      <c r="C282" s="1">
        <f t="shared" si="12"/>
        <v>45848</v>
      </c>
      <c r="D282">
        <f t="shared" si="13"/>
        <v>2025</v>
      </c>
      <c r="E282">
        <f t="shared" si="14"/>
        <v>7</v>
      </c>
      <c r="F282" s="13" t="s">
        <v>562</v>
      </c>
      <c r="G282" s="13" t="s">
        <v>11</v>
      </c>
      <c r="H282" s="13" t="s">
        <v>2792</v>
      </c>
    </row>
    <row r="283" spans="1:8" x14ac:dyDescent="0.25">
      <c r="A283" t="s">
        <v>563</v>
      </c>
      <c r="B283" s="15" cm="1">
        <f t="array" ref="B283">_xll.GetPrice("FP-LBR-0362",,"Low",_SPECIFIEDvarPubDate,)</f>
        <v>300</v>
      </c>
      <c r="C283" s="1">
        <f t="shared" si="12"/>
        <v>45848</v>
      </c>
      <c r="D283">
        <f t="shared" si="13"/>
        <v>2025</v>
      </c>
      <c r="E283">
        <f t="shared" si="14"/>
        <v>7</v>
      </c>
      <c r="F283" s="13" t="s">
        <v>564</v>
      </c>
      <c r="G283" s="13" t="s">
        <v>11</v>
      </c>
      <c r="H283" s="13" t="s">
        <v>2792</v>
      </c>
    </row>
    <row r="284" spans="1:8" x14ac:dyDescent="0.25">
      <c r="A284" t="s">
        <v>565</v>
      </c>
      <c r="B284" s="15" cm="1">
        <f t="array" ref="B284">_xll.GetPrice("FP-LBR-0369",,"Low",_SPECIFIEDvarPubDate,)</f>
        <v>315</v>
      </c>
      <c r="C284" s="1">
        <f t="shared" si="12"/>
        <v>45848</v>
      </c>
      <c r="D284">
        <f t="shared" si="13"/>
        <v>2025</v>
      </c>
      <c r="E284">
        <f t="shared" si="14"/>
        <v>7</v>
      </c>
      <c r="F284" s="13" t="s">
        <v>566</v>
      </c>
      <c r="G284" s="13" t="s">
        <v>11</v>
      </c>
      <c r="H284" s="13" t="s">
        <v>2792</v>
      </c>
    </row>
    <row r="285" spans="1:8" x14ac:dyDescent="0.25">
      <c r="A285" t="s">
        <v>567</v>
      </c>
      <c r="B285" s="15" cm="1">
        <f t="array" ref="B285">_xll.GetPrice("FP-LBR-0376",,"Low",_SPECIFIEDvarPubDate,)</f>
        <v>305</v>
      </c>
      <c r="C285" s="1">
        <f t="shared" si="12"/>
        <v>45848</v>
      </c>
      <c r="D285">
        <f t="shared" si="13"/>
        <v>2025</v>
      </c>
      <c r="E285">
        <f t="shared" si="14"/>
        <v>7</v>
      </c>
      <c r="F285" s="13" t="s">
        <v>568</v>
      </c>
      <c r="G285" s="13" t="s">
        <v>11</v>
      </c>
      <c r="H285" s="13" t="s">
        <v>2792</v>
      </c>
    </row>
    <row r="286" spans="1:8" x14ac:dyDescent="0.25">
      <c r="A286" t="s">
        <v>569</v>
      </c>
      <c r="B286" s="15" cm="1">
        <f t="array" ref="B286">_xll.GetPrice("FP-LBR-0383",,"Low",_SPECIFIEDvarPubDate,)</f>
        <v>290</v>
      </c>
      <c r="C286" s="1">
        <f t="shared" si="12"/>
        <v>45848</v>
      </c>
      <c r="D286">
        <f t="shared" si="13"/>
        <v>2025</v>
      </c>
      <c r="E286">
        <f t="shared" si="14"/>
        <v>7</v>
      </c>
      <c r="F286" s="13" t="s">
        <v>570</v>
      </c>
      <c r="G286" s="13" t="s">
        <v>11</v>
      </c>
      <c r="H286" s="13" t="s">
        <v>2792</v>
      </c>
    </row>
    <row r="287" spans="1:8" x14ac:dyDescent="0.25">
      <c r="A287" t="s">
        <v>571</v>
      </c>
      <c r="B287" s="15" cm="1">
        <f t="array" ref="B287">_xll.GetPrice("FP-LBR-0390",,"Low",_SPECIFIEDvarPubDate,)</f>
        <v>295</v>
      </c>
      <c r="C287" s="1">
        <f t="shared" si="12"/>
        <v>45848</v>
      </c>
      <c r="D287">
        <f t="shared" si="13"/>
        <v>2025</v>
      </c>
      <c r="E287">
        <f t="shared" si="14"/>
        <v>7</v>
      </c>
      <c r="F287" s="13" t="s">
        <v>572</v>
      </c>
      <c r="G287" s="13" t="s">
        <v>11</v>
      </c>
      <c r="H287" s="13" t="s">
        <v>2792</v>
      </c>
    </row>
    <row r="288" spans="1:8" x14ac:dyDescent="0.25">
      <c r="A288" t="s">
        <v>573</v>
      </c>
      <c r="B288" s="15" cm="1">
        <f t="array" ref="B288">_xll.GetPrice("FP-LBR-0396",,"Low",_SPECIFIEDvarPubDate,)</f>
        <v>735</v>
      </c>
      <c r="C288" s="1">
        <f t="shared" si="12"/>
        <v>45848</v>
      </c>
      <c r="D288">
        <f t="shared" si="13"/>
        <v>2025</v>
      </c>
      <c r="E288">
        <f t="shared" si="14"/>
        <v>7</v>
      </c>
      <c r="F288" s="13" t="s">
        <v>574</v>
      </c>
      <c r="G288" s="13" t="s">
        <v>11</v>
      </c>
      <c r="H288" s="13" t="s">
        <v>2792</v>
      </c>
    </row>
    <row r="289" spans="1:8" x14ac:dyDescent="0.25">
      <c r="A289" t="s">
        <v>575</v>
      </c>
      <c r="B289" s="15" cm="1">
        <f t="array" ref="B289">_xll.GetPrice("FP-LBR-0400",,"Low",_SPECIFIEDvarPubDate,)</f>
        <v>590</v>
      </c>
      <c r="C289" s="1">
        <f t="shared" si="12"/>
        <v>45848</v>
      </c>
      <c r="D289">
        <f t="shared" si="13"/>
        <v>2025</v>
      </c>
      <c r="E289">
        <f t="shared" si="14"/>
        <v>7</v>
      </c>
      <c r="F289" s="13" t="s">
        <v>576</v>
      </c>
      <c r="G289" s="13" t="s">
        <v>11</v>
      </c>
      <c r="H289" s="13" t="s">
        <v>2792</v>
      </c>
    </row>
    <row r="290" spans="1:8" x14ac:dyDescent="0.25">
      <c r="A290" t="s">
        <v>577</v>
      </c>
      <c r="B290" s="15" cm="1">
        <f t="array" ref="B290">_xll.GetPrice("FP-LBR-2053",,"Low",_SPECIFIEDvarPubDate,)</f>
        <v>380</v>
      </c>
      <c r="C290" s="1">
        <f t="shared" si="12"/>
        <v>45848</v>
      </c>
      <c r="D290">
        <f t="shared" si="13"/>
        <v>2025</v>
      </c>
      <c r="E290">
        <f t="shared" si="14"/>
        <v>7</v>
      </c>
      <c r="F290" s="13" t="s">
        <v>578</v>
      </c>
      <c r="G290" s="13" t="s">
        <v>11</v>
      </c>
      <c r="H290" s="13" t="s">
        <v>2792</v>
      </c>
    </row>
    <row r="291" spans="1:8" x14ac:dyDescent="0.25">
      <c r="A291" t="s">
        <v>579</v>
      </c>
      <c r="B291" s="15" cm="1">
        <f t="array" ref="B291">_xll.GetPrice("FP-LBR-2060",,"Low",_SPECIFIEDvarPubDate,)</f>
        <v>380</v>
      </c>
      <c r="C291" s="1">
        <f t="shared" si="12"/>
        <v>45848</v>
      </c>
      <c r="D291">
        <f t="shared" si="13"/>
        <v>2025</v>
      </c>
      <c r="E291">
        <f t="shared" si="14"/>
        <v>7</v>
      </c>
      <c r="F291" s="13" t="s">
        <v>580</v>
      </c>
      <c r="G291" s="13" t="s">
        <v>11</v>
      </c>
      <c r="H291" s="13" t="s">
        <v>2792</v>
      </c>
    </row>
    <row r="292" spans="1:8" x14ac:dyDescent="0.25">
      <c r="A292" t="s">
        <v>581</v>
      </c>
      <c r="B292" s="15" cm="1">
        <f t="array" ref="B292">_xll.GetPrice("FP-LBR-2018",,"Low",_SPECIFIEDvarPubDate,)</f>
        <v>345</v>
      </c>
      <c r="C292" s="1">
        <f t="shared" si="12"/>
        <v>45848</v>
      </c>
      <c r="D292">
        <f t="shared" si="13"/>
        <v>2025</v>
      </c>
      <c r="E292">
        <f t="shared" si="14"/>
        <v>7</v>
      </c>
      <c r="F292" s="13" t="s">
        <v>582</v>
      </c>
      <c r="G292" s="13" t="s">
        <v>11</v>
      </c>
      <c r="H292" s="13" t="s">
        <v>2792</v>
      </c>
    </row>
    <row r="293" spans="1:8" x14ac:dyDescent="0.25">
      <c r="A293" t="s">
        <v>583</v>
      </c>
      <c r="B293" s="15" cm="1">
        <f t="array" ref="B293">_xll.GetPrice("FP-LBR-2025",,"Low",_SPECIFIEDvarPubDate,)</f>
        <v>320</v>
      </c>
      <c r="C293" s="1">
        <f t="shared" si="12"/>
        <v>45848</v>
      </c>
      <c r="D293">
        <f t="shared" si="13"/>
        <v>2025</v>
      </c>
      <c r="E293">
        <f t="shared" si="14"/>
        <v>7</v>
      </c>
      <c r="F293" s="13" t="s">
        <v>584</v>
      </c>
      <c r="G293" s="13" t="s">
        <v>11</v>
      </c>
      <c r="H293" s="13" t="s">
        <v>2792</v>
      </c>
    </row>
    <row r="294" spans="1:8" x14ac:dyDescent="0.25">
      <c r="A294" t="s">
        <v>585</v>
      </c>
      <c r="B294" s="15" cm="1">
        <f t="array" ref="B294">_xll.GetPrice("FP-LBR-2032",,"Low",_SPECIFIEDvarPubDate,)</f>
        <v>320</v>
      </c>
      <c r="C294" s="1">
        <f t="shared" si="12"/>
        <v>45848</v>
      </c>
      <c r="D294">
        <f t="shared" si="13"/>
        <v>2025</v>
      </c>
      <c r="E294">
        <f t="shared" si="14"/>
        <v>7</v>
      </c>
      <c r="F294" s="13" t="s">
        <v>586</v>
      </c>
      <c r="G294" s="13" t="s">
        <v>11</v>
      </c>
      <c r="H294" s="13" t="s">
        <v>2792</v>
      </c>
    </row>
    <row r="295" spans="1:8" x14ac:dyDescent="0.25">
      <c r="A295" t="s">
        <v>587</v>
      </c>
      <c r="B295" s="15" cm="1">
        <f t="array" ref="B295">_xll.GetPrice("FP-LBR-2039",,"Low",_SPECIFIEDvarPubDate,)</f>
        <v>340</v>
      </c>
      <c r="C295" s="1">
        <f t="shared" si="12"/>
        <v>45848</v>
      </c>
      <c r="D295">
        <f t="shared" si="13"/>
        <v>2025</v>
      </c>
      <c r="E295">
        <f t="shared" si="14"/>
        <v>7</v>
      </c>
      <c r="F295" s="13" t="s">
        <v>588</v>
      </c>
      <c r="G295" s="13" t="s">
        <v>11</v>
      </c>
      <c r="H295" s="13" t="s">
        <v>2792</v>
      </c>
    </row>
    <row r="296" spans="1:8" x14ac:dyDescent="0.25">
      <c r="A296" t="s">
        <v>589</v>
      </c>
      <c r="B296" s="15" cm="1">
        <f t="array" ref="B296">_xll.GetPrice("FP-LBR-2046",,"Low",_SPECIFIEDvarPubDate,)</f>
        <v>355</v>
      </c>
      <c r="C296" s="1">
        <f t="shared" si="12"/>
        <v>45848</v>
      </c>
      <c r="D296">
        <f t="shared" si="13"/>
        <v>2025</v>
      </c>
      <c r="E296">
        <f t="shared" si="14"/>
        <v>7</v>
      </c>
      <c r="F296" s="13" t="s">
        <v>590</v>
      </c>
      <c r="G296" s="13" t="s">
        <v>11</v>
      </c>
      <c r="H296" s="13" t="s">
        <v>2792</v>
      </c>
    </row>
    <row r="297" spans="1:8" x14ac:dyDescent="0.25">
      <c r="A297" t="s">
        <v>591</v>
      </c>
      <c r="B297" s="15" cm="1">
        <f t="array" ref="B297">_xll.GetPrice("FP-LBR-1276",,"Low",_SPECIFIEDvarPubDate,)</f>
        <v>520</v>
      </c>
      <c r="C297" s="1">
        <f t="shared" si="12"/>
        <v>45848</v>
      </c>
      <c r="D297">
        <f t="shared" si="13"/>
        <v>2025</v>
      </c>
      <c r="E297">
        <f t="shared" si="14"/>
        <v>7</v>
      </c>
      <c r="F297" s="13" t="s">
        <v>592</v>
      </c>
      <c r="G297" s="13" t="s">
        <v>11</v>
      </c>
      <c r="H297" s="13" t="s">
        <v>2792</v>
      </c>
    </row>
    <row r="298" spans="1:8" x14ac:dyDescent="0.25">
      <c r="A298" t="s">
        <v>593</v>
      </c>
      <c r="B298" s="15" cm="1">
        <f t="array" ref="B298">_xll.GetPrice("FP-LBR-1281",,"Low",_SPECIFIEDvarPubDate,)</f>
        <v>510</v>
      </c>
      <c r="C298" s="1">
        <f t="shared" si="12"/>
        <v>45848</v>
      </c>
      <c r="D298">
        <f t="shared" si="13"/>
        <v>2025</v>
      </c>
      <c r="E298">
        <f t="shared" si="14"/>
        <v>7</v>
      </c>
      <c r="F298" s="13" t="s">
        <v>594</v>
      </c>
      <c r="G298" s="13" t="s">
        <v>11</v>
      </c>
      <c r="H298" s="13" t="s">
        <v>2792</v>
      </c>
    </row>
    <row r="299" spans="1:8" x14ac:dyDescent="0.25">
      <c r="A299" t="s">
        <v>595</v>
      </c>
      <c r="B299" s="15" cm="1">
        <f t="array" ref="B299">_xll.GetPrice("FP-LBR-1286",,"Low",_SPECIFIEDvarPubDate,)</f>
        <v>550</v>
      </c>
      <c r="C299" s="1">
        <f t="shared" si="12"/>
        <v>45848</v>
      </c>
      <c r="D299">
        <f t="shared" si="13"/>
        <v>2025</v>
      </c>
      <c r="E299">
        <f t="shared" si="14"/>
        <v>7</v>
      </c>
      <c r="F299" s="13" t="s">
        <v>596</v>
      </c>
      <c r="G299" s="13" t="s">
        <v>11</v>
      </c>
      <c r="H299" s="13" t="s">
        <v>2792</v>
      </c>
    </row>
    <row r="300" spans="1:8" x14ac:dyDescent="0.25">
      <c r="A300" t="s">
        <v>597</v>
      </c>
      <c r="B300" s="15" cm="1">
        <f t="array" ref="B300">_xll.GetPrice("FP-LBR-1291",,"Low",_SPECIFIEDvarPubDate,)</f>
        <v>520</v>
      </c>
      <c r="C300" s="1">
        <f t="shared" si="12"/>
        <v>45848</v>
      </c>
      <c r="D300">
        <f t="shared" si="13"/>
        <v>2025</v>
      </c>
      <c r="E300">
        <f t="shared" si="14"/>
        <v>7</v>
      </c>
      <c r="F300" s="13" t="s">
        <v>598</v>
      </c>
      <c r="G300" s="13" t="s">
        <v>11</v>
      </c>
      <c r="H300" s="13" t="s">
        <v>2792</v>
      </c>
    </row>
    <row r="301" spans="1:8" x14ac:dyDescent="0.25">
      <c r="A301" t="s">
        <v>599</v>
      </c>
      <c r="B301" s="15" cm="1">
        <f t="array" ref="B301">_xll.GetPrice("FP-LBR-1340",,"Low",_SPECIFIEDvarPubDate,)</f>
        <v>435</v>
      </c>
      <c r="C301" s="1">
        <f t="shared" si="12"/>
        <v>45848</v>
      </c>
      <c r="D301">
        <f t="shared" si="13"/>
        <v>2025</v>
      </c>
      <c r="E301">
        <f t="shared" si="14"/>
        <v>7</v>
      </c>
      <c r="F301" s="13" t="s">
        <v>600</v>
      </c>
      <c r="G301" s="13" t="s">
        <v>11</v>
      </c>
      <c r="H301" s="13" t="s">
        <v>2792</v>
      </c>
    </row>
    <row r="302" spans="1:8" x14ac:dyDescent="0.25">
      <c r="A302" t="s">
        <v>601</v>
      </c>
      <c r="B302" s="15" cm="1">
        <f t="array" ref="B302">_xll.GetPrice("FP-LBR-1347",,"Low",_SPECIFIEDvarPubDate,)</f>
        <v>360</v>
      </c>
      <c r="C302" s="1">
        <f t="shared" si="12"/>
        <v>45848</v>
      </c>
      <c r="D302">
        <f t="shared" si="13"/>
        <v>2025</v>
      </c>
      <c r="E302">
        <f t="shared" si="14"/>
        <v>7</v>
      </c>
      <c r="F302" s="13" t="s">
        <v>602</v>
      </c>
      <c r="G302" s="13" t="s">
        <v>11</v>
      </c>
      <c r="H302" s="13" t="s">
        <v>2792</v>
      </c>
    </row>
    <row r="303" spans="1:8" x14ac:dyDescent="0.25">
      <c r="A303" t="s">
        <v>603</v>
      </c>
      <c r="B303" s="15" cm="1">
        <f t="array" ref="B303">_xll.GetPrice("FP-LBR-1360",,"Low",_SPECIFIEDvarPubDate,)</f>
        <v>395</v>
      </c>
      <c r="C303" s="1">
        <f t="shared" si="12"/>
        <v>45848</v>
      </c>
      <c r="D303">
        <f t="shared" si="13"/>
        <v>2025</v>
      </c>
      <c r="E303">
        <f t="shared" si="14"/>
        <v>7</v>
      </c>
      <c r="F303" s="13" t="s">
        <v>604</v>
      </c>
      <c r="G303" s="13" t="s">
        <v>11</v>
      </c>
      <c r="H303" s="13" t="s">
        <v>2792</v>
      </c>
    </row>
    <row r="304" spans="1:8" x14ac:dyDescent="0.25">
      <c r="A304" t="s">
        <v>605</v>
      </c>
      <c r="B304" s="15" cm="1">
        <f t="array" ref="B304">_xll.GetPrice("FP-LBR-1373",,"Low",_SPECIFIEDvarPubDate,)</f>
        <v>525</v>
      </c>
      <c r="C304" s="1">
        <f t="shared" si="12"/>
        <v>45848</v>
      </c>
      <c r="D304">
        <f t="shared" si="13"/>
        <v>2025</v>
      </c>
      <c r="E304">
        <f t="shared" si="14"/>
        <v>7</v>
      </c>
      <c r="F304" s="13" t="s">
        <v>606</v>
      </c>
      <c r="G304" s="13" t="s">
        <v>11</v>
      </c>
      <c r="H304" s="13" t="s">
        <v>2792</v>
      </c>
    </row>
    <row r="305" spans="1:8" x14ac:dyDescent="0.25">
      <c r="A305" t="s">
        <v>607</v>
      </c>
      <c r="B305" s="15" cm="1">
        <f t="array" ref="B305">_xll.GetPrice("FP-LBR-1386",,"Low",_SPECIFIEDvarPubDate,)</f>
        <v>500</v>
      </c>
      <c r="C305" s="1">
        <f t="shared" si="12"/>
        <v>45848</v>
      </c>
      <c r="D305">
        <f t="shared" si="13"/>
        <v>2025</v>
      </c>
      <c r="E305">
        <f t="shared" si="14"/>
        <v>7</v>
      </c>
      <c r="F305" s="13" t="s">
        <v>608</v>
      </c>
      <c r="G305" s="13" t="s">
        <v>11</v>
      </c>
      <c r="H305" s="13" t="s">
        <v>2792</v>
      </c>
    </row>
    <row r="306" spans="1:8" x14ac:dyDescent="0.25">
      <c r="A306" t="s">
        <v>609</v>
      </c>
      <c r="B306" s="15" cm="1">
        <f t="array" ref="B306">_xll.GetPrice("FP-LBR-0328",,"Low",_SPECIFIEDvarPubDate,)</f>
        <v>370</v>
      </c>
      <c r="C306" s="1">
        <f t="shared" si="12"/>
        <v>45848</v>
      </c>
      <c r="D306">
        <f t="shared" si="13"/>
        <v>2025</v>
      </c>
      <c r="E306">
        <f t="shared" si="14"/>
        <v>7</v>
      </c>
      <c r="F306" s="13" t="s">
        <v>610</v>
      </c>
      <c r="G306" s="13" t="s">
        <v>11</v>
      </c>
      <c r="H306" s="13" t="s">
        <v>2792</v>
      </c>
    </row>
    <row r="307" spans="1:8" x14ac:dyDescent="0.25">
      <c r="A307" t="s">
        <v>611</v>
      </c>
      <c r="B307" s="15" cm="1">
        <f t="array" ref="B307">_xll.GetPrice("FP-LBR-0335",,"Low",_SPECIFIEDvarPubDate,)</f>
        <v>340</v>
      </c>
      <c r="C307" s="1">
        <f t="shared" si="12"/>
        <v>45848</v>
      </c>
      <c r="D307">
        <f t="shared" si="13"/>
        <v>2025</v>
      </c>
      <c r="E307">
        <f t="shared" si="14"/>
        <v>7</v>
      </c>
      <c r="F307" s="13" t="s">
        <v>612</v>
      </c>
      <c r="G307" s="13" t="s">
        <v>11</v>
      </c>
      <c r="H307" s="13" t="s">
        <v>2792</v>
      </c>
    </row>
    <row r="308" spans="1:8" x14ac:dyDescent="0.25">
      <c r="A308" t="s">
        <v>613</v>
      </c>
      <c r="B308" s="15" cm="1">
        <f t="array" ref="B308">_xll.GetPrice("FP-LBR-0342",,"Low",_SPECIFIEDvarPubDate,)</f>
        <v>320</v>
      </c>
      <c r="C308" s="1">
        <f t="shared" si="12"/>
        <v>45848</v>
      </c>
      <c r="D308">
        <f t="shared" si="13"/>
        <v>2025</v>
      </c>
      <c r="E308">
        <f t="shared" si="14"/>
        <v>7</v>
      </c>
      <c r="F308" s="13" t="s">
        <v>614</v>
      </c>
      <c r="G308" s="13" t="s">
        <v>11</v>
      </c>
      <c r="H308" s="13" t="s">
        <v>2792</v>
      </c>
    </row>
    <row r="309" spans="1:8" x14ac:dyDescent="0.25">
      <c r="A309" t="s">
        <v>615</v>
      </c>
      <c r="B309" s="15" cm="1">
        <f t="array" ref="B309">_xll.GetPrice("FP-LBR-0349",,"Low",_SPECIFIEDvarPubDate,)</f>
        <v>355</v>
      </c>
      <c r="C309" s="1">
        <f t="shared" si="12"/>
        <v>45848</v>
      </c>
      <c r="D309">
        <f t="shared" si="13"/>
        <v>2025</v>
      </c>
      <c r="E309">
        <f t="shared" si="14"/>
        <v>7</v>
      </c>
      <c r="F309" s="13" t="s">
        <v>616</v>
      </c>
      <c r="G309" s="13" t="s">
        <v>11</v>
      </c>
      <c r="H309" s="13" t="s">
        <v>2792</v>
      </c>
    </row>
    <row r="310" spans="1:8" x14ac:dyDescent="0.25">
      <c r="A310" t="s">
        <v>617</v>
      </c>
      <c r="B310" s="15" cm="1">
        <f t="array" ref="B310">_xll.GetPrice("FP-LBR-0356",,"Low",_SPECIFIEDvarPubDate,)</f>
        <v>320</v>
      </c>
      <c r="C310" s="1">
        <f t="shared" si="12"/>
        <v>45848</v>
      </c>
      <c r="D310">
        <f t="shared" si="13"/>
        <v>2025</v>
      </c>
      <c r="E310">
        <f t="shared" si="14"/>
        <v>7</v>
      </c>
      <c r="F310" s="13" t="s">
        <v>618</v>
      </c>
      <c r="G310" s="13" t="s">
        <v>11</v>
      </c>
      <c r="H310" s="13" t="s">
        <v>2792</v>
      </c>
    </row>
    <row r="311" spans="1:8" x14ac:dyDescent="0.25">
      <c r="A311" t="s">
        <v>619</v>
      </c>
      <c r="B311" s="15" cm="1">
        <f t="array" ref="B311">_xll.GetPrice("FP-LBR-0363",,"Low",_SPECIFIEDvarPubDate,)</f>
        <v>335</v>
      </c>
      <c r="C311" s="1">
        <f t="shared" si="12"/>
        <v>45848</v>
      </c>
      <c r="D311">
        <f t="shared" si="13"/>
        <v>2025</v>
      </c>
      <c r="E311">
        <f t="shared" si="14"/>
        <v>7</v>
      </c>
      <c r="F311" s="13" t="s">
        <v>620</v>
      </c>
      <c r="G311" s="13" t="s">
        <v>11</v>
      </c>
      <c r="H311" s="13" t="s">
        <v>2792</v>
      </c>
    </row>
    <row r="312" spans="1:8" x14ac:dyDescent="0.25">
      <c r="A312" t="s">
        <v>621</v>
      </c>
      <c r="B312" s="15" cm="1">
        <f t="array" ref="B312">_xll.GetPrice("FP-LBR-0370",,"Low",_SPECIFIEDvarPubDate,)</f>
        <v>305</v>
      </c>
      <c r="C312" s="1">
        <f t="shared" si="12"/>
        <v>45848</v>
      </c>
      <c r="D312">
        <f t="shared" si="13"/>
        <v>2025</v>
      </c>
      <c r="E312">
        <f t="shared" si="14"/>
        <v>7</v>
      </c>
      <c r="F312" s="13" t="s">
        <v>622</v>
      </c>
      <c r="G312" s="13" t="s">
        <v>11</v>
      </c>
      <c r="H312" s="13" t="s">
        <v>2792</v>
      </c>
    </row>
    <row r="313" spans="1:8" x14ac:dyDescent="0.25">
      <c r="A313" t="s">
        <v>623</v>
      </c>
      <c r="B313" s="15" cm="1">
        <f t="array" ref="B313">_xll.GetPrice("FP-LBR-0377",,"Low",_SPECIFIEDvarPubDate,)</f>
        <v>305</v>
      </c>
      <c r="C313" s="1">
        <f t="shared" si="12"/>
        <v>45848</v>
      </c>
      <c r="D313">
        <f t="shared" si="13"/>
        <v>2025</v>
      </c>
      <c r="E313">
        <f t="shared" si="14"/>
        <v>7</v>
      </c>
      <c r="F313" s="13" t="s">
        <v>624</v>
      </c>
      <c r="G313" s="13" t="s">
        <v>11</v>
      </c>
      <c r="H313" s="13" t="s">
        <v>2792</v>
      </c>
    </row>
    <row r="314" spans="1:8" x14ac:dyDescent="0.25">
      <c r="A314" t="s">
        <v>625</v>
      </c>
      <c r="B314" s="15" cm="1">
        <f t="array" ref="B314">_xll.GetPrice("FP-LBR-0384",,"Low",_SPECIFIEDvarPubDate,)</f>
        <v>290</v>
      </c>
      <c r="C314" s="1">
        <f t="shared" si="12"/>
        <v>45848</v>
      </c>
      <c r="D314">
        <f t="shared" si="13"/>
        <v>2025</v>
      </c>
      <c r="E314">
        <f t="shared" si="14"/>
        <v>7</v>
      </c>
      <c r="F314" s="13" t="s">
        <v>626</v>
      </c>
      <c r="G314" s="13" t="s">
        <v>11</v>
      </c>
      <c r="H314" s="13" t="s">
        <v>2792</v>
      </c>
    </row>
    <row r="315" spans="1:8" x14ac:dyDescent="0.25">
      <c r="A315" t="s">
        <v>627</v>
      </c>
      <c r="B315" s="15" cm="1">
        <f t="array" ref="B315">_xll.GetPrice("FP-LBR-0391",,"Low",_SPECIFIEDvarPubDate,)</f>
        <v>300</v>
      </c>
      <c r="C315" s="1">
        <f t="shared" si="12"/>
        <v>45848</v>
      </c>
      <c r="D315">
        <f t="shared" si="13"/>
        <v>2025</v>
      </c>
      <c r="E315">
        <f t="shared" si="14"/>
        <v>7</v>
      </c>
      <c r="F315" s="13" t="s">
        <v>628</v>
      </c>
      <c r="G315" s="13" t="s">
        <v>11</v>
      </c>
      <c r="H315" s="13" t="s">
        <v>2792</v>
      </c>
    </row>
    <row r="316" spans="1:8" x14ac:dyDescent="0.25">
      <c r="A316" t="s">
        <v>629</v>
      </c>
      <c r="B316" s="15" cm="1">
        <f t="array" ref="B316">_xll.GetPrice("FP-LBR-2054",,"Low",_SPECIFIEDvarPubDate,)</f>
        <v>420</v>
      </c>
      <c r="C316" s="1">
        <f t="shared" si="12"/>
        <v>45848</v>
      </c>
      <c r="D316">
        <f t="shared" si="13"/>
        <v>2025</v>
      </c>
      <c r="E316">
        <f t="shared" si="14"/>
        <v>7</v>
      </c>
      <c r="F316" s="13" t="s">
        <v>630</v>
      </c>
      <c r="G316" s="13" t="s">
        <v>11</v>
      </c>
      <c r="H316" s="13" t="s">
        <v>2792</v>
      </c>
    </row>
    <row r="317" spans="1:8" x14ac:dyDescent="0.25">
      <c r="A317" t="s">
        <v>631</v>
      </c>
      <c r="B317" s="15" cm="1">
        <f t="array" ref="B317">_xll.GetPrice("FP-LBR-2061",,"Low",_SPECIFIEDvarPubDate,)</f>
        <v>360</v>
      </c>
      <c r="C317" s="1">
        <f t="shared" si="12"/>
        <v>45848</v>
      </c>
      <c r="D317">
        <f t="shared" si="13"/>
        <v>2025</v>
      </c>
      <c r="E317">
        <f t="shared" si="14"/>
        <v>7</v>
      </c>
      <c r="F317" s="13" t="s">
        <v>632</v>
      </c>
      <c r="G317" s="13" t="s">
        <v>11</v>
      </c>
      <c r="H317" s="13" t="s">
        <v>2792</v>
      </c>
    </row>
    <row r="318" spans="1:8" x14ac:dyDescent="0.25">
      <c r="A318" t="s">
        <v>633</v>
      </c>
      <c r="B318" s="15" cm="1">
        <f t="array" ref="B318">_xll.GetPrice("FP-LBR-2019",,"Low",_SPECIFIEDvarPubDate,)</f>
        <v>390</v>
      </c>
      <c r="C318" s="1">
        <f t="shared" si="12"/>
        <v>45848</v>
      </c>
      <c r="D318">
        <f t="shared" si="13"/>
        <v>2025</v>
      </c>
      <c r="E318">
        <f t="shared" si="14"/>
        <v>7</v>
      </c>
      <c r="F318" s="13" t="s">
        <v>634</v>
      </c>
      <c r="G318" s="13" t="s">
        <v>11</v>
      </c>
      <c r="H318" s="13" t="s">
        <v>2792</v>
      </c>
    </row>
    <row r="319" spans="1:8" x14ac:dyDescent="0.25">
      <c r="A319" t="s">
        <v>635</v>
      </c>
      <c r="B319" s="15" cm="1">
        <f t="array" ref="B319">_xll.GetPrice("FP-LBR-2026",,"Low",_SPECIFIEDvarPubDate,)</f>
        <v>320</v>
      </c>
      <c r="C319" s="1">
        <f t="shared" si="12"/>
        <v>45848</v>
      </c>
      <c r="D319">
        <f t="shared" si="13"/>
        <v>2025</v>
      </c>
      <c r="E319">
        <f t="shared" si="14"/>
        <v>7</v>
      </c>
      <c r="F319" s="13" t="s">
        <v>636</v>
      </c>
      <c r="G319" s="13" t="s">
        <v>11</v>
      </c>
      <c r="H319" s="13" t="s">
        <v>2792</v>
      </c>
    </row>
    <row r="320" spans="1:8" x14ac:dyDescent="0.25">
      <c r="A320" t="s">
        <v>637</v>
      </c>
      <c r="B320" s="15" cm="1">
        <f t="array" ref="B320">_xll.GetPrice("FP-LBR-2033",,"Low",_SPECIFIEDvarPubDate,)</f>
        <v>320</v>
      </c>
      <c r="C320" s="1">
        <f t="shared" si="12"/>
        <v>45848</v>
      </c>
      <c r="D320">
        <f t="shared" si="13"/>
        <v>2025</v>
      </c>
      <c r="E320">
        <f t="shared" si="14"/>
        <v>7</v>
      </c>
      <c r="F320" s="13" t="s">
        <v>638</v>
      </c>
      <c r="G320" s="13" t="s">
        <v>11</v>
      </c>
      <c r="H320" s="13" t="s">
        <v>2792</v>
      </c>
    </row>
    <row r="321" spans="1:8" x14ac:dyDescent="0.25">
      <c r="A321" t="s">
        <v>639</v>
      </c>
      <c r="B321" s="15" cm="1">
        <f t="array" ref="B321">_xll.GetPrice("FP-LBR-2040",,"Low",_SPECIFIEDvarPubDate,)</f>
        <v>360</v>
      </c>
      <c r="C321" s="1">
        <f t="shared" si="12"/>
        <v>45848</v>
      </c>
      <c r="D321">
        <f t="shared" si="13"/>
        <v>2025</v>
      </c>
      <c r="E321">
        <f t="shared" si="14"/>
        <v>7</v>
      </c>
      <c r="F321" s="13" t="s">
        <v>640</v>
      </c>
      <c r="G321" s="13" t="s">
        <v>11</v>
      </c>
      <c r="H321" s="13" t="s">
        <v>2792</v>
      </c>
    </row>
    <row r="322" spans="1:8" x14ac:dyDescent="0.25">
      <c r="A322" t="s">
        <v>641</v>
      </c>
      <c r="B322" s="15" cm="1">
        <f t="array" ref="B322">_xll.GetPrice("FP-LBR-2047",,"Low",_SPECIFIEDvarPubDate,)</f>
        <v>305</v>
      </c>
      <c r="C322" s="1">
        <f t="shared" ref="C322:C385" si="15">_SPECIFIEDvarPubDate</f>
        <v>45848</v>
      </c>
      <c r="D322">
        <f t="shared" ref="D322:D385" si="16">_SPECIFIEDvarYear</f>
        <v>2025</v>
      </c>
      <c r="E322">
        <f t="shared" ref="E322:E385" si="17">_SPECIFIEDvarMonth</f>
        <v>7</v>
      </c>
      <c r="F322" s="13" t="s">
        <v>642</v>
      </c>
      <c r="G322" s="13" t="s">
        <v>11</v>
      </c>
      <c r="H322" s="13" t="s">
        <v>2792</v>
      </c>
    </row>
    <row r="323" spans="1:8" x14ac:dyDescent="0.25">
      <c r="A323" t="s">
        <v>643</v>
      </c>
      <c r="B323" s="15" cm="1">
        <f t="array" ref="B323">_xll.GetPrice("FP-LBR-1277",,"Low",_SPECIFIEDvarPubDate,)</f>
        <v>555</v>
      </c>
      <c r="C323" s="1">
        <f t="shared" si="15"/>
        <v>45848</v>
      </c>
      <c r="D323">
        <f t="shared" si="16"/>
        <v>2025</v>
      </c>
      <c r="E323">
        <f t="shared" si="17"/>
        <v>7</v>
      </c>
      <c r="F323" s="13" t="s">
        <v>644</v>
      </c>
      <c r="G323" s="13" t="s">
        <v>11</v>
      </c>
      <c r="H323" s="13" t="s">
        <v>2792</v>
      </c>
    </row>
    <row r="324" spans="1:8" x14ac:dyDescent="0.25">
      <c r="A324" t="s">
        <v>645</v>
      </c>
      <c r="B324" s="15" cm="1">
        <f t="array" ref="B324">_xll.GetPrice("FP-LBR-1282",,"Low",_SPECIFIEDvarPubDate,)</f>
        <v>460</v>
      </c>
      <c r="C324" s="1">
        <f t="shared" si="15"/>
        <v>45848</v>
      </c>
      <c r="D324">
        <f t="shared" si="16"/>
        <v>2025</v>
      </c>
      <c r="E324">
        <f t="shared" si="17"/>
        <v>7</v>
      </c>
      <c r="F324" s="13" t="s">
        <v>646</v>
      </c>
      <c r="G324" s="13" t="s">
        <v>11</v>
      </c>
      <c r="H324" s="13" t="s">
        <v>2792</v>
      </c>
    </row>
    <row r="325" spans="1:8" x14ac:dyDescent="0.25">
      <c r="A325" t="s">
        <v>647</v>
      </c>
      <c r="B325" s="15" cm="1">
        <f t="array" ref="B325">_xll.GetPrice("FP-LBR-1287",,"Low",_SPECIFIEDvarPubDate,)</f>
        <v>575</v>
      </c>
      <c r="C325" s="1">
        <f t="shared" si="15"/>
        <v>45848</v>
      </c>
      <c r="D325">
        <f t="shared" si="16"/>
        <v>2025</v>
      </c>
      <c r="E325">
        <f t="shared" si="17"/>
        <v>7</v>
      </c>
      <c r="F325" s="13" t="s">
        <v>648</v>
      </c>
      <c r="G325" s="13" t="s">
        <v>11</v>
      </c>
      <c r="H325" s="13" t="s">
        <v>2792</v>
      </c>
    </row>
    <row r="326" spans="1:8" x14ac:dyDescent="0.25">
      <c r="A326" t="s">
        <v>649</v>
      </c>
      <c r="B326" s="15" cm="1">
        <f t="array" ref="B326">_xll.GetPrice("FP-LBR-1292",,"Low",_SPECIFIEDvarPubDate,)</f>
        <v>475</v>
      </c>
      <c r="C326" s="1">
        <f t="shared" si="15"/>
        <v>45848</v>
      </c>
      <c r="D326">
        <f t="shared" si="16"/>
        <v>2025</v>
      </c>
      <c r="E326">
        <f t="shared" si="17"/>
        <v>7</v>
      </c>
      <c r="F326" s="13" t="s">
        <v>650</v>
      </c>
      <c r="G326" s="13" t="s">
        <v>11</v>
      </c>
      <c r="H326" s="13" t="s">
        <v>2792</v>
      </c>
    </row>
    <row r="327" spans="1:8" x14ac:dyDescent="0.25">
      <c r="A327" t="s">
        <v>651</v>
      </c>
      <c r="B327" s="15" cm="1">
        <f t="array" ref="B327">_xll.GetPrice("FP-LBR-1341",,"Low",_SPECIFIEDvarPubDate,)</f>
        <v>450</v>
      </c>
      <c r="C327" s="1">
        <f t="shared" si="15"/>
        <v>45848</v>
      </c>
      <c r="D327">
        <f t="shared" si="16"/>
        <v>2025</v>
      </c>
      <c r="E327">
        <f t="shared" si="17"/>
        <v>7</v>
      </c>
      <c r="F327" s="13" t="s">
        <v>652</v>
      </c>
      <c r="G327" s="13" t="s">
        <v>11</v>
      </c>
      <c r="H327" s="13" t="s">
        <v>2792</v>
      </c>
    </row>
    <row r="328" spans="1:8" x14ac:dyDescent="0.25">
      <c r="A328" t="s">
        <v>653</v>
      </c>
      <c r="B328" s="15" cm="1">
        <f t="array" ref="B328">_xll.GetPrice("FP-LBR-1348",,"Low",_SPECIFIEDvarPubDate,)</f>
        <v>375</v>
      </c>
      <c r="C328" s="1">
        <f t="shared" si="15"/>
        <v>45848</v>
      </c>
      <c r="D328">
        <f t="shared" si="16"/>
        <v>2025</v>
      </c>
      <c r="E328">
        <f t="shared" si="17"/>
        <v>7</v>
      </c>
      <c r="F328" s="13" t="s">
        <v>654</v>
      </c>
      <c r="G328" s="13" t="s">
        <v>11</v>
      </c>
      <c r="H328" s="13" t="s">
        <v>2792</v>
      </c>
    </row>
    <row r="329" spans="1:8" x14ac:dyDescent="0.25">
      <c r="A329" t="s">
        <v>655</v>
      </c>
      <c r="B329" s="15" cm="1">
        <f t="array" ref="B329">_xll.GetPrice("FP-LBR-1361",,"Low",_SPECIFIEDvarPubDate,)</f>
        <v>395</v>
      </c>
      <c r="C329" s="1">
        <f t="shared" si="15"/>
        <v>45848</v>
      </c>
      <c r="D329">
        <f t="shared" si="16"/>
        <v>2025</v>
      </c>
      <c r="E329">
        <f t="shared" si="17"/>
        <v>7</v>
      </c>
      <c r="F329" s="13" t="s">
        <v>656</v>
      </c>
      <c r="G329" s="13" t="s">
        <v>11</v>
      </c>
      <c r="H329" s="13" t="s">
        <v>2792</v>
      </c>
    </row>
    <row r="330" spans="1:8" x14ac:dyDescent="0.25">
      <c r="A330" t="s">
        <v>657</v>
      </c>
      <c r="B330" s="15" cm="1">
        <f t="array" ref="B330">_xll.GetPrice("FP-LBR-1374",,"Low",_SPECIFIEDvarPubDate,)</f>
        <v>610</v>
      </c>
      <c r="C330" s="1">
        <f t="shared" si="15"/>
        <v>45848</v>
      </c>
      <c r="D330">
        <f t="shared" si="16"/>
        <v>2025</v>
      </c>
      <c r="E330">
        <f t="shared" si="17"/>
        <v>7</v>
      </c>
      <c r="F330" s="13" t="s">
        <v>658</v>
      </c>
      <c r="G330" s="13" t="s">
        <v>11</v>
      </c>
      <c r="H330" s="13" t="s">
        <v>2792</v>
      </c>
    </row>
    <row r="331" spans="1:8" x14ac:dyDescent="0.25">
      <c r="A331" t="s">
        <v>659</v>
      </c>
      <c r="B331" s="15" cm="1">
        <f t="array" ref="B331">_xll.GetPrice("FP-LBR-1387",,"Low",_SPECIFIEDvarPubDate,)</f>
        <v>500</v>
      </c>
      <c r="C331" s="1">
        <f t="shared" si="15"/>
        <v>45848</v>
      </c>
      <c r="D331">
        <f t="shared" si="16"/>
        <v>2025</v>
      </c>
      <c r="E331">
        <f t="shared" si="17"/>
        <v>7</v>
      </c>
      <c r="F331" s="13" t="s">
        <v>660</v>
      </c>
      <c r="G331" s="13" t="s">
        <v>11</v>
      </c>
      <c r="H331" s="13" t="s">
        <v>2792</v>
      </c>
    </row>
    <row r="332" spans="1:8" x14ac:dyDescent="0.25">
      <c r="A332" t="s">
        <v>661</v>
      </c>
      <c r="B332" s="15" cm="1">
        <f t="array" ref="B332">_xll.GetPrice("FP-LBR-0329",,"Low",_SPECIFIEDvarPubDate,)</f>
        <v>490</v>
      </c>
      <c r="C332" s="1">
        <f t="shared" si="15"/>
        <v>45848</v>
      </c>
      <c r="D332">
        <f t="shared" si="16"/>
        <v>2025</v>
      </c>
      <c r="E332">
        <f t="shared" si="17"/>
        <v>7</v>
      </c>
      <c r="F332" s="13" t="s">
        <v>662</v>
      </c>
      <c r="G332" s="13" t="s">
        <v>11</v>
      </c>
      <c r="H332" s="13" t="s">
        <v>2792</v>
      </c>
    </row>
    <row r="333" spans="1:8" x14ac:dyDescent="0.25">
      <c r="A333" t="s">
        <v>663</v>
      </c>
      <c r="B333" s="15" cm="1">
        <f t="array" ref="B333">_xll.GetPrice("FP-LBR-0336",,"Low",_SPECIFIEDvarPubDate,)</f>
        <v>360</v>
      </c>
      <c r="C333" s="1">
        <f t="shared" si="15"/>
        <v>45848</v>
      </c>
      <c r="D333">
        <f t="shared" si="16"/>
        <v>2025</v>
      </c>
      <c r="E333">
        <f t="shared" si="17"/>
        <v>7</v>
      </c>
      <c r="F333" s="13" t="s">
        <v>664</v>
      </c>
      <c r="G333" s="13" t="s">
        <v>11</v>
      </c>
      <c r="H333" s="13" t="s">
        <v>2792</v>
      </c>
    </row>
    <row r="334" spans="1:8" x14ac:dyDescent="0.25">
      <c r="A334" t="s">
        <v>665</v>
      </c>
      <c r="B334" s="15" cm="1">
        <f t="array" ref="B334">_xll.GetPrice("FP-LBR-0343",,"Low",_SPECIFIEDvarPubDate,)</f>
        <v>350</v>
      </c>
      <c r="C334" s="1">
        <f t="shared" si="15"/>
        <v>45848</v>
      </c>
      <c r="D334">
        <f t="shared" si="16"/>
        <v>2025</v>
      </c>
      <c r="E334">
        <f t="shared" si="17"/>
        <v>7</v>
      </c>
      <c r="F334" s="13" t="s">
        <v>666</v>
      </c>
      <c r="G334" s="13" t="s">
        <v>11</v>
      </c>
      <c r="H334" s="13" t="s">
        <v>2792</v>
      </c>
    </row>
    <row r="335" spans="1:8" x14ac:dyDescent="0.25">
      <c r="A335" t="s">
        <v>667</v>
      </c>
      <c r="B335" s="15" cm="1">
        <f t="array" ref="B335">_xll.GetPrice("FP-LBR-0350",,"Low",_SPECIFIEDvarPubDate,)</f>
        <v>400</v>
      </c>
      <c r="C335" s="1">
        <f t="shared" si="15"/>
        <v>45848</v>
      </c>
      <c r="D335">
        <f t="shared" si="16"/>
        <v>2025</v>
      </c>
      <c r="E335">
        <f t="shared" si="17"/>
        <v>7</v>
      </c>
      <c r="F335" s="13" t="s">
        <v>668</v>
      </c>
      <c r="G335" s="13" t="s">
        <v>11</v>
      </c>
      <c r="H335" s="13" t="s">
        <v>2792</v>
      </c>
    </row>
    <row r="336" spans="1:8" x14ac:dyDescent="0.25">
      <c r="A336" t="s">
        <v>669</v>
      </c>
      <c r="B336" s="15" cm="1">
        <f t="array" ref="B336">_xll.GetPrice("FP-LBR-0357",,"Low",_SPECIFIEDvarPubDate,)</f>
        <v>395</v>
      </c>
      <c r="C336" s="1">
        <f t="shared" si="15"/>
        <v>45848</v>
      </c>
      <c r="D336">
        <f t="shared" si="16"/>
        <v>2025</v>
      </c>
      <c r="E336">
        <f t="shared" si="17"/>
        <v>7</v>
      </c>
      <c r="F336" s="13" t="s">
        <v>670</v>
      </c>
      <c r="G336" s="13" t="s">
        <v>11</v>
      </c>
      <c r="H336" s="13" t="s">
        <v>2792</v>
      </c>
    </row>
    <row r="337" spans="1:8" x14ac:dyDescent="0.25">
      <c r="A337" t="s">
        <v>671</v>
      </c>
      <c r="B337" s="15" cm="1">
        <f t="array" ref="B337">_xll.GetPrice("FP-LBR-0364",,"Low",_SPECIFIEDvarPubDate,)</f>
        <v>435</v>
      </c>
      <c r="C337" s="1">
        <f t="shared" si="15"/>
        <v>45848</v>
      </c>
      <c r="D337">
        <f t="shared" si="16"/>
        <v>2025</v>
      </c>
      <c r="E337">
        <f t="shared" si="17"/>
        <v>7</v>
      </c>
      <c r="F337" s="13" t="s">
        <v>672</v>
      </c>
      <c r="G337" s="13" t="s">
        <v>11</v>
      </c>
      <c r="H337" s="13" t="s">
        <v>2792</v>
      </c>
    </row>
    <row r="338" spans="1:8" x14ac:dyDescent="0.25">
      <c r="A338" t="s">
        <v>673</v>
      </c>
      <c r="B338" s="15" cm="1">
        <f t="array" ref="B338">_xll.GetPrice("FP-LBR-0371",,"Low",_SPECIFIEDvarPubDate,)</f>
        <v>315</v>
      </c>
      <c r="C338" s="1">
        <f t="shared" si="15"/>
        <v>45848</v>
      </c>
      <c r="D338">
        <f t="shared" si="16"/>
        <v>2025</v>
      </c>
      <c r="E338">
        <f t="shared" si="17"/>
        <v>7</v>
      </c>
      <c r="F338" s="13" t="s">
        <v>674</v>
      </c>
      <c r="G338" s="13" t="s">
        <v>11</v>
      </c>
      <c r="H338" s="13" t="s">
        <v>2792</v>
      </c>
    </row>
    <row r="339" spans="1:8" x14ac:dyDescent="0.25">
      <c r="A339" t="s">
        <v>675</v>
      </c>
      <c r="B339" s="15" cm="1">
        <f t="array" ref="B339">_xll.GetPrice("FP-LBR-0378",,"Low",_SPECIFIEDvarPubDate,)</f>
        <v>345</v>
      </c>
      <c r="C339" s="1">
        <f t="shared" si="15"/>
        <v>45848</v>
      </c>
      <c r="D339">
        <f t="shared" si="16"/>
        <v>2025</v>
      </c>
      <c r="E339">
        <f t="shared" si="17"/>
        <v>7</v>
      </c>
      <c r="F339" s="13" t="s">
        <v>676</v>
      </c>
      <c r="G339" s="13" t="s">
        <v>11</v>
      </c>
      <c r="H339" s="13" t="s">
        <v>2792</v>
      </c>
    </row>
    <row r="340" spans="1:8" x14ac:dyDescent="0.25">
      <c r="A340" t="s">
        <v>677</v>
      </c>
      <c r="B340" s="15" cm="1">
        <f t="array" ref="B340">_xll.GetPrice("FP-LBR-0385",,"Low",_SPECIFIEDvarPubDate,)</f>
        <v>310</v>
      </c>
      <c r="C340" s="1">
        <f t="shared" si="15"/>
        <v>45848</v>
      </c>
      <c r="D340">
        <f t="shared" si="16"/>
        <v>2025</v>
      </c>
      <c r="E340">
        <f t="shared" si="17"/>
        <v>7</v>
      </c>
      <c r="F340" s="13" t="s">
        <v>678</v>
      </c>
      <c r="G340" s="13" t="s">
        <v>11</v>
      </c>
      <c r="H340" s="13" t="s">
        <v>2792</v>
      </c>
    </row>
    <row r="341" spans="1:8" x14ac:dyDescent="0.25">
      <c r="A341" t="s">
        <v>679</v>
      </c>
      <c r="B341" s="15" cm="1">
        <f t="array" ref="B341">_xll.GetPrice("FP-LBR-0392",,"Low",_SPECIFIEDvarPubDate,)</f>
        <v>375</v>
      </c>
      <c r="C341" s="1">
        <f t="shared" si="15"/>
        <v>45848</v>
      </c>
      <c r="D341">
        <f t="shared" si="16"/>
        <v>2025</v>
      </c>
      <c r="E341">
        <f t="shared" si="17"/>
        <v>7</v>
      </c>
      <c r="F341" s="13" t="s">
        <v>680</v>
      </c>
      <c r="G341" s="13" t="s">
        <v>11</v>
      </c>
      <c r="H341" s="13" t="s">
        <v>2792</v>
      </c>
    </row>
    <row r="342" spans="1:8" x14ac:dyDescent="0.25">
      <c r="A342" t="s">
        <v>681</v>
      </c>
      <c r="B342" s="15" cm="1">
        <f t="array" ref="B342">_xll.GetPrice("FP-LBR-2055",,"Low",_SPECIFIEDvarPubDate,)</f>
        <v>445</v>
      </c>
      <c r="C342" s="1">
        <f t="shared" si="15"/>
        <v>45848</v>
      </c>
      <c r="D342">
        <f t="shared" si="16"/>
        <v>2025</v>
      </c>
      <c r="E342">
        <f t="shared" si="17"/>
        <v>7</v>
      </c>
      <c r="F342" s="13" t="s">
        <v>682</v>
      </c>
      <c r="G342" s="13" t="s">
        <v>11</v>
      </c>
      <c r="H342" s="13" t="s">
        <v>2792</v>
      </c>
    </row>
    <row r="343" spans="1:8" x14ac:dyDescent="0.25">
      <c r="A343" t="s">
        <v>683</v>
      </c>
      <c r="B343" s="15" cm="1">
        <f t="array" ref="B343">_xll.GetPrice("FP-LBR-2062",,"Low",_SPECIFIEDvarPubDate,)</f>
        <v>350</v>
      </c>
      <c r="C343" s="1">
        <f t="shared" si="15"/>
        <v>45848</v>
      </c>
      <c r="D343">
        <f t="shared" si="16"/>
        <v>2025</v>
      </c>
      <c r="E343">
        <f t="shared" si="17"/>
        <v>7</v>
      </c>
      <c r="F343" s="13" t="s">
        <v>684</v>
      </c>
      <c r="G343" s="13" t="s">
        <v>11</v>
      </c>
      <c r="H343" s="13" t="s">
        <v>2792</v>
      </c>
    </row>
    <row r="344" spans="1:8" x14ac:dyDescent="0.25">
      <c r="A344" t="s">
        <v>685</v>
      </c>
      <c r="B344" s="15" cm="1">
        <f t="array" ref="B344">_xll.GetPrice("FP-LBR-2020",,"Low",_SPECIFIEDvarPubDate,)</f>
        <v>415</v>
      </c>
      <c r="C344" s="1">
        <f t="shared" si="15"/>
        <v>45848</v>
      </c>
      <c r="D344">
        <f t="shared" si="16"/>
        <v>2025</v>
      </c>
      <c r="E344">
        <f t="shared" si="17"/>
        <v>7</v>
      </c>
      <c r="F344" s="13" t="s">
        <v>686</v>
      </c>
      <c r="G344" s="13" t="s">
        <v>11</v>
      </c>
      <c r="H344" s="13" t="s">
        <v>2792</v>
      </c>
    </row>
    <row r="345" spans="1:8" x14ac:dyDescent="0.25">
      <c r="A345" t="s">
        <v>687</v>
      </c>
      <c r="B345" s="15" cm="1">
        <f t="array" ref="B345">_xll.GetPrice("FP-LBR-2027",,"Low",_SPECIFIEDvarPubDate,)</f>
        <v>320</v>
      </c>
      <c r="C345" s="1">
        <f t="shared" si="15"/>
        <v>45848</v>
      </c>
      <c r="D345">
        <f t="shared" si="16"/>
        <v>2025</v>
      </c>
      <c r="E345">
        <f t="shared" si="17"/>
        <v>7</v>
      </c>
      <c r="F345" s="13" t="s">
        <v>688</v>
      </c>
      <c r="G345" s="13" t="s">
        <v>11</v>
      </c>
      <c r="H345" s="13" t="s">
        <v>2792</v>
      </c>
    </row>
    <row r="346" spans="1:8" x14ac:dyDescent="0.25">
      <c r="A346" t="s">
        <v>689</v>
      </c>
      <c r="B346" s="15" cm="1">
        <f t="array" ref="B346">_xll.GetPrice("FP-LBR-2034",,"Low",_SPECIFIEDvarPubDate,)</f>
        <v>325</v>
      </c>
      <c r="C346" s="1">
        <f t="shared" si="15"/>
        <v>45848</v>
      </c>
      <c r="D346">
        <f t="shared" si="16"/>
        <v>2025</v>
      </c>
      <c r="E346">
        <f t="shared" si="17"/>
        <v>7</v>
      </c>
      <c r="F346" s="13" t="s">
        <v>690</v>
      </c>
      <c r="G346" s="13" t="s">
        <v>11</v>
      </c>
      <c r="H346" s="13" t="s">
        <v>2792</v>
      </c>
    </row>
    <row r="347" spans="1:8" x14ac:dyDescent="0.25">
      <c r="A347" t="s">
        <v>691</v>
      </c>
      <c r="B347" s="15" cm="1">
        <f t="array" ref="B347">_xll.GetPrice("FP-LBR-2041",,"Low",_SPECIFIEDvarPubDate,)</f>
        <v>365</v>
      </c>
      <c r="C347" s="1">
        <f t="shared" si="15"/>
        <v>45848</v>
      </c>
      <c r="D347">
        <f t="shared" si="16"/>
        <v>2025</v>
      </c>
      <c r="E347">
        <f t="shared" si="17"/>
        <v>7</v>
      </c>
      <c r="F347" s="13" t="s">
        <v>692</v>
      </c>
      <c r="G347" s="13" t="s">
        <v>11</v>
      </c>
      <c r="H347" s="13" t="s">
        <v>2792</v>
      </c>
    </row>
    <row r="348" spans="1:8" x14ac:dyDescent="0.25">
      <c r="A348" t="s">
        <v>693</v>
      </c>
      <c r="B348" s="15" cm="1">
        <f t="array" ref="B348">_xll.GetPrice("FP-LBR-2048",,"Low",_SPECIFIEDvarPubDate,)</f>
        <v>360</v>
      </c>
      <c r="C348" s="1">
        <f t="shared" si="15"/>
        <v>45848</v>
      </c>
      <c r="D348">
        <f t="shared" si="16"/>
        <v>2025</v>
      </c>
      <c r="E348">
        <f t="shared" si="17"/>
        <v>7</v>
      </c>
      <c r="F348" s="13" t="s">
        <v>694</v>
      </c>
      <c r="G348" s="13" t="s">
        <v>11</v>
      </c>
      <c r="H348" s="13" t="s">
        <v>2792</v>
      </c>
    </row>
    <row r="349" spans="1:8" x14ac:dyDescent="0.25">
      <c r="A349" t="s">
        <v>695</v>
      </c>
      <c r="B349" s="15" cm="1">
        <f t="array" ref="B349">_xll.GetPrice("FP-LBR-1278",,"Low",_SPECIFIEDvarPubDate,)</f>
        <v>660</v>
      </c>
      <c r="C349" s="1">
        <f t="shared" si="15"/>
        <v>45848</v>
      </c>
      <c r="D349">
        <f t="shared" si="16"/>
        <v>2025</v>
      </c>
      <c r="E349">
        <f t="shared" si="17"/>
        <v>7</v>
      </c>
      <c r="F349" s="13" t="s">
        <v>696</v>
      </c>
      <c r="G349" s="13" t="s">
        <v>11</v>
      </c>
      <c r="H349" s="13" t="s">
        <v>2792</v>
      </c>
    </row>
    <row r="350" spans="1:8" x14ac:dyDescent="0.25">
      <c r="A350" t="s">
        <v>697</v>
      </c>
      <c r="B350" s="15" cm="1">
        <f t="array" ref="B350">_xll.GetPrice("FP-LBR-1283",,"Low",_SPECIFIEDvarPubDate,)</f>
        <v>530</v>
      </c>
      <c r="C350" s="1">
        <f t="shared" si="15"/>
        <v>45848</v>
      </c>
      <c r="D350">
        <f t="shared" si="16"/>
        <v>2025</v>
      </c>
      <c r="E350">
        <f t="shared" si="17"/>
        <v>7</v>
      </c>
      <c r="F350" s="13" t="s">
        <v>698</v>
      </c>
      <c r="G350" s="13" t="s">
        <v>11</v>
      </c>
      <c r="H350" s="13" t="s">
        <v>2792</v>
      </c>
    </row>
    <row r="351" spans="1:8" x14ac:dyDescent="0.25">
      <c r="A351" t="s">
        <v>699</v>
      </c>
      <c r="B351" s="15" cm="1">
        <f t="array" ref="B351">_xll.GetPrice("FP-LBR-1288",,"Low",_SPECIFIEDvarPubDate,)</f>
        <v>665</v>
      </c>
      <c r="C351" s="1">
        <f t="shared" si="15"/>
        <v>45848</v>
      </c>
      <c r="D351">
        <f t="shared" si="16"/>
        <v>2025</v>
      </c>
      <c r="E351">
        <f t="shared" si="17"/>
        <v>7</v>
      </c>
      <c r="F351" s="13" t="s">
        <v>700</v>
      </c>
      <c r="G351" s="13" t="s">
        <v>11</v>
      </c>
      <c r="H351" s="13" t="s">
        <v>2792</v>
      </c>
    </row>
    <row r="352" spans="1:8" x14ac:dyDescent="0.25">
      <c r="A352" t="s">
        <v>701</v>
      </c>
      <c r="B352" s="15" cm="1">
        <f t="array" ref="B352">_xll.GetPrice("FP-LBR-1293",,"Low",_SPECIFIEDvarPubDate,)</f>
        <v>510</v>
      </c>
      <c r="C352" s="1">
        <f t="shared" si="15"/>
        <v>45848</v>
      </c>
      <c r="D352">
        <f t="shared" si="16"/>
        <v>2025</v>
      </c>
      <c r="E352">
        <f t="shared" si="17"/>
        <v>7</v>
      </c>
      <c r="F352" s="13" t="s">
        <v>702</v>
      </c>
      <c r="G352" s="13" t="s">
        <v>11</v>
      </c>
      <c r="H352" s="13" t="s">
        <v>2792</v>
      </c>
    </row>
    <row r="353" spans="1:8" x14ac:dyDescent="0.25">
      <c r="A353" t="s">
        <v>703</v>
      </c>
      <c r="B353" s="15" cm="1">
        <f t="array" ref="B353">_xll.GetPrice("FP-LBR-1342",,"Low",_SPECIFIEDvarPubDate,)</f>
        <v>530</v>
      </c>
      <c r="C353" s="1">
        <f t="shared" si="15"/>
        <v>45848</v>
      </c>
      <c r="D353">
        <f t="shared" si="16"/>
        <v>2025</v>
      </c>
      <c r="E353">
        <f t="shared" si="17"/>
        <v>7</v>
      </c>
      <c r="F353" s="13" t="s">
        <v>704</v>
      </c>
      <c r="G353" s="13" t="s">
        <v>11</v>
      </c>
      <c r="H353" s="13" t="s">
        <v>2792</v>
      </c>
    </row>
    <row r="354" spans="1:8" x14ac:dyDescent="0.25">
      <c r="A354" t="s">
        <v>705</v>
      </c>
      <c r="B354" s="15" cm="1">
        <f t="array" ref="B354">_xll.GetPrice("FP-LBR-1349",,"Low",_SPECIFIEDvarPubDate,)</f>
        <v>500</v>
      </c>
      <c r="C354" s="1">
        <f t="shared" si="15"/>
        <v>45848</v>
      </c>
      <c r="D354">
        <f t="shared" si="16"/>
        <v>2025</v>
      </c>
      <c r="E354">
        <f t="shared" si="17"/>
        <v>7</v>
      </c>
      <c r="F354" s="13" t="s">
        <v>706</v>
      </c>
      <c r="G354" s="13" t="s">
        <v>11</v>
      </c>
      <c r="H354" s="13" t="s">
        <v>2792</v>
      </c>
    </row>
    <row r="355" spans="1:8" x14ac:dyDescent="0.25">
      <c r="A355" t="s">
        <v>707</v>
      </c>
      <c r="B355" s="15" cm="1">
        <f t="array" ref="B355">_xll.GetPrice("FP-LBR-1362",,"Low",_SPECIFIEDvarPubDate,)</f>
        <v>500</v>
      </c>
      <c r="C355" s="1">
        <f t="shared" si="15"/>
        <v>45848</v>
      </c>
      <c r="D355">
        <f t="shared" si="16"/>
        <v>2025</v>
      </c>
      <c r="E355">
        <f t="shared" si="17"/>
        <v>7</v>
      </c>
      <c r="F355" s="13" t="s">
        <v>708</v>
      </c>
      <c r="G355" s="13" t="s">
        <v>11</v>
      </c>
      <c r="H355" s="13" t="s">
        <v>2792</v>
      </c>
    </row>
    <row r="356" spans="1:8" x14ac:dyDescent="0.25">
      <c r="A356" t="s">
        <v>709</v>
      </c>
      <c r="B356" s="15" cm="1">
        <f t="array" ref="B356">_xll.GetPrice("FP-LBR-1375",,"Low",_SPECIFIEDvarPubDate,)</f>
        <v>625</v>
      </c>
      <c r="C356" s="1">
        <f t="shared" si="15"/>
        <v>45848</v>
      </c>
      <c r="D356">
        <f t="shared" si="16"/>
        <v>2025</v>
      </c>
      <c r="E356">
        <f t="shared" si="17"/>
        <v>7</v>
      </c>
      <c r="F356" s="13" t="s">
        <v>710</v>
      </c>
      <c r="G356" s="13" t="s">
        <v>11</v>
      </c>
      <c r="H356" s="13" t="s">
        <v>2792</v>
      </c>
    </row>
    <row r="357" spans="1:8" x14ac:dyDescent="0.25">
      <c r="A357" t="s">
        <v>711</v>
      </c>
      <c r="B357" s="15" cm="1">
        <f t="array" ref="B357">_xll.GetPrice("FP-LBR-1388",,"Low",_SPECIFIEDvarPubDate,)</f>
        <v>610</v>
      </c>
      <c r="C357" s="1">
        <f t="shared" si="15"/>
        <v>45848</v>
      </c>
      <c r="D357">
        <f t="shared" si="16"/>
        <v>2025</v>
      </c>
      <c r="E357">
        <f t="shared" si="17"/>
        <v>7</v>
      </c>
      <c r="F357" s="13" t="s">
        <v>712</v>
      </c>
      <c r="G357" s="13" t="s">
        <v>11</v>
      </c>
      <c r="H357" s="13" t="s">
        <v>2792</v>
      </c>
    </row>
    <row r="358" spans="1:8" x14ac:dyDescent="0.25">
      <c r="A358" t="s">
        <v>713</v>
      </c>
      <c r="B358" s="15" cm="1">
        <f t="array" ref="B358">_xll.GetPrice("FP-LBR-0330",,"Low",_SPECIFIEDvarPubDate,)</f>
        <v>380</v>
      </c>
      <c r="C358" s="1">
        <f t="shared" si="15"/>
        <v>45848</v>
      </c>
      <c r="D358">
        <f t="shared" si="16"/>
        <v>2025</v>
      </c>
      <c r="E358">
        <f t="shared" si="17"/>
        <v>7</v>
      </c>
      <c r="F358" s="13" t="s">
        <v>714</v>
      </c>
      <c r="G358" s="13" t="s">
        <v>11</v>
      </c>
      <c r="H358" s="13" t="s">
        <v>2792</v>
      </c>
    </row>
    <row r="359" spans="1:8" x14ac:dyDescent="0.25">
      <c r="A359" t="s">
        <v>715</v>
      </c>
      <c r="B359" s="15" cm="1">
        <f t="array" ref="B359">_xll.GetPrice("FP-LBR-0337",,"Low",_SPECIFIEDvarPubDate,)</f>
        <v>310</v>
      </c>
      <c r="C359" s="1">
        <f t="shared" si="15"/>
        <v>45848</v>
      </c>
      <c r="D359">
        <f t="shared" si="16"/>
        <v>2025</v>
      </c>
      <c r="E359">
        <f t="shared" si="17"/>
        <v>7</v>
      </c>
      <c r="F359" s="13" t="s">
        <v>716</v>
      </c>
      <c r="G359" s="13" t="s">
        <v>11</v>
      </c>
      <c r="H359" s="13" t="s">
        <v>2792</v>
      </c>
    </row>
    <row r="360" spans="1:8" x14ac:dyDescent="0.25">
      <c r="A360" t="s">
        <v>717</v>
      </c>
      <c r="B360" s="15" cm="1">
        <f t="array" ref="B360">_xll.GetPrice("FP-LBR-0344",,"Low",_SPECIFIEDvarPubDate,)</f>
        <v>320</v>
      </c>
      <c r="C360" s="1">
        <f t="shared" si="15"/>
        <v>45848</v>
      </c>
      <c r="D360">
        <f t="shared" si="16"/>
        <v>2025</v>
      </c>
      <c r="E360">
        <f t="shared" si="17"/>
        <v>7</v>
      </c>
      <c r="F360" s="13" t="s">
        <v>718</v>
      </c>
      <c r="G360" s="13" t="s">
        <v>11</v>
      </c>
      <c r="H360" s="13" t="s">
        <v>2792</v>
      </c>
    </row>
    <row r="361" spans="1:8" x14ac:dyDescent="0.25">
      <c r="A361" t="s">
        <v>719</v>
      </c>
      <c r="B361" s="15" cm="1">
        <f t="array" ref="B361">_xll.GetPrice("FP-LBR-0351",,"Low",_SPECIFIEDvarPubDate,)</f>
        <v>305</v>
      </c>
      <c r="C361" s="1">
        <f t="shared" si="15"/>
        <v>45848</v>
      </c>
      <c r="D361">
        <f t="shared" si="16"/>
        <v>2025</v>
      </c>
      <c r="E361">
        <f t="shared" si="17"/>
        <v>7</v>
      </c>
      <c r="F361" s="13" t="s">
        <v>720</v>
      </c>
      <c r="G361" s="13" t="s">
        <v>11</v>
      </c>
      <c r="H361" s="13" t="s">
        <v>2792</v>
      </c>
    </row>
    <row r="362" spans="1:8" x14ac:dyDescent="0.25">
      <c r="A362" t="s">
        <v>721</v>
      </c>
      <c r="B362" s="15" cm="1">
        <f t="array" ref="B362">_xll.GetPrice("FP-LBR-0358",,"Low",_SPECIFIEDvarPubDate,)</f>
        <v>340</v>
      </c>
      <c r="C362" s="1">
        <f t="shared" si="15"/>
        <v>45848</v>
      </c>
      <c r="D362">
        <f t="shared" si="16"/>
        <v>2025</v>
      </c>
      <c r="E362">
        <f t="shared" si="17"/>
        <v>7</v>
      </c>
      <c r="F362" s="13" t="s">
        <v>722</v>
      </c>
      <c r="G362" s="13" t="s">
        <v>11</v>
      </c>
      <c r="H362" s="13" t="s">
        <v>2792</v>
      </c>
    </row>
    <row r="363" spans="1:8" x14ac:dyDescent="0.25">
      <c r="A363" t="s">
        <v>723</v>
      </c>
      <c r="B363" s="15" cm="1">
        <f t="array" ref="B363">_xll.GetPrice("FP-LBR-0365",,"Low",_SPECIFIEDvarPubDate,)</f>
        <v>325</v>
      </c>
      <c r="C363" s="1">
        <f t="shared" si="15"/>
        <v>45848</v>
      </c>
      <c r="D363">
        <f t="shared" si="16"/>
        <v>2025</v>
      </c>
      <c r="E363">
        <f t="shared" si="17"/>
        <v>7</v>
      </c>
      <c r="F363" s="13" t="s">
        <v>724</v>
      </c>
      <c r="G363" s="13" t="s">
        <v>11</v>
      </c>
      <c r="H363" s="13" t="s">
        <v>2792</v>
      </c>
    </row>
    <row r="364" spans="1:8" x14ac:dyDescent="0.25">
      <c r="A364" t="s">
        <v>725</v>
      </c>
      <c r="B364" s="15" cm="1">
        <f t="array" ref="B364">_xll.GetPrice("FP-LBR-0372",,"Low",_SPECIFIEDvarPubDate,)</f>
        <v>280</v>
      </c>
      <c r="C364" s="1">
        <f t="shared" si="15"/>
        <v>45848</v>
      </c>
      <c r="D364">
        <f t="shared" si="16"/>
        <v>2025</v>
      </c>
      <c r="E364">
        <f t="shared" si="17"/>
        <v>7</v>
      </c>
      <c r="F364" s="13" t="s">
        <v>726</v>
      </c>
      <c r="G364" s="13" t="s">
        <v>11</v>
      </c>
      <c r="H364" s="13" t="s">
        <v>2792</v>
      </c>
    </row>
    <row r="365" spans="1:8" x14ac:dyDescent="0.25">
      <c r="A365" t="s">
        <v>727</v>
      </c>
      <c r="B365" s="15" cm="1">
        <f t="array" ref="B365">_xll.GetPrice("FP-LBR-0379",,"Low",_SPECIFIEDvarPubDate,)</f>
        <v>295</v>
      </c>
      <c r="C365" s="1">
        <f t="shared" si="15"/>
        <v>45848</v>
      </c>
      <c r="D365">
        <f t="shared" si="16"/>
        <v>2025</v>
      </c>
      <c r="E365">
        <f t="shared" si="17"/>
        <v>7</v>
      </c>
      <c r="F365" s="13" t="s">
        <v>728</v>
      </c>
      <c r="G365" s="13" t="s">
        <v>11</v>
      </c>
      <c r="H365" s="13" t="s">
        <v>2792</v>
      </c>
    </row>
    <row r="366" spans="1:8" x14ac:dyDescent="0.25">
      <c r="A366" t="s">
        <v>729</v>
      </c>
      <c r="B366" s="15" cm="1">
        <f t="array" ref="B366">_xll.GetPrice("FP-LBR-0386",,"Low",_SPECIFIEDvarPubDate,)</f>
        <v>250</v>
      </c>
      <c r="C366" s="1">
        <f t="shared" si="15"/>
        <v>45848</v>
      </c>
      <c r="D366">
        <f t="shared" si="16"/>
        <v>2025</v>
      </c>
      <c r="E366">
        <f t="shared" si="17"/>
        <v>7</v>
      </c>
      <c r="F366" s="13" t="s">
        <v>730</v>
      </c>
      <c r="G366" s="13" t="s">
        <v>11</v>
      </c>
      <c r="H366" s="13" t="s">
        <v>2792</v>
      </c>
    </row>
    <row r="367" spans="1:8" x14ac:dyDescent="0.25">
      <c r="A367" t="s">
        <v>731</v>
      </c>
      <c r="B367" s="15" cm="1">
        <f t="array" ref="B367">_xll.GetPrice("FP-LBR-0393",,"Low",_SPECIFIEDvarPubDate,)</f>
        <v>315</v>
      </c>
      <c r="C367" s="1">
        <f t="shared" si="15"/>
        <v>45848</v>
      </c>
      <c r="D367">
        <f t="shared" si="16"/>
        <v>2025</v>
      </c>
      <c r="E367">
        <f t="shared" si="17"/>
        <v>7</v>
      </c>
      <c r="F367" s="13" t="s">
        <v>732</v>
      </c>
      <c r="G367" s="13" t="s">
        <v>11</v>
      </c>
      <c r="H367" s="13" t="s">
        <v>2792</v>
      </c>
    </row>
    <row r="368" spans="1:8" x14ac:dyDescent="0.25">
      <c r="A368" t="s">
        <v>733</v>
      </c>
      <c r="B368" s="15" cm="1">
        <f t="array" ref="B368">_xll.GetPrice("FP-LBR-0397",,"Low",_SPECIFIEDvarPubDate,)</f>
        <v>525</v>
      </c>
      <c r="C368" s="1">
        <f t="shared" si="15"/>
        <v>45848</v>
      </c>
      <c r="D368">
        <f t="shared" si="16"/>
        <v>2025</v>
      </c>
      <c r="E368">
        <f t="shared" si="17"/>
        <v>7</v>
      </c>
      <c r="F368" s="13" t="s">
        <v>734</v>
      </c>
      <c r="G368" s="13" t="s">
        <v>11</v>
      </c>
      <c r="H368" s="13" t="s">
        <v>2792</v>
      </c>
    </row>
    <row r="369" spans="1:8" x14ac:dyDescent="0.25">
      <c r="A369" t="s">
        <v>735</v>
      </c>
      <c r="B369" s="15" cm="1">
        <f t="array" ref="B369">_xll.GetPrice("FP-LBR-0401",,"Low",_SPECIFIEDvarPubDate,)</f>
        <v>930</v>
      </c>
      <c r="C369" s="1">
        <f t="shared" si="15"/>
        <v>45848</v>
      </c>
      <c r="D369">
        <f t="shared" si="16"/>
        <v>2025</v>
      </c>
      <c r="E369">
        <f t="shared" si="17"/>
        <v>7</v>
      </c>
      <c r="F369" s="13" t="s">
        <v>736</v>
      </c>
      <c r="G369" s="13" t="s">
        <v>11</v>
      </c>
      <c r="H369" s="13" t="s">
        <v>2792</v>
      </c>
    </row>
    <row r="370" spans="1:8" x14ac:dyDescent="0.25">
      <c r="A370" t="s">
        <v>737</v>
      </c>
      <c r="B370" s="15" cm="1">
        <f t="array" ref="B370">_xll.GetPrice("FP-LBR-2056",,"Low",_SPECIFIEDvarPubDate,)</f>
        <v>420</v>
      </c>
      <c r="C370" s="1">
        <f t="shared" si="15"/>
        <v>45848</v>
      </c>
      <c r="D370">
        <f t="shared" si="16"/>
        <v>2025</v>
      </c>
      <c r="E370">
        <f t="shared" si="17"/>
        <v>7</v>
      </c>
      <c r="F370" s="13" t="s">
        <v>738</v>
      </c>
      <c r="G370" s="13" t="s">
        <v>11</v>
      </c>
      <c r="H370" s="13" t="s">
        <v>2792</v>
      </c>
    </row>
    <row r="371" spans="1:8" x14ac:dyDescent="0.25">
      <c r="A371" t="s">
        <v>739</v>
      </c>
      <c r="B371" s="15" cm="1">
        <f t="array" ref="B371">_xll.GetPrice("FP-LBR-2063",,"Low",_SPECIFIEDvarPubDate,)</f>
        <v>335</v>
      </c>
      <c r="C371" s="1">
        <f t="shared" si="15"/>
        <v>45848</v>
      </c>
      <c r="D371">
        <f t="shared" si="16"/>
        <v>2025</v>
      </c>
      <c r="E371">
        <f t="shared" si="17"/>
        <v>7</v>
      </c>
      <c r="F371" s="13" t="s">
        <v>740</v>
      </c>
      <c r="G371" s="13" t="s">
        <v>11</v>
      </c>
      <c r="H371" s="13" t="s">
        <v>2792</v>
      </c>
    </row>
    <row r="372" spans="1:8" x14ac:dyDescent="0.25">
      <c r="A372" t="s">
        <v>741</v>
      </c>
      <c r="B372" s="15" cm="1">
        <f t="array" ref="B372">_xll.GetPrice("FP-LBR-2021",,"Low",_SPECIFIEDvarPubDate,)</f>
        <v>390</v>
      </c>
      <c r="C372" s="1">
        <f t="shared" si="15"/>
        <v>45848</v>
      </c>
      <c r="D372">
        <f t="shared" si="16"/>
        <v>2025</v>
      </c>
      <c r="E372">
        <f t="shared" si="17"/>
        <v>7</v>
      </c>
      <c r="F372" s="13" t="s">
        <v>742</v>
      </c>
      <c r="G372" s="13" t="s">
        <v>11</v>
      </c>
      <c r="H372" s="13" t="s">
        <v>2792</v>
      </c>
    </row>
    <row r="373" spans="1:8" x14ac:dyDescent="0.25">
      <c r="A373" t="s">
        <v>743</v>
      </c>
      <c r="B373" s="15" cm="1">
        <f t="array" ref="B373">_xll.GetPrice("FP-LBR-2028",,"Low",_SPECIFIEDvarPubDate,)</f>
        <v>320</v>
      </c>
      <c r="C373" s="1">
        <f t="shared" si="15"/>
        <v>45848</v>
      </c>
      <c r="D373">
        <f t="shared" si="16"/>
        <v>2025</v>
      </c>
      <c r="E373">
        <f t="shared" si="17"/>
        <v>7</v>
      </c>
      <c r="F373" s="13" t="s">
        <v>744</v>
      </c>
      <c r="G373" s="13" t="s">
        <v>11</v>
      </c>
      <c r="H373" s="13" t="s">
        <v>2792</v>
      </c>
    </row>
    <row r="374" spans="1:8" x14ac:dyDescent="0.25">
      <c r="A374" t="s">
        <v>745</v>
      </c>
      <c r="B374" s="15" cm="1">
        <f t="array" ref="B374">_xll.GetPrice("FP-LBR-2035",,"Low",_SPECIFIEDvarPubDate,)</f>
        <v>295</v>
      </c>
      <c r="C374" s="1">
        <f t="shared" si="15"/>
        <v>45848</v>
      </c>
      <c r="D374">
        <f t="shared" si="16"/>
        <v>2025</v>
      </c>
      <c r="E374">
        <f t="shared" si="17"/>
        <v>7</v>
      </c>
      <c r="F374" s="13" t="s">
        <v>746</v>
      </c>
      <c r="G374" s="13" t="s">
        <v>11</v>
      </c>
      <c r="H374" s="13" t="s">
        <v>2792</v>
      </c>
    </row>
    <row r="375" spans="1:8" x14ac:dyDescent="0.25">
      <c r="A375" t="s">
        <v>747</v>
      </c>
      <c r="B375" s="15" cm="1">
        <f t="array" ref="B375">_xll.GetPrice("FP-LBR-2042",,"Low",_SPECIFIEDvarPubDate,)</f>
        <v>290</v>
      </c>
      <c r="C375" s="1">
        <f t="shared" si="15"/>
        <v>45848</v>
      </c>
      <c r="D375">
        <f t="shared" si="16"/>
        <v>2025</v>
      </c>
      <c r="E375">
        <f t="shared" si="17"/>
        <v>7</v>
      </c>
      <c r="F375" s="13" t="s">
        <v>748</v>
      </c>
      <c r="G375" s="13" t="s">
        <v>11</v>
      </c>
      <c r="H375" s="13" t="s">
        <v>2792</v>
      </c>
    </row>
    <row r="376" spans="1:8" x14ac:dyDescent="0.25">
      <c r="A376" t="s">
        <v>749</v>
      </c>
      <c r="B376" s="15" cm="1">
        <f t="array" ref="B376">_xll.GetPrice("FP-LBR-2049",,"Low",_SPECIFIEDvarPubDate,)</f>
        <v>370</v>
      </c>
      <c r="C376" s="1">
        <f t="shared" si="15"/>
        <v>45848</v>
      </c>
      <c r="D376">
        <f t="shared" si="16"/>
        <v>2025</v>
      </c>
      <c r="E376">
        <f t="shared" si="17"/>
        <v>7</v>
      </c>
      <c r="F376" s="13" t="s">
        <v>750</v>
      </c>
      <c r="G376" s="13" t="s">
        <v>11</v>
      </c>
      <c r="H376" s="13" t="s">
        <v>2792</v>
      </c>
    </row>
    <row r="377" spans="1:8" x14ac:dyDescent="0.25">
      <c r="A377" t="s">
        <v>751</v>
      </c>
      <c r="B377" s="15" cm="1">
        <f t="array" ref="B377">_xll.GetPrice("FP-LBR-1343",,"Low",_SPECIFIEDvarPubDate,)</f>
        <v>485</v>
      </c>
      <c r="C377" s="1">
        <f t="shared" si="15"/>
        <v>45848</v>
      </c>
      <c r="D377">
        <f t="shared" si="16"/>
        <v>2025</v>
      </c>
      <c r="E377">
        <f t="shared" si="17"/>
        <v>7</v>
      </c>
      <c r="F377" s="13" t="s">
        <v>752</v>
      </c>
      <c r="G377" s="13" t="s">
        <v>11</v>
      </c>
      <c r="H377" s="13" t="s">
        <v>2792</v>
      </c>
    </row>
    <row r="378" spans="1:8" x14ac:dyDescent="0.25">
      <c r="A378" t="s">
        <v>753</v>
      </c>
      <c r="B378" s="15" cm="1">
        <f t="array" ref="B378">_xll.GetPrice("FP-LBR-1350",,"Low",_SPECIFIEDvarPubDate,)</f>
        <v>425</v>
      </c>
      <c r="C378" s="1">
        <f t="shared" si="15"/>
        <v>45848</v>
      </c>
      <c r="D378">
        <f t="shared" si="16"/>
        <v>2025</v>
      </c>
      <c r="E378">
        <f t="shared" si="17"/>
        <v>7</v>
      </c>
      <c r="F378" s="13" t="s">
        <v>754</v>
      </c>
      <c r="G378" s="13" t="s">
        <v>11</v>
      </c>
      <c r="H378" s="13" t="s">
        <v>2792</v>
      </c>
    </row>
    <row r="379" spans="1:8" x14ac:dyDescent="0.25">
      <c r="A379" t="s">
        <v>755</v>
      </c>
      <c r="B379" s="15" cm="1">
        <f t="array" ref="B379">_xll.GetPrice("FP-LBR-1363",,"Low",_SPECIFIEDvarPubDate,)</f>
        <v>420</v>
      </c>
      <c r="C379" s="1">
        <f t="shared" si="15"/>
        <v>45848</v>
      </c>
      <c r="D379">
        <f t="shared" si="16"/>
        <v>2025</v>
      </c>
      <c r="E379">
        <f t="shared" si="17"/>
        <v>7</v>
      </c>
      <c r="F379" s="13" t="s">
        <v>756</v>
      </c>
      <c r="G379" s="13" t="s">
        <v>11</v>
      </c>
      <c r="H379" s="13" t="s">
        <v>2792</v>
      </c>
    </row>
    <row r="380" spans="1:8" x14ac:dyDescent="0.25">
      <c r="A380" t="s">
        <v>757</v>
      </c>
      <c r="B380" s="15" cm="1">
        <f t="array" ref="B380">_xll.GetPrice("FP-LBR-1376",,"Low",_SPECIFIEDvarPubDate,)</f>
        <v>580</v>
      </c>
      <c r="C380" s="1">
        <f t="shared" si="15"/>
        <v>45848</v>
      </c>
      <c r="D380">
        <f t="shared" si="16"/>
        <v>2025</v>
      </c>
      <c r="E380">
        <f t="shared" si="17"/>
        <v>7</v>
      </c>
      <c r="F380" s="13" t="s">
        <v>758</v>
      </c>
      <c r="G380" s="13" t="s">
        <v>11</v>
      </c>
      <c r="H380" s="13" t="s">
        <v>2792</v>
      </c>
    </row>
    <row r="381" spans="1:8" x14ac:dyDescent="0.25">
      <c r="A381" t="s">
        <v>759</v>
      </c>
      <c r="B381" s="15" cm="1">
        <f t="array" ref="B381">_xll.GetPrice("FP-LBR-1389",,"Low",_SPECIFIEDvarPubDate,)</f>
        <v>530</v>
      </c>
      <c r="C381" s="1">
        <f t="shared" si="15"/>
        <v>45848</v>
      </c>
      <c r="D381">
        <f t="shared" si="16"/>
        <v>2025</v>
      </c>
      <c r="E381">
        <f t="shared" si="17"/>
        <v>7</v>
      </c>
      <c r="F381" s="13" t="s">
        <v>760</v>
      </c>
      <c r="G381" s="13" t="s">
        <v>11</v>
      </c>
      <c r="H381" s="13" t="s">
        <v>2792</v>
      </c>
    </row>
    <row r="382" spans="1:8" x14ac:dyDescent="0.25">
      <c r="A382" t="s">
        <v>761</v>
      </c>
      <c r="B382" s="15" cm="1">
        <f t="array" ref="B382">_xll.GetPrice("FP-LBR-0331",,"Low",_SPECIFIEDvarPubDate,)</f>
        <v>395</v>
      </c>
      <c r="C382" s="1">
        <f t="shared" si="15"/>
        <v>45848</v>
      </c>
      <c r="D382">
        <f t="shared" si="16"/>
        <v>2025</v>
      </c>
      <c r="E382">
        <f t="shared" si="17"/>
        <v>7</v>
      </c>
      <c r="F382" s="13" t="s">
        <v>762</v>
      </c>
      <c r="G382" s="13" t="s">
        <v>11</v>
      </c>
      <c r="H382" s="13" t="s">
        <v>2792</v>
      </c>
    </row>
    <row r="383" spans="1:8" x14ac:dyDescent="0.25">
      <c r="A383" t="s">
        <v>763</v>
      </c>
      <c r="B383" s="15" cm="1">
        <f t="array" ref="B383">_xll.GetPrice("FP-LBR-0338",,"Low",_SPECIFIEDvarPubDate,)</f>
        <v>320</v>
      </c>
      <c r="C383" s="1">
        <f t="shared" si="15"/>
        <v>45848</v>
      </c>
      <c r="D383">
        <f t="shared" si="16"/>
        <v>2025</v>
      </c>
      <c r="E383">
        <f t="shared" si="17"/>
        <v>7</v>
      </c>
      <c r="F383" s="13" t="s">
        <v>764</v>
      </c>
      <c r="G383" s="13" t="s">
        <v>11</v>
      </c>
      <c r="H383" s="13" t="s">
        <v>2792</v>
      </c>
    </row>
    <row r="384" spans="1:8" x14ac:dyDescent="0.25">
      <c r="A384" t="s">
        <v>765</v>
      </c>
      <c r="B384" s="15" cm="1">
        <f t="array" ref="B384">_xll.GetPrice("FP-LBR-0345",,"Low",_SPECIFIEDvarPubDate,)</f>
        <v>340</v>
      </c>
      <c r="C384" s="1">
        <f t="shared" si="15"/>
        <v>45848</v>
      </c>
      <c r="D384">
        <f t="shared" si="16"/>
        <v>2025</v>
      </c>
      <c r="E384">
        <f t="shared" si="17"/>
        <v>7</v>
      </c>
      <c r="F384" s="13" t="s">
        <v>766</v>
      </c>
      <c r="G384" s="13" t="s">
        <v>11</v>
      </c>
      <c r="H384" s="13" t="s">
        <v>2792</v>
      </c>
    </row>
    <row r="385" spans="1:8" x14ac:dyDescent="0.25">
      <c r="A385" t="s">
        <v>767</v>
      </c>
      <c r="B385" s="15" cm="1">
        <f t="array" ref="B385">_xll.GetPrice("FP-LBR-0352",,"Low",_SPECIFIEDvarPubDate,)</f>
        <v>450</v>
      </c>
      <c r="C385" s="1">
        <f t="shared" si="15"/>
        <v>45848</v>
      </c>
      <c r="D385">
        <f t="shared" si="16"/>
        <v>2025</v>
      </c>
      <c r="E385">
        <f t="shared" si="17"/>
        <v>7</v>
      </c>
      <c r="F385" s="13" t="s">
        <v>768</v>
      </c>
      <c r="G385" s="13" t="s">
        <v>11</v>
      </c>
      <c r="H385" s="13" t="s">
        <v>2792</v>
      </c>
    </row>
    <row r="386" spans="1:8" x14ac:dyDescent="0.25">
      <c r="A386" t="s">
        <v>769</v>
      </c>
      <c r="B386" s="15" cm="1">
        <f t="array" ref="B386">_xll.GetPrice("FP-LBR-0359",,"Low",_SPECIFIEDvarPubDate,)</f>
        <v>620</v>
      </c>
      <c r="C386" s="1">
        <f t="shared" ref="C386:C449" si="18">_SPECIFIEDvarPubDate</f>
        <v>45848</v>
      </c>
      <c r="D386">
        <f t="shared" ref="D386:D449" si="19">_SPECIFIEDvarYear</f>
        <v>2025</v>
      </c>
      <c r="E386">
        <f t="shared" ref="E386:E449" si="20">_SPECIFIEDvarMonth</f>
        <v>7</v>
      </c>
      <c r="F386" s="13" t="s">
        <v>770</v>
      </c>
      <c r="G386" s="13" t="s">
        <v>11</v>
      </c>
      <c r="H386" s="13" t="s">
        <v>2792</v>
      </c>
    </row>
    <row r="387" spans="1:8" x14ac:dyDescent="0.25">
      <c r="A387" t="s">
        <v>771</v>
      </c>
      <c r="B387" s="15" cm="1">
        <f t="array" ref="B387">_xll.GetPrice("FP-LBR-0366",,"Low",_SPECIFIEDvarPubDate,)</f>
        <v>330</v>
      </c>
      <c r="C387" s="1">
        <f t="shared" si="18"/>
        <v>45848</v>
      </c>
      <c r="D387">
        <f t="shared" si="19"/>
        <v>2025</v>
      </c>
      <c r="E387">
        <f t="shared" si="20"/>
        <v>7</v>
      </c>
      <c r="F387" s="13" t="s">
        <v>772</v>
      </c>
      <c r="G387" s="13" t="s">
        <v>11</v>
      </c>
      <c r="H387" s="13" t="s">
        <v>2792</v>
      </c>
    </row>
    <row r="388" spans="1:8" x14ac:dyDescent="0.25">
      <c r="A388" t="s">
        <v>773</v>
      </c>
      <c r="B388" s="15" cm="1">
        <f t="array" ref="B388">_xll.GetPrice("FP-LBR-0373",,"Low",_SPECIFIEDvarPubDate,)</f>
        <v>270</v>
      </c>
      <c r="C388" s="1">
        <f t="shared" si="18"/>
        <v>45848</v>
      </c>
      <c r="D388">
        <f t="shared" si="19"/>
        <v>2025</v>
      </c>
      <c r="E388">
        <f t="shared" si="20"/>
        <v>7</v>
      </c>
      <c r="F388" s="13" t="s">
        <v>774</v>
      </c>
      <c r="G388" s="13" t="s">
        <v>11</v>
      </c>
      <c r="H388" s="13" t="s">
        <v>2792</v>
      </c>
    </row>
    <row r="389" spans="1:8" x14ac:dyDescent="0.25">
      <c r="A389" t="s">
        <v>775</v>
      </c>
      <c r="B389" s="15" cm="1">
        <f t="array" ref="B389">_xll.GetPrice("FP-LBR-0380",,"Low",_SPECIFIEDvarPubDate,)</f>
        <v>325</v>
      </c>
      <c r="C389" s="1">
        <f t="shared" si="18"/>
        <v>45848</v>
      </c>
      <c r="D389">
        <f t="shared" si="19"/>
        <v>2025</v>
      </c>
      <c r="E389">
        <f t="shared" si="20"/>
        <v>7</v>
      </c>
      <c r="F389" s="13" t="s">
        <v>776</v>
      </c>
      <c r="G389" s="13" t="s">
        <v>11</v>
      </c>
      <c r="H389" s="13" t="s">
        <v>2792</v>
      </c>
    </row>
    <row r="390" spans="1:8" x14ac:dyDescent="0.25">
      <c r="A390" t="s">
        <v>777</v>
      </c>
      <c r="B390" s="15" cm="1">
        <f t="array" ref="B390">_xll.GetPrice("FP-LBR-0387",,"Low",_SPECIFIEDvarPubDate,)</f>
        <v>275</v>
      </c>
      <c r="C390" s="1">
        <f t="shared" si="18"/>
        <v>45848</v>
      </c>
      <c r="D390">
        <f t="shared" si="19"/>
        <v>2025</v>
      </c>
      <c r="E390">
        <f t="shared" si="20"/>
        <v>7</v>
      </c>
      <c r="F390" s="13" t="s">
        <v>778</v>
      </c>
      <c r="G390" s="13" t="s">
        <v>11</v>
      </c>
      <c r="H390" s="13" t="s">
        <v>2792</v>
      </c>
    </row>
    <row r="391" spans="1:8" x14ac:dyDescent="0.25">
      <c r="A391" t="s">
        <v>779</v>
      </c>
      <c r="B391" s="15" cm="1">
        <f t="array" ref="B391">_xll.GetPrice("FP-LBR-0394",,"Low",_SPECIFIEDvarPubDate,)</f>
        <v>460</v>
      </c>
      <c r="C391" s="1">
        <f t="shared" si="18"/>
        <v>45848</v>
      </c>
      <c r="D391">
        <f t="shared" si="19"/>
        <v>2025</v>
      </c>
      <c r="E391">
        <f t="shared" si="20"/>
        <v>7</v>
      </c>
      <c r="F391" s="13" t="s">
        <v>780</v>
      </c>
      <c r="G391" s="13" t="s">
        <v>11</v>
      </c>
      <c r="H391" s="13" t="s">
        <v>2792</v>
      </c>
    </row>
    <row r="392" spans="1:8" x14ac:dyDescent="0.25">
      <c r="A392" t="s">
        <v>781</v>
      </c>
      <c r="B392" s="15" cm="1">
        <f t="array" ref="B392">_xll.GetPrice("FP-LBR-0398",,"Low",_SPECIFIEDvarPubDate,)</f>
        <v>610</v>
      </c>
      <c r="C392" s="1">
        <f t="shared" si="18"/>
        <v>45848</v>
      </c>
      <c r="D392">
        <f t="shared" si="19"/>
        <v>2025</v>
      </c>
      <c r="E392">
        <f t="shared" si="20"/>
        <v>7</v>
      </c>
      <c r="F392" s="13" t="s">
        <v>782</v>
      </c>
      <c r="G392" s="13" t="s">
        <v>11</v>
      </c>
      <c r="H392" s="13" t="s">
        <v>2792</v>
      </c>
    </row>
    <row r="393" spans="1:8" x14ac:dyDescent="0.25">
      <c r="A393" t="s">
        <v>783</v>
      </c>
      <c r="B393" s="15" cm="1">
        <f t="array" ref="B393">_xll.GetPrice("FP-LBR-0402",,"Low",_SPECIFIEDvarPubDate,)</f>
        <v>950</v>
      </c>
      <c r="C393" s="1">
        <f t="shared" si="18"/>
        <v>45848</v>
      </c>
      <c r="D393">
        <f t="shared" si="19"/>
        <v>2025</v>
      </c>
      <c r="E393">
        <f t="shared" si="20"/>
        <v>7</v>
      </c>
      <c r="F393" s="13" t="s">
        <v>784</v>
      </c>
      <c r="G393" s="13" t="s">
        <v>11</v>
      </c>
      <c r="H393" s="13" t="s">
        <v>2792</v>
      </c>
    </row>
    <row r="394" spans="1:8" x14ac:dyDescent="0.25">
      <c r="A394" t="s">
        <v>785</v>
      </c>
      <c r="B394" s="15" cm="1">
        <f t="array" ref="B394">_xll.GetPrice("FP-LBR-2057",,"Low",_SPECIFIEDvarPubDate,)</f>
        <v>420</v>
      </c>
      <c r="C394" s="1">
        <f t="shared" si="18"/>
        <v>45848</v>
      </c>
      <c r="D394">
        <f t="shared" si="19"/>
        <v>2025</v>
      </c>
      <c r="E394">
        <f t="shared" si="20"/>
        <v>7</v>
      </c>
      <c r="F394" s="13" t="s">
        <v>786</v>
      </c>
      <c r="G394" s="13" t="s">
        <v>11</v>
      </c>
      <c r="H394" s="13" t="s">
        <v>2792</v>
      </c>
    </row>
    <row r="395" spans="1:8" x14ac:dyDescent="0.25">
      <c r="A395" t="s">
        <v>787</v>
      </c>
      <c r="B395" s="15" cm="1">
        <f t="array" ref="B395">_xll.GetPrice("FP-LBR-2064",,"Low",_SPECIFIEDvarPubDate,)</f>
        <v>375</v>
      </c>
      <c r="C395" s="1">
        <f t="shared" si="18"/>
        <v>45848</v>
      </c>
      <c r="D395">
        <f t="shared" si="19"/>
        <v>2025</v>
      </c>
      <c r="E395">
        <f t="shared" si="20"/>
        <v>7</v>
      </c>
      <c r="F395" s="13" t="s">
        <v>788</v>
      </c>
      <c r="G395" s="13" t="s">
        <v>11</v>
      </c>
      <c r="H395" s="13" t="s">
        <v>2792</v>
      </c>
    </row>
    <row r="396" spans="1:8" x14ac:dyDescent="0.25">
      <c r="A396" t="s">
        <v>789</v>
      </c>
      <c r="B396" s="15" cm="1">
        <f t="array" ref="B396">_xll.GetPrice("FP-LBR-2022",,"Low",_SPECIFIEDvarPubDate,)</f>
        <v>400</v>
      </c>
      <c r="C396" s="1">
        <f t="shared" si="18"/>
        <v>45848</v>
      </c>
      <c r="D396">
        <f t="shared" si="19"/>
        <v>2025</v>
      </c>
      <c r="E396">
        <f t="shared" si="20"/>
        <v>7</v>
      </c>
      <c r="F396" s="13" t="s">
        <v>790</v>
      </c>
      <c r="G396" s="13" t="s">
        <v>11</v>
      </c>
      <c r="H396" s="13" t="s">
        <v>2792</v>
      </c>
    </row>
    <row r="397" spans="1:8" x14ac:dyDescent="0.25">
      <c r="A397" t="s">
        <v>791</v>
      </c>
      <c r="B397" s="15" cm="1">
        <f t="array" ref="B397">_xll.GetPrice("FP-LBR-2029",,"Low",_SPECIFIEDvarPubDate,)</f>
        <v>305</v>
      </c>
      <c r="C397" s="1">
        <f t="shared" si="18"/>
        <v>45848</v>
      </c>
      <c r="D397">
        <f t="shared" si="19"/>
        <v>2025</v>
      </c>
      <c r="E397">
        <f t="shared" si="20"/>
        <v>7</v>
      </c>
      <c r="F397" s="13" t="s">
        <v>792</v>
      </c>
      <c r="G397" s="13" t="s">
        <v>11</v>
      </c>
      <c r="H397" s="13" t="s">
        <v>2792</v>
      </c>
    </row>
    <row r="398" spans="1:8" x14ac:dyDescent="0.25">
      <c r="A398" t="s">
        <v>793</v>
      </c>
      <c r="B398" s="15" cm="1">
        <f t="array" ref="B398">_xll.GetPrice("FP-LBR-2036",,"Low",_SPECIFIEDvarPubDate,)</f>
        <v>300</v>
      </c>
      <c r="C398" s="1">
        <f t="shared" si="18"/>
        <v>45848</v>
      </c>
      <c r="D398">
        <f t="shared" si="19"/>
        <v>2025</v>
      </c>
      <c r="E398">
        <f t="shared" si="20"/>
        <v>7</v>
      </c>
      <c r="F398" s="13" t="s">
        <v>794</v>
      </c>
      <c r="G398" s="13" t="s">
        <v>11</v>
      </c>
      <c r="H398" s="13" t="s">
        <v>2792</v>
      </c>
    </row>
    <row r="399" spans="1:8" x14ac:dyDescent="0.25">
      <c r="A399" t="s">
        <v>795</v>
      </c>
      <c r="B399" s="15" cm="1">
        <f t="array" ref="B399">_xll.GetPrice("FP-LBR-2043",,"Low",_SPECIFIEDvarPubDate,)</f>
        <v>350</v>
      </c>
      <c r="C399" s="1">
        <f t="shared" si="18"/>
        <v>45848</v>
      </c>
      <c r="D399">
        <f t="shared" si="19"/>
        <v>2025</v>
      </c>
      <c r="E399">
        <f t="shared" si="20"/>
        <v>7</v>
      </c>
      <c r="F399" s="13" t="s">
        <v>796</v>
      </c>
      <c r="G399" s="13" t="s">
        <v>11</v>
      </c>
      <c r="H399" s="13" t="s">
        <v>2792</v>
      </c>
    </row>
    <row r="400" spans="1:8" x14ac:dyDescent="0.25">
      <c r="A400" t="s">
        <v>797</v>
      </c>
      <c r="B400" s="15" cm="1">
        <f t="array" ref="B400">_xll.GetPrice("FP-LBR-2050",,"Low",_SPECIFIEDvarPubDate,)</f>
        <v>480</v>
      </c>
      <c r="C400" s="1">
        <f t="shared" si="18"/>
        <v>45848</v>
      </c>
      <c r="D400">
        <f t="shared" si="19"/>
        <v>2025</v>
      </c>
      <c r="E400">
        <f t="shared" si="20"/>
        <v>7</v>
      </c>
      <c r="F400" s="13" t="s">
        <v>798</v>
      </c>
      <c r="G400" s="13" t="s">
        <v>11</v>
      </c>
      <c r="H400" s="13" t="s">
        <v>2792</v>
      </c>
    </row>
    <row r="401" spans="1:8" x14ac:dyDescent="0.25">
      <c r="A401" t="s">
        <v>799</v>
      </c>
      <c r="B401" s="15" cm="1">
        <f t="array" ref="B401">_xll.GetPrice("FP-LBR-1344",,"Low",_SPECIFIEDvarPubDate,)</f>
        <v>520</v>
      </c>
      <c r="C401" s="1">
        <f t="shared" si="18"/>
        <v>45848</v>
      </c>
      <c r="D401">
        <f t="shared" si="19"/>
        <v>2025</v>
      </c>
      <c r="E401">
        <f t="shared" si="20"/>
        <v>7</v>
      </c>
      <c r="F401" s="13" t="s">
        <v>800</v>
      </c>
      <c r="G401" s="13" t="s">
        <v>11</v>
      </c>
      <c r="H401" s="13" t="s">
        <v>2792</v>
      </c>
    </row>
    <row r="402" spans="1:8" x14ac:dyDescent="0.25">
      <c r="A402" t="s">
        <v>801</v>
      </c>
      <c r="B402" s="15" cm="1">
        <f t="array" ref="B402">_xll.GetPrice("FP-LBR-1351",,"Low",_SPECIFIEDvarPubDate,)</f>
        <v>495</v>
      </c>
      <c r="C402" s="1">
        <f t="shared" si="18"/>
        <v>45848</v>
      </c>
      <c r="D402">
        <f t="shared" si="19"/>
        <v>2025</v>
      </c>
      <c r="E402">
        <f t="shared" si="20"/>
        <v>7</v>
      </c>
      <c r="F402" s="13" t="s">
        <v>802</v>
      </c>
      <c r="G402" s="13" t="s">
        <v>11</v>
      </c>
      <c r="H402" s="13" t="s">
        <v>2792</v>
      </c>
    </row>
    <row r="403" spans="1:8" x14ac:dyDescent="0.25">
      <c r="A403" t="s">
        <v>803</v>
      </c>
      <c r="B403" s="15" cm="1">
        <f t="array" ref="B403">_xll.GetPrice("FP-LBR-1364",,"Low",_SPECIFIEDvarPubDate,)</f>
        <v>490</v>
      </c>
      <c r="C403" s="1">
        <f t="shared" si="18"/>
        <v>45848</v>
      </c>
      <c r="D403">
        <f t="shared" si="19"/>
        <v>2025</v>
      </c>
      <c r="E403">
        <f t="shared" si="20"/>
        <v>7</v>
      </c>
      <c r="F403" s="13" t="s">
        <v>804</v>
      </c>
      <c r="G403" s="13" t="s">
        <v>11</v>
      </c>
      <c r="H403" s="13" t="s">
        <v>2792</v>
      </c>
    </row>
    <row r="404" spans="1:8" x14ac:dyDescent="0.25">
      <c r="A404" t="s">
        <v>805</v>
      </c>
      <c r="B404" s="15" cm="1">
        <f t="array" ref="B404">_xll.GetPrice("FP-LBR-1377",,"Low",_SPECIFIEDvarPubDate,)</f>
        <v>580</v>
      </c>
      <c r="C404" s="1">
        <f t="shared" si="18"/>
        <v>45848</v>
      </c>
      <c r="D404">
        <f t="shared" si="19"/>
        <v>2025</v>
      </c>
      <c r="E404">
        <f t="shared" si="20"/>
        <v>7</v>
      </c>
      <c r="F404" s="13" t="s">
        <v>806</v>
      </c>
      <c r="G404" s="13" t="s">
        <v>11</v>
      </c>
      <c r="H404" s="13" t="s">
        <v>2792</v>
      </c>
    </row>
    <row r="405" spans="1:8" x14ac:dyDescent="0.25">
      <c r="A405" t="s">
        <v>807</v>
      </c>
      <c r="B405" s="15" cm="1">
        <f t="array" ref="B405">_xll.GetPrice("FP-LBR-1390",,"Low",_SPECIFIEDvarPubDate,)</f>
        <v>710</v>
      </c>
      <c r="C405" s="1">
        <f t="shared" si="18"/>
        <v>45848</v>
      </c>
      <c r="D405">
        <f t="shared" si="19"/>
        <v>2025</v>
      </c>
      <c r="E405">
        <f t="shared" si="20"/>
        <v>7</v>
      </c>
      <c r="F405" s="13" t="s">
        <v>808</v>
      </c>
      <c r="G405" s="13" t="s">
        <v>11</v>
      </c>
      <c r="H405" s="13" t="s">
        <v>2792</v>
      </c>
    </row>
    <row r="406" spans="1:8" x14ac:dyDescent="0.25">
      <c r="A406" t="s">
        <v>809</v>
      </c>
      <c r="B406" s="15" cm="1">
        <f t="array" ref="B406">_xll.GetPrice("FP-LBR-1352",,"Low",_SPECIFIEDvarPubDate,)</f>
        <v>635</v>
      </c>
      <c r="C406" s="1">
        <f t="shared" si="18"/>
        <v>45848</v>
      </c>
      <c r="D406">
        <f t="shared" si="19"/>
        <v>2025</v>
      </c>
      <c r="E406">
        <f t="shared" si="20"/>
        <v>7</v>
      </c>
      <c r="F406" s="13" t="s">
        <v>810</v>
      </c>
      <c r="G406" s="13" t="s">
        <v>11</v>
      </c>
      <c r="H406" s="13" t="s">
        <v>2792</v>
      </c>
    </row>
    <row r="407" spans="1:8" x14ac:dyDescent="0.25">
      <c r="A407" t="s">
        <v>811</v>
      </c>
      <c r="B407" s="15" cm="1">
        <f t="array" ref="B407">_xll.GetPrice("FP-LBR-1365",,"Low",_SPECIFIEDvarPubDate,)</f>
        <v>690</v>
      </c>
      <c r="C407" s="1">
        <f t="shared" si="18"/>
        <v>45848</v>
      </c>
      <c r="D407">
        <f t="shared" si="19"/>
        <v>2025</v>
      </c>
      <c r="E407">
        <f t="shared" si="20"/>
        <v>7</v>
      </c>
      <c r="F407" s="13" t="s">
        <v>812</v>
      </c>
      <c r="G407" s="13" t="s">
        <v>11</v>
      </c>
      <c r="H407" s="13" t="s">
        <v>2792</v>
      </c>
    </row>
    <row r="408" spans="1:8" x14ac:dyDescent="0.25">
      <c r="A408" t="s">
        <v>813</v>
      </c>
      <c r="B408" s="15" cm="1">
        <f t="array" ref="B408">_xll.GetPrice("FP-LBR-1378",,"Low",_SPECIFIEDvarPubDate,)</f>
        <v>650</v>
      </c>
      <c r="C408" s="1">
        <f t="shared" si="18"/>
        <v>45848</v>
      </c>
      <c r="D408">
        <f t="shared" si="19"/>
        <v>2025</v>
      </c>
      <c r="E408">
        <f t="shared" si="20"/>
        <v>7</v>
      </c>
      <c r="F408" s="13" t="s">
        <v>814</v>
      </c>
      <c r="G408" s="13" t="s">
        <v>11</v>
      </c>
      <c r="H408" s="13" t="s">
        <v>2792</v>
      </c>
    </row>
    <row r="409" spans="1:8" x14ac:dyDescent="0.25">
      <c r="A409" t="s">
        <v>815</v>
      </c>
      <c r="B409" s="15" cm="1">
        <f t="array" ref="B409">_xll.GetPrice("FP-LBR-1391",,"Low",_SPECIFIEDvarPubDate,)</f>
        <v>975</v>
      </c>
      <c r="C409" s="1">
        <f t="shared" si="18"/>
        <v>45848</v>
      </c>
      <c r="D409">
        <f t="shared" si="19"/>
        <v>2025</v>
      </c>
      <c r="E409">
        <f t="shared" si="20"/>
        <v>7</v>
      </c>
      <c r="F409" s="13" t="s">
        <v>816</v>
      </c>
      <c r="G409" s="13" t="s">
        <v>11</v>
      </c>
      <c r="H409" s="13" t="s">
        <v>2792</v>
      </c>
    </row>
    <row r="410" spans="1:8" x14ac:dyDescent="0.25">
      <c r="A410" t="s">
        <v>817</v>
      </c>
      <c r="B410" s="15" cm="1">
        <f t="array" ref="B410">_xll.GetPrice("FP-LBR-0432",,"Low",_SPECIFIEDvarPubDate,)</f>
        <v>855</v>
      </c>
      <c r="C410" s="1">
        <f t="shared" si="18"/>
        <v>45848</v>
      </c>
      <c r="D410">
        <f t="shared" si="19"/>
        <v>2025</v>
      </c>
      <c r="E410">
        <f t="shared" si="20"/>
        <v>7</v>
      </c>
      <c r="F410" s="13" t="s">
        <v>818</v>
      </c>
      <c r="G410" s="13" t="s">
        <v>11</v>
      </c>
      <c r="H410" s="13" t="s">
        <v>2792</v>
      </c>
    </row>
    <row r="411" spans="1:8" x14ac:dyDescent="0.25">
      <c r="A411" t="s">
        <v>819</v>
      </c>
      <c r="B411" s="15" cm="1">
        <f t="array" ref="B411">_xll.GetPrice("FP-LBR-1923",,"Low",_SPECIFIEDvarPubDate,)</f>
        <v>600</v>
      </c>
      <c r="C411" s="1">
        <f t="shared" si="18"/>
        <v>45848</v>
      </c>
      <c r="D411">
        <f t="shared" si="19"/>
        <v>2025</v>
      </c>
      <c r="E411">
        <f t="shared" si="20"/>
        <v>7</v>
      </c>
      <c r="F411" s="13" t="s">
        <v>820</v>
      </c>
      <c r="G411" s="13" t="s">
        <v>11</v>
      </c>
      <c r="H411" s="13" t="s">
        <v>2792</v>
      </c>
    </row>
    <row r="412" spans="1:8" x14ac:dyDescent="0.25">
      <c r="A412" t="s">
        <v>821</v>
      </c>
      <c r="B412" s="15" cm="1">
        <f t="array" ref="B412">_xll.GetPrice("FP-LBR-1922",,"Low",_SPECIFIEDvarPubDate,)</f>
        <v>605</v>
      </c>
      <c r="C412" s="1">
        <f t="shared" si="18"/>
        <v>45848</v>
      </c>
      <c r="D412">
        <f t="shared" si="19"/>
        <v>2025</v>
      </c>
      <c r="E412">
        <f t="shared" si="20"/>
        <v>7</v>
      </c>
      <c r="F412" s="13" t="s">
        <v>822</v>
      </c>
      <c r="G412" s="13" t="s">
        <v>11</v>
      </c>
      <c r="H412" s="13" t="s">
        <v>2792</v>
      </c>
    </row>
    <row r="413" spans="1:8" x14ac:dyDescent="0.25">
      <c r="A413" t="s">
        <v>823</v>
      </c>
      <c r="B413" s="15" cm="1">
        <f t="array" ref="B413">_xll.GetPrice("FP-LBR-1353",,"Low",_SPECIFIEDvarPubDate,)</f>
        <v>630</v>
      </c>
      <c r="C413" s="1">
        <f t="shared" si="18"/>
        <v>45848</v>
      </c>
      <c r="D413">
        <f t="shared" si="19"/>
        <v>2025</v>
      </c>
      <c r="E413">
        <f t="shared" si="20"/>
        <v>7</v>
      </c>
      <c r="F413" s="13" t="s">
        <v>824</v>
      </c>
      <c r="G413" s="13" t="s">
        <v>11</v>
      </c>
      <c r="H413" s="13" t="s">
        <v>2792</v>
      </c>
    </row>
    <row r="414" spans="1:8" x14ac:dyDescent="0.25">
      <c r="A414" t="s">
        <v>825</v>
      </c>
      <c r="B414" s="15" cm="1">
        <f t="array" ref="B414">_xll.GetPrice("FP-LBR-1366",,"Low",_SPECIFIEDvarPubDate,)</f>
        <v>700</v>
      </c>
      <c r="C414" s="1">
        <f t="shared" si="18"/>
        <v>45848</v>
      </c>
      <c r="D414">
        <f t="shared" si="19"/>
        <v>2025</v>
      </c>
      <c r="E414">
        <f t="shared" si="20"/>
        <v>7</v>
      </c>
      <c r="F414" s="13" t="s">
        <v>826</v>
      </c>
      <c r="G414" s="13" t="s">
        <v>11</v>
      </c>
      <c r="H414" s="13" t="s">
        <v>2792</v>
      </c>
    </row>
    <row r="415" spans="1:8" x14ac:dyDescent="0.25">
      <c r="A415" t="s">
        <v>827</v>
      </c>
      <c r="B415" s="15" cm="1">
        <f t="array" ref="B415">_xll.GetPrice("FP-LBR-1379",,"Low",_SPECIFIEDvarPubDate,)</f>
        <v>640</v>
      </c>
      <c r="C415" s="1">
        <f t="shared" si="18"/>
        <v>45848</v>
      </c>
      <c r="D415">
        <f t="shared" si="19"/>
        <v>2025</v>
      </c>
      <c r="E415">
        <f t="shared" si="20"/>
        <v>7</v>
      </c>
      <c r="F415" s="13" t="s">
        <v>828</v>
      </c>
      <c r="G415" s="13" t="s">
        <v>11</v>
      </c>
      <c r="H415" s="13" t="s">
        <v>2792</v>
      </c>
    </row>
    <row r="416" spans="1:8" x14ac:dyDescent="0.25">
      <c r="A416" t="s">
        <v>829</v>
      </c>
      <c r="B416" s="15" cm="1">
        <f t="array" ref="B416">_xll.GetPrice("FP-LBR-1356",,"Low",_SPECIFIEDvarPubDate,)</f>
        <v>965</v>
      </c>
      <c r="C416" s="1">
        <f t="shared" si="18"/>
        <v>45848</v>
      </c>
      <c r="D416">
        <f t="shared" si="19"/>
        <v>2025</v>
      </c>
      <c r="E416">
        <f t="shared" si="20"/>
        <v>7</v>
      </c>
      <c r="F416" s="13" t="s">
        <v>830</v>
      </c>
      <c r="G416" s="13" t="s">
        <v>11</v>
      </c>
      <c r="H416" s="13" t="s">
        <v>2792</v>
      </c>
    </row>
    <row r="417" spans="1:8" x14ac:dyDescent="0.25">
      <c r="A417" t="s">
        <v>831</v>
      </c>
      <c r="B417" s="15" cm="1">
        <f t="array" ref="B417">_xll.GetPrice("FP-LBR-1959",,"Low",_SPECIFIEDvarPubDate,)</f>
        <v>510</v>
      </c>
      <c r="C417" s="1">
        <f t="shared" si="18"/>
        <v>45848</v>
      </c>
      <c r="D417">
        <f t="shared" si="19"/>
        <v>2025</v>
      </c>
      <c r="E417">
        <f t="shared" si="20"/>
        <v>7</v>
      </c>
      <c r="F417" s="13" t="s">
        <v>832</v>
      </c>
      <c r="G417" s="13" t="s">
        <v>11</v>
      </c>
      <c r="H417" s="13" t="s">
        <v>2792</v>
      </c>
    </row>
    <row r="418" spans="1:8" x14ac:dyDescent="0.25">
      <c r="A418" t="s">
        <v>833</v>
      </c>
      <c r="B418" s="15" cm="1">
        <f t="array" ref="B418">_xll.GetPrice("FP-LBR-1958",,"Low",_SPECIFIEDvarPubDate,)</f>
        <v>514</v>
      </c>
      <c r="C418" s="1">
        <f t="shared" si="18"/>
        <v>45848</v>
      </c>
      <c r="D418">
        <f t="shared" si="19"/>
        <v>2025</v>
      </c>
      <c r="E418">
        <f t="shared" si="20"/>
        <v>7</v>
      </c>
      <c r="F418" s="13" t="s">
        <v>834</v>
      </c>
      <c r="G418" s="13" t="s">
        <v>11</v>
      </c>
      <c r="H418" s="13" t="s">
        <v>2792</v>
      </c>
    </row>
    <row r="419" spans="1:8" x14ac:dyDescent="0.25">
      <c r="A419" t="s">
        <v>835</v>
      </c>
      <c r="B419" s="15" cm="1">
        <f t="array" ref="B419">_xll.GetPrice("FP-LBR-2129",,"Low",_SPECIFIEDvarPubDate,)</f>
        <v>425</v>
      </c>
      <c r="C419" s="1">
        <f t="shared" si="18"/>
        <v>45848</v>
      </c>
      <c r="D419">
        <f t="shared" si="19"/>
        <v>2025</v>
      </c>
      <c r="E419">
        <f t="shared" si="20"/>
        <v>7</v>
      </c>
      <c r="F419" s="13" t="s">
        <v>836</v>
      </c>
      <c r="G419" s="13" t="s">
        <v>11</v>
      </c>
      <c r="H419" s="13" t="s">
        <v>2792</v>
      </c>
    </row>
    <row r="420" spans="1:8" x14ac:dyDescent="0.25">
      <c r="A420" t="s">
        <v>837</v>
      </c>
      <c r="B420" s="15" cm="1">
        <f t="array" ref="B420">_xll.GetPrice("FP-LBR-2136",,"Low",_SPECIFIEDvarPubDate,)</f>
        <v>310</v>
      </c>
      <c r="C420" s="1">
        <f t="shared" si="18"/>
        <v>45848</v>
      </c>
      <c r="D420">
        <f t="shared" si="19"/>
        <v>2025</v>
      </c>
      <c r="E420">
        <f t="shared" si="20"/>
        <v>7</v>
      </c>
      <c r="F420" s="13" t="s">
        <v>838</v>
      </c>
      <c r="G420" s="13" t="s">
        <v>11</v>
      </c>
      <c r="H420" s="13" t="s">
        <v>2792</v>
      </c>
    </row>
    <row r="421" spans="1:8" x14ac:dyDescent="0.25">
      <c r="A421" t="s">
        <v>839</v>
      </c>
      <c r="B421" s="15" cm="1">
        <f t="array" ref="B421">_xll.GetPrice("FP-LBR-2143",,"Low",_SPECIFIEDvarPubDate,)</f>
        <v>335</v>
      </c>
      <c r="C421" s="1">
        <f t="shared" si="18"/>
        <v>45848</v>
      </c>
      <c r="D421">
        <f t="shared" si="19"/>
        <v>2025</v>
      </c>
      <c r="E421">
        <f t="shared" si="20"/>
        <v>7</v>
      </c>
      <c r="F421" s="13" t="s">
        <v>840</v>
      </c>
      <c r="G421" s="13" t="s">
        <v>11</v>
      </c>
      <c r="H421" s="13" t="s">
        <v>2792</v>
      </c>
    </row>
    <row r="422" spans="1:8" x14ac:dyDescent="0.25">
      <c r="A422" t="s">
        <v>841</v>
      </c>
      <c r="B422" s="15" cm="1">
        <f t="array" ref="B422">_xll.GetPrice("FP-LBR-2150",,"Low",_SPECIFIEDvarPubDate,)</f>
        <v>365</v>
      </c>
      <c r="C422" s="1">
        <f t="shared" si="18"/>
        <v>45848</v>
      </c>
      <c r="D422">
        <f t="shared" si="19"/>
        <v>2025</v>
      </c>
      <c r="E422">
        <f t="shared" si="20"/>
        <v>7</v>
      </c>
      <c r="F422" s="13" t="s">
        <v>842</v>
      </c>
      <c r="G422" s="13" t="s">
        <v>11</v>
      </c>
      <c r="H422" s="13" t="s">
        <v>2792</v>
      </c>
    </row>
    <row r="423" spans="1:8" x14ac:dyDescent="0.25">
      <c r="A423" t="s">
        <v>843</v>
      </c>
      <c r="B423" s="15" cm="1">
        <f t="array" ref="B423">_xll.GetPrice("FP-LBR-2157",,"Low",_SPECIFIEDvarPubDate,)</f>
        <v>425</v>
      </c>
      <c r="C423" s="1">
        <f t="shared" si="18"/>
        <v>45848</v>
      </c>
      <c r="D423">
        <f t="shared" si="19"/>
        <v>2025</v>
      </c>
      <c r="E423">
        <f t="shared" si="20"/>
        <v>7</v>
      </c>
      <c r="F423" s="13" t="s">
        <v>844</v>
      </c>
      <c r="G423" s="13" t="s">
        <v>11</v>
      </c>
      <c r="H423" s="13" t="s">
        <v>2792</v>
      </c>
    </row>
    <row r="424" spans="1:8" x14ac:dyDescent="0.25">
      <c r="A424" t="s">
        <v>845</v>
      </c>
      <c r="B424" s="15" cm="1">
        <f t="array" ref="B424">_xll.GetPrice("FP-LBR-2086",,"Low",_SPECIFIEDvarPubDate,)</f>
        <v>370</v>
      </c>
      <c r="C424" s="1">
        <f t="shared" si="18"/>
        <v>45848</v>
      </c>
      <c r="D424">
        <f t="shared" si="19"/>
        <v>2025</v>
      </c>
      <c r="E424">
        <f t="shared" si="20"/>
        <v>7</v>
      </c>
      <c r="F424" s="13" t="s">
        <v>846</v>
      </c>
      <c r="G424" s="13" t="s">
        <v>11</v>
      </c>
      <c r="H424" s="13" t="s">
        <v>2792</v>
      </c>
    </row>
    <row r="425" spans="1:8" x14ac:dyDescent="0.25">
      <c r="A425" t="s">
        <v>847</v>
      </c>
      <c r="B425" s="15" cm="1">
        <f t="array" ref="B425">_xll.GetPrice("FP-LBR-2093",,"Low",_SPECIFIEDvarPubDate,)</f>
        <v>280</v>
      </c>
      <c r="C425" s="1">
        <f t="shared" si="18"/>
        <v>45848</v>
      </c>
      <c r="D425">
        <f t="shared" si="19"/>
        <v>2025</v>
      </c>
      <c r="E425">
        <f t="shared" si="20"/>
        <v>7</v>
      </c>
      <c r="F425" s="13" t="s">
        <v>848</v>
      </c>
      <c r="G425" s="13" t="s">
        <v>11</v>
      </c>
      <c r="H425" s="13" t="s">
        <v>2792</v>
      </c>
    </row>
    <row r="426" spans="1:8" x14ac:dyDescent="0.25">
      <c r="A426" t="s">
        <v>849</v>
      </c>
      <c r="B426" s="15" cm="1">
        <f t="array" ref="B426">_xll.GetPrice("FP-LBR-2102",,"Low",_SPECIFIEDvarPubDate,)</f>
        <v>285</v>
      </c>
      <c r="C426" s="1">
        <f t="shared" si="18"/>
        <v>45848</v>
      </c>
      <c r="D426">
        <f t="shared" si="19"/>
        <v>2025</v>
      </c>
      <c r="E426">
        <f t="shared" si="20"/>
        <v>7</v>
      </c>
      <c r="F426" s="13" t="s">
        <v>850</v>
      </c>
      <c r="G426" s="13" t="s">
        <v>11</v>
      </c>
      <c r="H426" s="13" t="s">
        <v>2792</v>
      </c>
    </row>
    <row r="427" spans="1:8" x14ac:dyDescent="0.25">
      <c r="A427" t="s">
        <v>851</v>
      </c>
      <c r="B427" s="15" cm="1">
        <f t="array" ref="B427">_xll.GetPrice("FP-LBR-2111",,"Low",_SPECIFIEDvarPubDate,)</f>
        <v>250</v>
      </c>
      <c r="C427" s="1">
        <f t="shared" si="18"/>
        <v>45848</v>
      </c>
      <c r="D427">
        <f t="shared" si="19"/>
        <v>2025</v>
      </c>
      <c r="E427">
        <f t="shared" si="20"/>
        <v>7</v>
      </c>
      <c r="F427" s="13" t="s">
        <v>852</v>
      </c>
      <c r="G427" s="13" t="s">
        <v>11</v>
      </c>
      <c r="H427" s="13" t="s">
        <v>2792</v>
      </c>
    </row>
    <row r="428" spans="1:8" x14ac:dyDescent="0.25">
      <c r="A428" t="s">
        <v>853</v>
      </c>
      <c r="B428" s="15" cm="1">
        <f t="array" ref="B428">_xll.GetPrice("FP-LBR-2120",,"Low",_SPECIFIEDvarPubDate,)</f>
        <v>275</v>
      </c>
      <c r="C428" s="1">
        <f t="shared" si="18"/>
        <v>45848</v>
      </c>
      <c r="D428">
        <f t="shared" si="19"/>
        <v>2025</v>
      </c>
      <c r="E428">
        <f t="shared" si="20"/>
        <v>7</v>
      </c>
      <c r="F428" s="13" t="s">
        <v>854</v>
      </c>
      <c r="G428" s="13" t="s">
        <v>11</v>
      </c>
      <c r="H428" s="13" t="s">
        <v>2792</v>
      </c>
    </row>
    <row r="429" spans="1:8" x14ac:dyDescent="0.25">
      <c r="A429" t="s">
        <v>855</v>
      </c>
      <c r="B429" s="15" cm="1">
        <f t="array" ref="B429">_xll.GetPrice("FP-LBR-0192",,"Low",_SPECIFIEDvarPubDate,)</f>
        <v>320</v>
      </c>
      <c r="C429" s="1">
        <f t="shared" si="18"/>
        <v>45848</v>
      </c>
      <c r="D429">
        <f t="shared" si="19"/>
        <v>2025</v>
      </c>
      <c r="E429">
        <f t="shared" si="20"/>
        <v>7</v>
      </c>
      <c r="F429" s="13" t="s">
        <v>856</v>
      </c>
      <c r="G429" s="13" t="s">
        <v>11</v>
      </c>
      <c r="H429" s="13" t="s">
        <v>2792</v>
      </c>
    </row>
    <row r="430" spans="1:8" x14ac:dyDescent="0.25">
      <c r="A430" t="s">
        <v>857</v>
      </c>
      <c r="B430" s="15" cm="1">
        <f t="array" ref="B430">_xll.GetPrice("FP-LBR-0201",,"Low",_SPECIFIEDvarPubDate,)</f>
        <v>280</v>
      </c>
      <c r="C430" s="1">
        <f t="shared" si="18"/>
        <v>45848</v>
      </c>
      <c r="D430">
        <f t="shared" si="19"/>
        <v>2025</v>
      </c>
      <c r="E430">
        <f t="shared" si="20"/>
        <v>7</v>
      </c>
      <c r="F430" s="13" t="s">
        <v>858</v>
      </c>
      <c r="G430" s="13" t="s">
        <v>11</v>
      </c>
      <c r="H430" s="13" t="s">
        <v>2792</v>
      </c>
    </row>
    <row r="431" spans="1:8" x14ac:dyDescent="0.25">
      <c r="A431" t="s">
        <v>859</v>
      </c>
      <c r="B431" s="15" cm="1">
        <f t="array" ref="B431">_xll.GetPrice("FP-LBR-0210",,"Low",_SPECIFIEDvarPubDate,)</f>
        <v>265</v>
      </c>
      <c r="C431" s="1">
        <f t="shared" si="18"/>
        <v>45848</v>
      </c>
      <c r="D431">
        <f t="shared" si="19"/>
        <v>2025</v>
      </c>
      <c r="E431">
        <f t="shared" si="20"/>
        <v>7</v>
      </c>
      <c r="F431" s="13" t="s">
        <v>860</v>
      </c>
      <c r="G431" s="13" t="s">
        <v>11</v>
      </c>
      <c r="H431" s="13" t="s">
        <v>2792</v>
      </c>
    </row>
    <row r="432" spans="1:8" x14ac:dyDescent="0.25">
      <c r="A432" t="s">
        <v>861</v>
      </c>
      <c r="B432" s="15" cm="1">
        <f t="array" ref="B432">_xll.GetPrice("FP-LBR-0219",,"Low",_SPECIFIEDvarPubDate,)</f>
        <v>280</v>
      </c>
      <c r="C432" s="1">
        <f t="shared" si="18"/>
        <v>45848</v>
      </c>
      <c r="D432">
        <f t="shared" si="19"/>
        <v>2025</v>
      </c>
      <c r="E432">
        <f t="shared" si="20"/>
        <v>7</v>
      </c>
      <c r="F432" s="13" t="s">
        <v>862</v>
      </c>
      <c r="G432" s="13" t="s">
        <v>11</v>
      </c>
      <c r="H432" s="13" t="s">
        <v>2792</v>
      </c>
    </row>
    <row r="433" spans="1:8" x14ac:dyDescent="0.25">
      <c r="A433" t="s">
        <v>863</v>
      </c>
      <c r="B433" s="15" cm="1">
        <f t="array" ref="B433">_xll.GetPrice("FP-LBR-1354",,"Low",_SPECIFIEDvarPubDate,)</f>
        <v>1485</v>
      </c>
      <c r="C433" s="1">
        <f t="shared" si="18"/>
        <v>45848</v>
      </c>
      <c r="D433">
        <f t="shared" si="19"/>
        <v>2025</v>
      </c>
      <c r="E433">
        <f t="shared" si="20"/>
        <v>7</v>
      </c>
      <c r="F433" s="13" t="s">
        <v>864</v>
      </c>
      <c r="G433" s="13" t="s">
        <v>11</v>
      </c>
      <c r="H433" s="13" t="s">
        <v>2792</v>
      </c>
    </row>
    <row r="434" spans="1:8" x14ac:dyDescent="0.25">
      <c r="A434" t="s">
        <v>865</v>
      </c>
      <c r="B434" s="15" cm="1">
        <f t="array" ref="B434">_xll.GetPrice("FP-LBR-1367",,"Low",_SPECIFIEDvarPubDate,)</f>
        <v>1025</v>
      </c>
      <c r="C434" s="1">
        <f t="shared" si="18"/>
        <v>45848</v>
      </c>
      <c r="D434">
        <f t="shared" si="19"/>
        <v>2025</v>
      </c>
      <c r="E434">
        <f t="shared" si="20"/>
        <v>7</v>
      </c>
      <c r="F434" s="13" t="s">
        <v>866</v>
      </c>
      <c r="G434" s="13" t="s">
        <v>11</v>
      </c>
      <c r="H434" s="13" t="s">
        <v>2792</v>
      </c>
    </row>
    <row r="435" spans="1:8" x14ac:dyDescent="0.25">
      <c r="A435" t="s">
        <v>867</v>
      </c>
      <c r="B435" s="15" cm="1">
        <f t="array" ref="B435">_xll.GetPrice("FP-LBR-1381",,"Low",_SPECIFIEDvarPubDate,)</f>
        <v>1090</v>
      </c>
      <c r="C435" s="1">
        <f t="shared" si="18"/>
        <v>45848</v>
      </c>
      <c r="D435">
        <f t="shared" si="19"/>
        <v>2025</v>
      </c>
      <c r="E435">
        <f t="shared" si="20"/>
        <v>7</v>
      </c>
      <c r="F435" s="13" t="s">
        <v>868</v>
      </c>
      <c r="G435" s="13" t="s">
        <v>11</v>
      </c>
      <c r="H435" s="13" t="s">
        <v>2792</v>
      </c>
    </row>
    <row r="436" spans="1:8" x14ac:dyDescent="0.25">
      <c r="A436" t="s">
        <v>869</v>
      </c>
      <c r="B436" s="15" cm="1">
        <f t="array" ref="B436">_xll.GetPrice("FP-LBR-1368",,"Low",_SPECIFIEDvarPubDate,)</f>
        <v>1865</v>
      </c>
      <c r="C436" s="1">
        <f t="shared" si="18"/>
        <v>45848</v>
      </c>
      <c r="D436">
        <f t="shared" si="19"/>
        <v>2025</v>
      </c>
      <c r="E436">
        <f t="shared" si="20"/>
        <v>7</v>
      </c>
      <c r="F436" s="13" t="s">
        <v>870</v>
      </c>
      <c r="G436" s="13" t="s">
        <v>11</v>
      </c>
      <c r="H436" s="13" t="s">
        <v>2792</v>
      </c>
    </row>
    <row r="437" spans="1:8" x14ac:dyDescent="0.25">
      <c r="A437" t="s">
        <v>871</v>
      </c>
      <c r="B437" s="15" cm="1">
        <f t="array" ref="B437">_xll.GetPrice("FP-LBR-2130",,"Low",_SPECIFIEDvarPubDate,)</f>
        <v>375</v>
      </c>
      <c r="C437" s="1">
        <f t="shared" si="18"/>
        <v>45848</v>
      </c>
      <c r="D437">
        <f t="shared" si="19"/>
        <v>2025</v>
      </c>
      <c r="E437">
        <f t="shared" si="20"/>
        <v>7</v>
      </c>
      <c r="F437" s="13" t="s">
        <v>872</v>
      </c>
      <c r="G437" s="13" t="s">
        <v>11</v>
      </c>
      <c r="H437" s="13" t="s">
        <v>2792</v>
      </c>
    </row>
    <row r="438" spans="1:8" x14ac:dyDescent="0.25">
      <c r="A438" t="s">
        <v>873</v>
      </c>
      <c r="B438" s="15" cm="1">
        <f t="array" ref="B438">_xll.GetPrice("FP-LBR-2137",,"Low",_SPECIFIEDvarPubDate,)</f>
        <v>320</v>
      </c>
      <c r="C438" s="1">
        <f t="shared" si="18"/>
        <v>45848</v>
      </c>
      <c r="D438">
        <f t="shared" si="19"/>
        <v>2025</v>
      </c>
      <c r="E438">
        <f t="shared" si="20"/>
        <v>7</v>
      </c>
      <c r="F438" s="13" t="s">
        <v>874</v>
      </c>
      <c r="G438" s="13" t="s">
        <v>11</v>
      </c>
      <c r="H438" s="13" t="s">
        <v>2792</v>
      </c>
    </row>
    <row r="439" spans="1:8" x14ac:dyDescent="0.25">
      <c r="A439" t="s">
        <v>875</v>
      </c>
      <c r="B439" s="15" cm="1">
        <f t="array" ref="B439">_xll.GetPrice("FP-LBR-2144",,"Low",_SPECIFIEDvarPubDate,)</f>
        <v>345</v>
      </c>
      <c r="C439" s="1">
        <f t="shared" si="18"/>
        <v>45848</v>
      </c>
      <c r="D439">
        <f t="shared" si="19"/>
        <v>2025</v>
      </c>
      <c r="E439">
        <f t="shared" si="20"/>
        <v>7</v>
      </c>
      <c r="F439" s="13" t="s">
        <v>876</v>
      </c>
      <c r="G439" s="13" t="s">
        <v>11</v>
      </c>
      <c r="H439" s="13" t="s">
        <v>2792</v>
      </c>
    </row>
    <row r="440" spans="1:8" x14ac:dyDescent="0.25">
      <c r="A440" t="s">
        <v>877</v>
      </c>
      <c r="B440" s="15" cm="1">
        <f t="array" ref="B440">_xll.GetPrice("FP-LBR-2151",,"Low",_SPECIFIEDvarPubDate,)</f>
        <v>440</v>
      </c>
      <c r="C440" s="1">
        <f t="shared" si="18"/>
        <v>45848</v>
      </c>
      <c r="D440">
        <f t="shared" si="19"/>
        <v>2025</v>
      </c>
      <c r="E440">
        <f t="shared" si="20"/>
        <v>7</v>
      </c>
      <c r="F440" s="13" t="s">
        <v>878</v>
      </c>
      <c r="G440" s="13" t="s">
        <v>11</v>
      </c>
      <c r="H440" s="13" t="s">
        <v>2792</v>
      </c>
    </row>
    <row r="441" spans="1:8" x14ac:dyDescent="0.25">
      <c r="A441" t="s">
        <v>879</v>
      </c>
      <c r="B441" s="15" cm="1">
        <f t="array" ref="B441">_xll.GetPrice("FP-LBR-2158",,"Low",_SPECIFIEDvarPubDate,)</f>
        <v>450</v>
      </c>
      <c r="C441" s="1">
        <f t="shared" si="18"/>
        <v>45848</v>
      </c>
      <c r="D441">
        <f t="shared" si="19"/>
        <v>2025</v>
      </c>
      <c r="E441">
        <f t="shared" si="20"/>
        <v>7</v>
      </c>
      <c r="F441" s="13" t="s">
        <v>880</v>
      </c>
      <c r="G441" s="13" t="s">
        <v>11</v>
      </c>
      <c r="H441" s="13" t="s">
        <v>2792</v>
      </c>
    </row>
    <row r="442" spans="1:8" x14ac:dyDescent="0.25">
      <c r="A442" t="s">
        <v>881</v>
      </c>
      <c r="B442" s="15" cm="1">
        <f t="array" ref="B442">_xll.GetPrice("FP-LBR-2087",,"Low",_SPECIFIEDvarPubDate,)</f>
        <v>295</v>
      </c>
      <c r="C442" s="1">
        <f t="shared" si="18"/>
        <v>45848</v>
      </c>
      <c r="D442">
        <f t="shared" si="19"/>
        <v>2025</v>
      </c>
      <c r="E442">
        <f t="shared" si="20"/>
        <v>7</v>
      </c>
      <c r="F442" s="13" t="s">
        <v>882</v>
      </c>
      <c r="G442" s="13" t="s">
        <v>11</v>
      </c>
      <c r="H442" s="13" t="s">
        <v>2792</v>
      </c>
    </row>
    <row r="443" spans="1:8" x14ac:dyDescent="0.25">
      <c r="A443" t="s">
        <v>883</v>
      </c>
      <c r="B443" s="15" cm="1">
        <f t="array" ref="B443">_xll.GetPrice("FP-LBR-2094",,"Low",_SPECIFIEDvarPubDate,)</f>
        <v>290</v>
      </c>
      <c r="C443" s="1">
        <f t="shared" si="18"/>
        <v>45848</v>
      </c>
      <c r="D443">
        <f t="shared" si="19"/>
        <v>2025</v>
      </c>
      <c r="E443">
        <f t="shared" si="20"/>
        <v>7</v>
      </c>
      <c r="F443" s="13" t="s">
        <v>884</v>
      </c>
      <c r="G443" s="13" t="s">
        <v>11</v>
      </c>
      <c r="H443" s="13" t="s">
        <v>2792</v>
      </c>
    </row>
    <row r="444" spans="1:8" x14ac:dyDescent="0.25">
      <c r="A444" t="s">
        <v>885</v>
      </c>
      <c r="B444" s="15" cm="1">
        <f t="array" ref="B444">_xll.GetPrice("FP-LBR-2103",,"Low",_SPECIFIEDvarPubDate,)</f>
        <v>280</v>
      </c>
      <c r="C444" s="1">
        <f t="shared" si="18"/>
        <v>45848</v>
      </c>
      <c r="D444">
        <f t="shared" si="19"/>
        <v>2025</v>
      </c>
      <c r="E444">
        <f t="shared" si="20"/>
        <v>7</v>
      </c>
      <c r="F444" s="13" t="s">
        <v>886</v>
      </c>
      <c r="G444" s="13" t="s">
        <v>11</v>
      </c>
      <c r="H444" s="13" t="s">
        <v>2792</v>
      </c>
    </row>
    <row r="445" spans="1:8" x14ac:dyDescent="0.25">
      <c r="A445" t="s">
        <v>887</v>
      </c>
      <c r="B445" s="15" cm="1">
        <f t="array" ref="B445">_xll.GetPrice("FP-LBR-2112",,"Low",_SPECIFIEDvarPubDate,)</f>
        <v>300</v>
      </c>
      <c r="C445" s="1">
        <f t="shared" si="18"/>
        <v>45848</v>
      </c>
      <c r="D445">
        <f t="shared" si="19"/>
        <v>2025</v>
      </c>
      <c r="E445">
        <f t="shared" si="20"/>
        <v>7</v>
      </c>
      <c r="F445" s="13" t="s">
        <v>888</v>
      </c>
      <c r="G445" s="13" t="s">
        <v>11</v>
      </c>
      <c r="H445" s="13" t="s">
        <v>2792</v>
      </c>
    </row>
    <row r="446" spans="1:8" x14ac:dyDescent="0.25">
      <c r="A446" t="s">
        <v>889</v>
      </c>
      <c r="B446" s="15" cm="1">
        <f t="array" ref="B446">_xll.GetPrice("FP-LBR-2121",,"Low",_SPECIFIEDvarPubDate,)</f>
        <v>300</v>
      </c>
      <c r="C446" s="1">
        <f t="shared" si="18"/>
        <v>45848</v>
      </c>
      <c r="D446">
        <f t="shared" si="19"/>
        <v>2025</v>
      </c>
      <c r="E446">
        <f t="shared" si="20"/>
        <v>7</v>
      </c>
      <c r="F446" s="13" t="s">
        <v>890</v>
      </c>
      <c r="G446" s="13" t="s">
        <v>11</v>
      </c>
      <c r="H446" s="13" t="s">
        <v>2792</v>
      </c>
    </row>
    <row r="447" spans="1:8" x14ac:dyDescent="0.25">
      <c r="A447" t="s">
        <v>891</v>
      </c>
      <c r="B447" s="15" cm="1">
        <f t="array" ref="B447">_xll.GetPrice("FP-LBR-0193",,"Low",_SPECIFIEDvarPubDate,)</f>
        <v>440</v>
      </c>
      <c r="C447" s="1">
        <f t="shared" si="18"/>
        <v>45848</v>
      </c>
      <c r="D447">
        <f t="shared" si="19"/>
        <v>2025</v>
      </c>
      <c r="E447">
        <f t="shared" si="20"/>
        <v>7</v>
      </c>
      <c r="F447" s="13" t="s">
        <v>892</v>
      </c>
      <c r="G447" s="13" t="s">
        <v>11</v>
      </c>
      <c r="H447" s="13" t="s">
        <v>2792</v>
      </c>
    </row>
    <row r="448" spans="1:8" x14ac:dyDescent="0.25">
      <c r="A448" t="s">
        <v>893</v>
      </c>
      <c r="B448" s="15" cm="1">
        <f t="array" ref="B448">_xll.GetPrice("FP-LBR-0202",,"Low",_SPECIFIEDvarPubDate,)</f>
        <v>335</v>
      </c>
      <c r="C448" s="1">
        <f t="shared" si="18"/>
        <v>45848</v>
      </c>
      <c r="D448">
        <f t="shared" si="19"/>
        <v>2025</v>
      </c>
      <c r="E448">
        <f t="shared" si="20"/>
        <v>7</v>
      </c>
      <c r="F448" s="13" t="s">
        <v>894</v>
      </c>
      <c r="G448" s="13" t="s">
        <v>11</v>
      </c>
      <c r="H448" s="13" t="s">
        <v>2792</v>
      </c>
    </row>
    <row r="449" spans="1:8" x14ac:dyDescent="0.25">
      <c r="A449" t="s">
        <v>895</v>
      </c>
      <c r="B449" s="15" cm="1">
        <f t="array" ref="B449">_xll.GetPrice("FP-LBR-0211",,"Low",_SPECIFIEDvarPubDate,)</f>
        <v>355</v>
      </c>
      <c r="C449" s="1">
        <f t="shared" si="18"/>
        <v>45848</v>
      </c>
      <c r="D449">
        <f t="shared" si="19"/>
        <v>2025</v>
      </c>
      <c r="E449">
        <f t="shared" si="20"/>
        <v>7</v>
      </c>
      <c r="F449" s="13" t="s">
        <v>896</v>
      </c>
      <c r="G449" s="13" t="s">
        <v>11</v>
      </c>
      <c r="H449" s="13" t="s">
        <v>2792</v>
      </c>
    </row>
    <row r="450" spans="1:8" x14ac:dyDescent="0.25">
      <c r="A450" t="s">
        <v>897</v>
      </c>
      <c r="B450" s="15" cm="1">
        <f t="array" ref="B450">_xll.GetPrice("FP-LBR-0220",,"Low",_SPECIFIEDvarPubDate,)</f>
        <v>305</v>
      </c>
      <c r="C450" s="1">
        <f t="shared" ref="C450:C513" si="21">_SPECIFIEDvarPubDate</f>
        <v>45848</v>
      </c>
      <c r="D450">
        <f t="shared" ref="D450:D513" si="22">_SPECIFIEDvarYear</f>
        <v>2025</v>
      </c>
      <c r="E450">
        <f t="shared" ref="E450:E513" si="23">_SPECIFIEDvarMonth</f>
        <v>7</v>
      </c>
      <c r="F450" s="13" t="s">
        <v>898</v>
      </c>
      <c r="G450" s="13" t="s">
        <v>11</v>
      </c>
      <c r="H450" s="13" t="s">
        <v>2792</v>
      </c>
    </row>
    <row r="451" spans="1:8" x14ac:dyDescent="0.25">
      <c r="A451" t="s">
        <v>899</v>
      </c>
      <c r="B451" s="15" cm="1">
        <f t="array" ref="B451">_xll.GetPrice("FP-LBR-1355",,"Low",_SPECIFIEDvarPubDate,)</f>
        <v>1525</v>
      </c>
      <c r="C451" s="1">
        <f t="shared" si="21"/>
        <v>45848</v>
      </c>
      <c r="D451">
        <f t="shared" si="22"/>
        <v>2025</v>
      </c>
      <c r="E451">
        <f t="shared" si="23"/>
        <v>7</v>
      </c>
      <c r="F451" s="13" t="s">
        <v>900</v>
      </c>
      <c r="G451" s="13" t="s">
        <v>11</v>
      </c>
      <c r="H451" s="13" t="s">
        <v>2792</v>
      </c>
    </row>
    <row r="452" spans="1:8" x14ac:dyDescent="0.25">
      <c r="A452" t="s">
        <v>901</v>
      </c>
      <c r="B452" s="15" cm="1">
        <f t="array" ref="B452">_xll.GetPrice("FP-LBR-1369",,"Low",_SPECIFIEDvarPubDate,)</f>
        <v>1555</v>
      </c>
      <c r="C452" s="1">
        <f t="shared" si="21"/>
        <v>45848</v>
      </c>
      <c r="D452">
        <f t="shared" si="22"/>
        <v>2025</v>
      </c>
      <c r="E452">
        <f t="shared" si="23"/>
        <v>7</v>
      </c>
      <c r="F452" s="13" t="s">
        <v>902</v>
      </c>
      <c r="G452" s="13" t="s">
        <v>11</v>
      </c>
      <c r="H452" s="13" t="s">
        <v>2792</v>
      </c>
    </row>
    <row r="453" spans="1:8" x14ac:dyDescent="0.25">
      <c r="A453" t="s">
        <v>903</v>
      </c>
      <c r="B453" s="15" cm="1">
        <f t="array" ref="B453">_xll.GetPrice("FP-LBR-1382",,"Low",_SPECIFIEDvarPubDate,)</f>
        <v>1525</v>
      </c>
      <c r="C453" s="1">
        <f t="shared" si="21"/>
        <v>45848</v>
      </c>
      <c r="D453">
        <f t="shared" si="22"/>
        <v>2025</v>
      </c>
      <c r="E453">
        <f t="shared" si="23"/>
        <v>7</v>
      </c>
      <c r="F453" s="13" t="s">
        <v>904</v>
      </c>
      <c r="G453" s="13" t="s">
        <v>11</v>
      </c>
      <c r="H453" s="13" t="s">
        <v>2792</v>
      </c>
    </row>
    <row r="454" spans="1:8" x14ac:dyDescent="0.25">
      <c r="A454" t="s">
        <v>905</v>
      </c>
      <c r="B454" s="15" cm="1">
        <f t="array" ref="B454">_xll.GetPrice("FP-LBR-1380",,"Low",_SPECIFIEDvarPubDate,)</f>
        <v>1890</v>
      </c>
      <c r="C454" s="1">
        <f t="shared" si="21"/>
        <v>45848</v>
      </c>
      <c r="D454">
        <f t="shared" si="22"/>
        <v>2025</v>
      </c>
      <c r="E454">
        <f t="shared" si="23"/>
        <v>7</v>
      </c>
      <c r="F454" s="13" t="s">
        <v>906</v>
      </c>
      <c r="G454" s="13" t="s">
        <v>11</v>
      </c>
      <c r="H454" s="13" t="s">
        <v>2792</v>
      </c>
    </row>
    <row r="455" spans="1:8" x14ac:dyDescent="0.25">
      <c r="A455" t="s">
        <v>907</v>
      </c>
      <c r="B455" s="15" cm="1">
        <f t="array" ref="B455">_xll.GetPrice("FP-LBR-2131",,"Low",_SPECIFIEDvarPubDate,)</f>
        <v>375</v>
      </c>
      <c r="C455" s="1">
        <f t="shared" si="21"/>
        <v>45848</v>
      </c>
      <c r="D455">
        <f t="shared" si="22"/>
        <v>2025</v>
      </c>
      <c r="E455">
        <f t="shared" si="23"/>
        <v>7</v>
      </c>
      <c r="F455" s="13" t="s">
        <v>908</v>
      </c>
      <c r="G455" s="13" t="s">
        <v>11</v>
      </c>
      <c r="H455" s="13" t="s">
        <v>2792</v>
      </c>
    </row>
    <row r="456" spans="1:8" x14ac:dyDescent="0.25">
      <c r="A456" t="s">
        <v>909</v>
      </c>
      <c r="B456" s="15" cm="1">
        <f t="array" ref="B456">_xll.GetPrice("FP-LBR-2138",,"Low",_SPECIFIEDvarPubDate,)</f>
        <v>340</v>
      </c>
      <c r="C456" s="1">
        <f t="shared" si="21"/>
        <v>45848</v>
      </c>
      <c r="D456">
        <f t="shared" si="22"/>
        <v>2025</v>
      </c>
      <c r="E456">
        <f t="shared" si="23"/>
        <v>7</v>
      </c>
      <c r="F456" s="13" t="s">
        <v>910</v>
      </c>
      <c r="G456" s="13" t="s">
        <v>11</v>
      </c>
      <c r="H456" s="13" t="s">
        <v>2792</v>
      </c>
    </row>
    <row r="457" spans="1:8" x14ac:dyDescent="0.25">
      <c r="A457" t="s">
        <v>911</v>
      </c>
      <c r="B457" s="15" cm="1">
        <f t="array" ref="B457">_xll.GetPrice("FP-LBR-2145",,"Low",_SPECIFIEDvarPubDate,)</f>
        <v>350</v>
      </c>
      <c r="C457" s="1">
        <f t="shared" si="21"/>
        <v>45848</v>
      </c>
      <c r="D457">
        <f t="shared" si="22"/>
        <v>2025</v>
      </c>
      <c r="E457">
        <f t="shared" si="23"/>
        <v>7</v>
      </c>
      <c r="F457" s="13" t="s">
        <v>912</v>
      </c>
      <c r="G457" s="13" t="s">
        <v>11</v>
      </c>
      <c r="H457" s="13" t="s">
        <v>2792</v>
      </c>
    </row>
    <row r="458" spans="1:8" x14ac:dyDescent="0.25">
      <c r="A458" t="s">
        <v>913</v>
      </c>
      <c r="B458" s="15" cm="1">
        <f t="array" ref="B458">_xll.GetPrice("FP-LBR-2152",,"Low",_SPECIFIEDvarPubDate,)</f>
        <v>420</v>
      </c>
      <c r="C458" s="1">
        <f t="shared" si="21"/>
        <v>45848</v>
      </c>
      <c r="D458">
        <f t="shared" si="22"/>
        <v>2025</v>
      </c>
      <c r="E458">
        <f t="shared" si="23"/>
        <v>7</v>
      </c>
      <c r="F458" s="13" t="s">
        <v>914</v>
      </c>
      <c r="G458" s="13" t="s">
        <v>11</v>
      </c>
      <c r="H458" s="13" t="s">
        <v>2792</v>
      </c>
    </row>
    <row r="459" spans="1:8" x14ac:dyDescent="0.25">
      <c r="A459" t="s">
        <v>915</v>
      </c>
      <c r="B459" s="15" cm="1">
        <f t="array" ref="B459">_xll.GetPrice("FP-LBR-2159",,"Low",_SPECIFIEDvarPubDate,)</f>
        <v>405</v>
      </c>
      <c r="C459" s="1">
        <f t="shared" si="21"/>
        <v>45848</v>
      </c>
      <c r="D459">
        <f t="shared" si="22"/>
        <v>2025</v>
      </c>
      <c r="E459">
        <f t="shared" si="23"/>
        <v>7</v>
      </c>
      <c r="F459" s="13" t="s">
        <v>916</v>
      </c>
      <c r="G459" s="13" t="s">
        <v>11</v>
      </c>
      <c r="H459" s="13" t="s">
        <v>2792</v>
      </c>
    </row>
    <row r="460" spans="1:8" x14ac:dyDescent="0.25">
      <c r="A460" t="s">
        <v>917</v>
      </c>
      <c r="B460" s="15" cm="1">
        <f t="array" ref="B460">_xll.GetPrice("FP-LBR-2088",,"Low",_SPECIFIEDvarPubDate,)</f>
        <v>295</v>
      </c>
      <c r="C460" s="1">
        <f t="shared" si="21"/>
        <v>45848</v>
      </c>
      <c r="D460">
        <f t="shared" si="22"/>
        <v>2025</v>
      </c>
      <c r="E460">
        <f t="shared" si="23"/>
        <v>7</v>
      </c>
      <c r="F460" s="13" t="s">
        <v>918</v>
      </c>
      <c r="G460" s="13" t="s">
        <v>11</v>
      </c>
      <c r="H460" s="13" t="s">
        <v>2792</v>
      </c>
    </row>
    <row r="461" spans="1:8" x14ac:dyDescent="0.25">
      <c r="A461" t="s">
        <v>919</v>
      </c>
      <c r="B461" s="15" cm="1">
        <f t="array" ref="B461">_xll.GetPrice("FP-LBR-2095",,"Low",_SPECIFIEDvarPubDate,)</f>
        <v>300</v>
      </c>
      <c r="C461" s="1">
        <f t="shared" si="21"/>
        <v>45848</v>
      </c>
      <c r="D461">
        <f t="shared" si="22"/>
        <v>2025</v>
      </c>
      <c r="E461">
        <f t="shared" si="23"/>
        <v>7</v>
      </c>
      <c r="F461" s="13" t="s">
        <v>920</v>
      </c>
      <c r="G461" s="13" t="s">
        <v>11</v>
      </c>
      <c r="H461" s="13" t="s">
        <v>2792</v>
      </c>
    </row>
    <row r="462" spans="1:8" x14ac:dyDescent="0.25">
      <c r="A462" t="s">
        <v>921</v>
      </c>
      <c r="B462" s="15" cm="1">
        <f t="array" ref="B462">_xll.GetPrice("FP-LBR-2104",,"Low",_SPECIFIEDvarPubDate,)</f>
        <v>285</v>
      </c>
      <c r="C462" s="1">
        <f t="shared" si="21"/>
        <v>45848</v>
      </c>
      <c r="D462">
        <f t="shared" si="22"/>
        <v>2025</v>
      </c>
      <c r="E462">
        <f t="shared" si="23"/>
        <v>7</v>
      </c>
      <c r="F462" s="13" t="s">
        <v>922</v>
      </c>
      <c r="G462" s="13" t="s">
        <v>11</v>
      </c>
      <c r="H462" s="13" t="s">
        <v>2792</v>
      </c>
    </row>
    <row r="463" spans="1:8" x14ac:dyDescent="0.25">
      <c r="A463" t="s">
        <v>923</v>
      </c>
      <c r="B463" s="15" cm="1">
        <f t="array" ref="B463">_xll.GetPrice("FP-LBR-2113",,"Low",_SPECIFIEDvarPubDate,)</f>
        <v>295</v>
      </c>
      <c r="C463" s="1">
        <f t="shared" si="21"/>
        <v>45848</v>
      </c>
      <c r="D463">
        <f t="shared" si="22"/>
        <v>2025</v>
      </c>
      <c r="E463">
        <f t="shared" si="23"/>
        <v>7</v>
      </c>
      <c r="F463" s="13" t="s">
        <v>924</v>
      </c>
      <c r="G463" s="13" t="s">
        <v>11</v>
      </c>
      <c r="H463" s="13" t="s">
        <v>2792</v>
      </c>
    </row>
    <row r="464" spans="1:8" x14ac:dyDescent="0.25">
      <c r="A464" t="s">
        <v>925</v>
      </c>
      <c r="B464" s="15" cm="1">
        <f t="array" ref="B464">_xll.GetPrice("FP-LBR-2122",,"Low",_SPECIFIEDvarPubDate,)</f>
        <v>330</v>
      </c>
      <c r="C464" s="1">
        <f t="shared" si="21"/>
        <v>45848</v>
      </c>
      <c r="D464">
        <f t="shared" si="22"/>
        <v>2025</v>
      </c>
      <c r="E464">
        <f t="shared" si="23"/>
        <v>7</v>
      </c>
      <c r="F464" s="13" t="s">
        <v>926</v>
      </c>
      <c r="G464" s="13" t="s">
        <v>11</v>
      </c>
      <c r="H464" s="13" t="s">
        <v>2792</v>
      </c>
    </row>
    <row r="465" spans="1:8" x14ac:dyDescent="0.25">
      <c r="A465" t="s">
        <v>927</v>
      </c>
      <c r="B465" s="15" cm="1">
        <f t="array" ref="B465">_xll.GetPrice("FP-LBR-0194",,"Low",_SPECIFIEDvarPubDate,)</f>
        <v>430</v>
      </c>
      <c r="C465" s="1">
        <f t="shared" si="21"/>
        <v>45848</v>
      </c>
      <c r="D465">
        <f t="shared" si="22"/>
        <v>2025</v>
      </c>
      <c r="E465">
        <f t="shared" si="23"/>
        <v>7</v>
      </c>
      <c r="F465" s="13" t="s">
        <v>928</v>
      </c>
      <c r="G465" s="13" t="s">
        <v>11</v>
      </c>
      <c r="H465" s="13" t="s">
        <v>2792</v>
      </c>
    </row>
    <row r="466" spans="1:8" x14ac:dyDescent="0.25">
      <c r="A466" t="s">
        <v>929</v>
      </c>
      <c r="B466" s="15" cm="1">
        <f t="array" ref="B466">_xll.GetPrice("FP-LBR-0203",,"Low",_SPECIFIEDvarPubDate,)</f>
        <v>370</v>
      </c>
      <c r="C466" s="1">
        <f t="shared" si="21"/>
        <v>45848</v>
      </c>
      <c r="D466">
        <f t="shared" si="22"/>
        <v>2025</v>
      </c>
      <c r="E466">
        <f t="shared" si="23"/>
        <v>7</v>
      </c>
      <c r="F466" s="13" t="s">
        <v>930</v>
      </c>
      <c r="G466" s="13" t="s">
        <v>11</v>
      </c>
      <c r="H466" s="13" t="s">
        <v>2792</v>
      </c>
    </row>
    <row r="467" spans="1:8" x14ac:dyDescent="0.25">
      <c r="A467" t="s">
        <v>931</v>
      </c>
      <c r="B467" s="15" cm="1">
        <f t="array" ref="B467">_xll.GetPrice("FP-LBR-0212",,"Low",_SPECIFIEDvarPubDate,)</f>
        <v>360</v>
      </c>
      <c r="C467" s="1">
        <f t="shared" si="21"/>
        <v>45848</v>
      </c>
      <c r="D467">
        <f t="shared" si="22"/>
        <v>2025</v>
      </c>
      <c r="E467">
        <f t="shared" si="23"/>
        <v>7</v>
      </c>
      <c r="F467" s="13" t="s">
        <v>932</v>
      </c>
      <c r="G467" s="13" t="s">
        <v>11</v>
      </c>
      <c r="H467" s="13" t="s">
        <v>2792</v>
      </c>
    </row>
    <row r="468" spans="1:8" x14ac:dyDescent="0.25">
      <c r="A468" t="s">
        <v>933</v>
      </c>
      <c r="B468" s="15" cm="1">
        <f t="array" ref="B468">_xll.GetPrice("FP-LBR-0221",,"Low",_SPECIFIEDvarPubDate,)</f>
        <v>385</v>
      </c>
      <c r="C468" s="1">
        <f t="shared" si="21"/>
        <v>45848</v>
      </c>
      <c r="D468">
        <f t="shared" si="22"/>
        <v>2025</v>
      </c>
      <c r="E468">
        <f t="shared" si="23"/>
        <v>7</v>
      </c>
      <c r="F468" s="13" t="s">
        <v>934</v>
      </c>
      <c r="G468" s="13" t="s">
        <v>11</v>
      </c>
      <c r="H468" s="13" t="s">
        <v>2792</v>
      </c>
    </row>
    <row r="469" spans="1:8" x14ac:dyDescent="0.25">
      <c r="A469" t="s">
        <v>935</v>
      </c>
      <c r="B469" s="15" cm="1">
        <f t="array" ref="B469">_xll.GetPrice("FP-LBR-1357",,"Low",_SPECIFIEDvarPubDate,)</f>
        <v>635</v>
      </c>
      <c r="C469" s="1">
        <f t="shared" si="21"/>
        <v>45848</v>
      </c>
      <c r="D469">
        <f t="shared" si="22"/>
        <v>2025</v>
      </c>
      <c r="E469">
        <f t="shared" si="23"/>
        <v>7</v>
      </c>
      <c r="F469" s="13" t="s">
        <v>936</v>
      </c>
      <c r="G469" s="13" t="s">
        <v>11</v>
      </c>
      <c r="H469" s="13" t="s">
        <v>2792</v>
      </c>
    </row>
    <row r="470" spans="1:8" x14ac:dyDescent="0.25">
      <c r="A470" t="s">
        <v>937</v>
      </c>
      <c r="B470" s="15" cm="1">
        <f t="array" ref="B470">_xll.GetPrice("FP-LBR-1370",,"Low",_SPECIFIEDvarPubDate,)</f>
        <v>695</v>
      </c>
      <c r="C470" s="1">
        <f t="shared" si="21"/>
        <v>45848</v>
      </c>
      <c r="D470">
        <f t="shared" si="22"/>
        <v>2025</v>
      </c>
      <c r="E470">
        <f t="shared" si="23"/>
        <v>7</v>
      </c>
      <c r="F470" s="13" t="s">
        <v>938</v>
      </c>
      <c r="G470" s="13" t="s">
        <v>11</v>
      </c>
      <c r="H470" s="13" t="s">
        <v>2792</v>
      </c>
    </row>
    <row r="471" spans="1:8" x14ac:dyDescent="0.25">
      <c r="A471" t="s">
        <v>939</v>
      </c>
      <c r="B471" s="15" cm="1">
        <f t="array" ref="B471">_xll.GetPrice("FP-LBR-1383",,"Low",_SPECIFIEDvarPubDate,)</f>
        <v>645</v>
      </c>
      <c r="C471" s="1">
        <f t="shared" si="21"/>
        <v>45848</v>
      </c>
      <c r="D471">
        <f t="shared" si="22"/>
        <v>2025</v>
      </c>
      <c r="E471">
        <f t="shared" si="23"/>
        <v>7</v>
      </c>
      <c r="F471" s="13" t="s">
        <v>940</v>
      </c>
      <c r="G471" s="13" t="s">
        <v>11</v>
      </c>
      <c r="H471" s="13" t="s">
        <v>2792</v>
      </c>
    </row>
    <row r="472" spans="1:8" x14ac:dyDescent="0.25">
      <c r="A472" t="s">
        <v>941</v>
      </c>
      <c r="B472" s="15" cm="1">
        <f t="array" ref="B472">_xll.GetPrice("FP-LBR-1392",,"Low",_SPECIFIEDvarPubDate,)</f>
        <v>970</v>
      </c>
      <c r="C472" s="1">
        <f t="shared" si="21"/>
        <v>45848</v>
      </c>
      <c r="D472">
        <f t="shared" si="22"/>
        <v>2025</v>
      </c>
      <c r="E472">
        <f t="shared" si="23"/>
        <v>7</v>
      </c>
      <c r="F472" s="13" t="s">
        <v>942</v>
      </c>
      <c r="G472" s="13" t="s">
        <v>11</v>
      </c>
      <c r="H472" s="13" t="s">
        <v>2792</v>
      </c>
    </row>
    <row r="473" spans="1:8" x14ac:dyDescent="0.25">
      <c r="A473" t="s">
        <v>943</v>
      </c>
      <c r="B473" s="15" cm="1">
        <f t="array" ref="B473">_xll.GetPrice("FP-LBR-1842",,"Low",_SPECIFIEDvarPubDate,)</f>
        <v>588</v>
      </c>
      <c r="C473" s="1">
        <f t="shared" si="21"/>
        <v>45848</v>
      </c>
      <c r="D473">
        <f t="shared" si="22"/>
        <v>2025</v>
      </c>
      <c r="E473">
        <f t="shared" si="23"/>
        <v>7</v>
      </c>
      <c r="F473" s="13" t="s">
        <v>944</v>
      </c>
      <c r="G473" s="13" t="s">
        <v>11</v>
      </c>
      <c r="H473" s="13" t="s">
        <v>2792</v>
      </c>
    </row>
    <row r="474" spans="1:8" x14ac:dyDescent="0.25">
      <c r="A474" t="s">
        <v>945</v>
      </c>
      <c r="B474" s="15" cm="1">
        <f t="array" ref="B474">_xll.GetPrice("FP-LBR-1841",,"Low",_SPECIFIEDvarPubDate,)</f>
        <v>598</v>
      </c>
      <c r="C474" s="1">
        <f t="shared" si="21"/>
        <v>45848</v>
      </c>
      <c r="D474">
        <f t="shared" si="22"/>
        <v>2025</v>
      </c>
      <c r="E474">
        <f t="shared" si="23"/>
        <v>7</v>
      </c>
      <c r="F474" s="13" t="s">
        <v>946</v>
      </c>
      <c r="G474" s="13" t="s">
        <v>11</v>
      </c>
      <c r="H474" s="13" t="s">
        <v>2792</v>
      </c>
    </row>
    <row r="475" spans="1:8" x14ac:dyDescent="0.25">
      <c r="A475" t="s">
        <v>947</v>
      </c>
      <c r="B475" s="15" cm="1">
        <f t="array" ref="B475">_xll.GetPrice("FP-LBR-1840",,"Low",_SPECIFIEDvarPubDate,)</f>
        <v>609</v>
      </c>
      <c r="C475" s="1">
        <f t="shared" si="21"/>
        <v>45848</v>
      </c>
      <c r="D475">
        <f t="shared" si="22"/>
        <v>2025</v>
      </c>
      <c r="E475">
        <f t="shared" si="23"/>
        <v>7</v>
      </c>
      <c r="F475" s="13" t="s">
        <v>948</v>
      </c>
      <c r="G475" s="13" t="s">
        <v>11</v>
      </c>
      <c r="H475" s="13" t="s">
        <v>2792</v>
      </c>
    </row>
    <row r="476" spans="1:8" x14ac:dyDescent="0.25">
      <c r="A476" t="s">
        <v>949</v>
      </c>
      <c r="B476" s="15" cm="1">
        <f t="array" ref="B476">_xll.GetPrice("FP-LBR-2132",,"Low",_SPECIFIEDvarPubDate,)</f>
        <v>395</v>
      </c>
      <c r="C476" s="1">
        <f t="shared" si="21"/>
        <v>45848</v>
      </c>
      <c r="D476">
        <f t="shared" si="22"/>
        <v>2025</v>
      </c>
      <c r="E476">
        <f t="shared" si="23"/>
        <v>7</v>
      </c>
      <c r="F476" s="13" t="s">
        <v>950</v>
      </c>
      <c r="G476" s="13" t="s">
        <v>11</v>
      </c>
      <c r="H476" s="13" t="s">
        <v>2792</v>
      </c>
    </row>
    <row r="477" spans="1:8" x14ac:dyDescent="0.25">
      <c r="A477" t="s">
        <v>951</v>
      </c>
      <c r="B477" s="15" cm="1">
        <f t="array" ref="B477">_xll.GetPrice("FP-LBR-2139",,"Low",_SPECIFIEDvarPubDate,)</f>
        <v>335</v>
      </c>
      <c r="C477" s="1">
        <f t="shared" si="21"/>
        <v>45848</v>
      </c>
      <c r="D477">
        <f t="shared" si="22"/>
        <v>2025</v>
      </c>
      <c r="E477">
        <f t="shared" si="23"/>
        <v>7</v>
      </c>
      <c r="F477" s="13" t="s">
        <v>952</v>
      </c>
      <c r="G477" s="13" t="s">
        <v>11</v>
      </c>
      <c r="H477" s="13" t="s">
        <v>2792</v>
      </c>
    </row>
    <row r="478" spans="1:8" x14ac:dyDescent="0.25">
      <c r="A478" t="s">
        <v>953</v>
      </c>
      <c r="B478" s="15" cm="1">
        <f t="array" ref="B478">_xll.GetPrice("FP-LBR-2146",,"Low",_SPECIFIEDvarPubDate,)</f>
        <v>335</v>
      </c>
      <c r="C478" s="1">
        <f t="shared" si="21"/>
        <v>45848</v>
      </c>
      <c r="D478">
        <f t="shared" si="22"/>
        <v>2025</v>
      </c>
      <c r="E478">
        <f t="shared" si="23"/>
        <v>7</v>
      </c>
      <c r="F478" s="13" t="s">
        <v>954</v>
      </c>
      <c r="G478" s="13" t="s">
        <v>11</v>
      </c>
      <c r="H478" s="13" t="s">
        <v>2792</v>
      </c>
    </row>
    <row r="479" spans="1:8" x14ac:dyDescent="0.25">
      <c r="A479" t="s">
        <v>955</v>
      </c>
      <c r="B479" s="15" cm="1">
        <f t="array" ref="B479">_xll.GetPrice("FP-LBR-2153",,"Low",_SPECIFIEDvarPubDate,)</f>
        <v>385</v>
      </c>
      <c r="C479" s="1">
        <f t="shared" si="21"/>
        <v>45848</v>
      </c>
      <c r="D479">
        <f t="shared" si="22"/>
        <v>2025</v>
      </c>
      <c r="E479">
        <f t="shared" si="23"/>
        <v>7</v>
      </c>
      <c r="F479" s="13" t="s">
        <v>956</v>
      </c>
      <c r="G479" s="13" t="s">
        <v>11</v>
      </c>
      <c r="H479" s="13" t="s">
        <v>2792</v>
      </c>
    </row>
    <row r="480" spans="1:8" x14ac:dyDescent="0.25">
      <c r="A480" t="s">
        <v>957</v>
      </c>
      <c r="B480" s="15" cm="1">
        <f t="array" ref="B480">_xll.GetPrice("FP-LBR-2160",,"Low",_SPECIFIEDvarPubDate,)</f>
        <v>320</v>
      </c>
      <c r="C480" s="1">
        <f t="shared" si="21"/>
        <v>45848</v>
      </c>
      <c r="D480">
        <f t="shared" si="22"/>
        <v>2025</v>
      </c>
      <c r="E480">
        <f t="shared" si="23"/>
        <v>7</v>
      </c>
      <c r="F480" s="13" t="s">
        <v>958</v>
      </c>
      <c r="G480" s="13" t="s">
        <v>11</v>
      </c>
      <c r="H480" s="13" t="s">
        <v>2792</v>
      </c>
    </row>
    <row r="481" spans="1:8" x14ac:dyDescent="0.25">
      <c r="A481" t="s">
        <v>959</v>
      </c>
      <c r="B481" s="15" cm="1">
        <f t="array" ref="B481">_xll.GetPrice("FP-LBR-2089",,"Low",_SPECIFIEDvarPubDate,)</f>
        <v>340</v>
      </c>
      <c r="C481" s="1">
        <f t="shared" si="21"/>
        <v>45848</v>
      </c>
      <c r="D481">
        <f t="shared" si="22"/>
        <v>2025</v>
      </c>
      <c r="E481">
        <f t="shared" si="23"/>
        <v>7</v>
      </c>
      <c r="F481" s="13" t="s">
        <v>960</v>
      </c>
      <c r="G481" s="13" t="s">
        <v>11</v>
      </c>
      <c r="H481" s="13" t="s">
        <v>2792</v>
      </c>
    </row>
    <row r="482" spans="1:8" x14ac:dyDescent="0.25">
      <c r="A482" t="s">
        <v>961</v>
      </c>
      <c r="B482" s="15" cm="1">
        <f t="array" ref="B482">_xll.GetPrice("FP-LBR-2096",,"Low",_SPECIFIEDvarPubDate,)</f>
        <v>295</v>
      </c>
      <c r="C482" s="1">
        <f t="shared" si="21"/>
        <v>45848</v>
      </c>
      <c r="D482">
        <f t="shared" si="22"/>
        <v>2025</v>
      </c>
      <c r="E482">
        <f t="shared" si="23"/>
        <v>7</v>
      </c>
      <c r="F482" s="13" t="s">
        <v>962</v>
      </c>
      <c r="G482" s="13" t="s">
        <v>11</v>
      </c>
      <c r="H482" s="13" t="s">
        <v>2792</v>
      </c>
    </row>
    <row r="483" spans="1:8" x14ac:dyDescent="0.25">
      <c r="A483" t="s">
        <v>963</v>
      </c>
      <c r="B483" s="15" cm="1">
        <f t="array" ref="B483">_xll.GetPrice("FP-LBR-2105",,"Low",_SPECIFIEDvarPubDate,)</f>
        <v>285</v>
      </c>
      <c r="C483" s="1">
        <f t="shared" si="21"/>
        <v>45848</v>
      </c>
      <c r="D483">
        <f t="shared" si="22"/>
        <v>2025</v>
      </c>
      <c r="E483">
        <f t="shared" si="23"/>
        <v>7</v>
      </c>
      <c r="F483" s="13" t="s">
        <v>964</v>
      </c>
      <c r="G483" s="13" t="s">
        <v>11</v>
      </c>
      <c r="H483" s="13" t="s">
        <v>2792</v>
      </c>
    </row>
    <row r="484" spans="1:8" x14ac:dyDescent="0.25">
      <c r="A484" t="s">
        <v>965</v>
      </c>
      <c r="B484" s="15" cm="1">
        <f t="array" ref="B484">_xll.GetPrice("FP-LBR-2114",,"Low",_SPECIFIEDvarPubDate,)</f>
        <v>300</v>
      </c>
      <c r="C484" s="1">
        <f t="shared" si="21"/>
        <v>45848</v>
      </c>
      <c r="D484">
        <f t="shared" si="22"/>
        <v>2025</v>
      </c>
      <c r="E484">
        <f t="shared" si="23"/>
        <v>7</v>
      </c>
      <c r="F484" s="13" t="s">
        <v>966</v>
      </c>
      <c r="G484" s="13" t="s">
        <v>11</v>
      </c>
      <c r="H484" s="13" t="s">
        <v>2792</v>
      </c>
    </row>
    <row r="485" spans="1:8" x14ac:dyDescent="0.25">
      <c r="A485" t="s">
        <v>967</v>
      </c>
      <c r="B485" s="15" cm="1">
        <f t="array" ref="B485">_xll.GetPrice("FP-LBR-2123",,"Low",_SPECIFIEDvarPubDate,)</f>
        <v>295</v>
      </c>
      <c r="C485" s="1">
        <f t="shared" si="21"/>
        <v>45848</v>
      </c>
      <c r="D485">
        <f t="shared" si="22"/>
        <v>2025</v>
      </c>
      <c r="E485">
        <f t="shared" si="23"/>
        <v>7</v>
      </c>
      <c r="F485" s="13" t="s">
        <v>968</v>
      </c>
      <c r="G485" s="13" t="s">
        <v>11</v>
      </c>
      <c r="H485" s="13" t="s">
        <v>2792</v>
      </c>
    </row>
    <row r="486" spans="1:8" x14ac:dyDescent="0.25">
      <c r="A486" t="s">
        <v>969</v>
      </c>
      <c r="B486" s="15" cm="1">
        <f t="array" ref="B486">_xll.GetPrice("FP-LBR-0195",,"Low",_SPECIFIEDvarPubDate,)</f>
        <v>440</v>
      </c>
      <c r="C486" s="1">
        <f t="shared" si="21"/>
        <v>45848</v>
      </c>
      <c r="D486">
        <f t="shared" si="22"/>
        <v>2025</v>
      </c>
      <c r="E486">
        <f t="shared" si="23"/>
        <v>7</v>
      </c>
      <c r="F486" s="13" t="s">
        <v>970</v>
      </c>
      <c r="G486" s="13" t="s">
        <v>11</v>
      </c>
      <c r="H486" s="13" t="s">
        <v>2792</v>
      </c>
    </row>
    <row r="487" spans="1:8" x14ac:dyDescent="0.25">
      <c r="A487" t="s">
        <v>971</v>
      </c>
      <c r="B487" s="15" cm="1">
        <f t="array" ref="B487">_xll.GetPrice("FP-LBR-0204",,"Low",_SPECIFIEDvarPubDate,)</f>
        <v>380</v>
      </c>
      <c r="C487" s="1">
        <f t="shared" si="21"/>
        <v>45848</v>
      </c>
      <c r="D487">
        <f t="shared" si="22"/>
        <v>2025</v>
      </c>
      <c r="E487">
        <f t="shared" si="23"/>
        <v>7</v>
      </c>
      <c r="F487" s="13" t="s">
        <v>972</v>
      </c>
      <c r="G487" s="13" t="s">
        <v>11</v>
      </c>
      <c r="H487" s="13" t="s">
        <v>2792</v>
      </c>
    </row>
    <row r="488" spans="1:8" x14ac:dyDescent="0.25">
      <c r="A488" t="s">
        <v>973</v>
      </c>
      <c r="B488" s="15" cm="1">
        <f t="array" ref="B488">_xll.GetPrice("FP-LBR-0213",,"Low",_SPECIFIEDvarPubDate,)</f>
        <v>425</v>
      </c>
      <c r="C488" s="1">
        <f t="shared" si="21"/>
        <v>45848</v>
      </c>
      <c r="D488">
        <f t="shared" si="22"/>
        <v>2025</v>
      </c>
      <c r="E488">
        <f t="shared" si="23"/>
        <v>7</v>
      </c>
      <c r="F488" s="13" t="s">
        <v>974</v>
      </c>
      <c r="G488" s="13" t="s">
        <v>11</v>
      </c>
      <c r="H488" s="13" t="s">
        <v>2792</v>
      </c>
    </row>
    <row r="489" spans="1:8" x14ac:dyDescent="0.25">
      <c r="A489" t="s">
        <v>975</v>
      </c>
      <c r="B489" s="15" cm="1">
        <f t="array" ref="B489">_xll.GetPrice("FP-LBR-0222",,"Low",_SPECIFIEDvarPubDate,)</f>
        <v>400</v>
      </c>
      <c r="C489" s="1">
        <f t="shared" si="21"/>
        <v>45848</v>
      </c>
      <c r="D489">
        <f t="shared" si="22"/>
        <v>2025</v>
      </c>
      <c r="E489">
        <f t="shared" si="23"/>
        <v>7</v>
      </c>
      <c r="F489" s="13" t="s">
        <v>976</v>
      </c>
      <c r="G489" s="13" t="s">
        <v>11</v>
      </c>
      <c r="H489" s="13" t="s">
        <v>2792</v>
      </c>
    </row>
    <row r="490" spans="1:8" x14ac:dyDescent="0.25">
      <c r="A490" t="s">
        <v>977</v>
      </c>
      <c r="B490" s="15" cm="1">
        <f t="array" ref="B490">_xll.GetPrice("FP-LBR-1897",,"Low",_SPECIFIEDvarPubDate,)</f>
        <v>492</v>
      </c>
      <c r="C490" s="1">
        <f t="shared" si="21"/>
        <v>45848</v>
      </c>
      <c r="D490">
        <f t="shared" si="22"/>
        <v>2025</v>
      </c>
      <c r="E490">
        <f t="shared" si="23"/>
        <v>7</v>
      </c>
      <c r="F490" s="13" t="s">
        <v>978</v>
      </c>
      <c r="G490" s="13" t="s">
        <v>11</v>
      </c>
      <c r="H490" s="13" t="s">
        <v>2792</v>
      </c>
    </row>
    <row r="491" spans="1:8" x14ac:dyDescent="0.25">
      <c r="A491" t="s">
        <v>979</v>
      </c>
      <c r="B491" s="15" cm="1">
        <f t="array" ref="B491">_xll.GetPrice("FP-LBR-1896",,"Low",_SPECIFIEDvarPubDate,)</f>
        <v>526</v>
      </c>
      <c r="C491" s="1">
        <f t="shared" si="21"/>
        <v>45848</v>
      </c>
      <c r="D491">
        <f t="shared" si="22"/>
        <v>2025</v>
      </c>
      <c r="E491">
        <f t="shared" si="23"/>
        <v>7</v>
      </c>
      <c r="F491" s="13" t="s">
        <v>980</v>
      </c>
      <c r="G491" s="13" t="s">
        <v>11</v>
      </c>
      <c r="H491" s="13" t="s">
        <v>2792</v>
      </c>
    </row>
    <row r="492" spans="1:8" x14ac:dyDescent="0.25">
      <c r="A492" t="s">
        <v>981</v>
      </c>
      <c r="B492" s="15" cm="1">
        <f t="array" ref="B492">_xll.GetPrice("FP-LBR-1895",,"Low",_SPECIFIEDvarPubDate,)</f>
        <v>537</v>
      </c>
      <c r="C492" s="1">
        <f t="shared" si="21"/>
        <v>45848</v>
      </c>
      <c r="D492">
        <f t="shared" si="22"/>
        <v>2025</v>
      </c>
      <c r="E492">
        <f t="shared" si="23"/>
        <v>7</v>
      </c>
      <c r="F492" s="13" t="s">
        <v>982</v>
      </c>
      <c r="G492" s="13" t="s">
        <v>11</v>
      </c>
      <c r="H492" s="13" t="s">
        <v>2792</v>
      </c>
    </row>
    <row r="493" spans="1:8" x14ac:dyDescent="0.25">
      <c r="A493" t="s">
        <v>983</v>
      </c>
      <c r="B493" s="15" cm="1">
        <f t="array" ref="B493">_xll.GetPrice("FP-LBR-1894",,"Low",_SPECIFIEDvarPubDate,)</f>
        <v>550</v>
      </c>
      <c r="C493" s="1">
        <f t="shared" si="21"/>
        <v>45848</v>
      </c>
      <c r="D493">
        <f t="shared" si="22"/>
        <v>2025</v>
      </c>
      <c r="E493">
        <f t="shared" si="23"/>
        <v>7</v>
      </c>
      <c r="F493" s="13" t="s">
        <v>984</v>
      </c>
      <c r="G493" s="13" t="s">
        <v>11</v>
      </c>
      <c r="H493" s="13" t="s">
        <v>2792</v>
      </c>
    </row>
    <row r="494" spans="1:8" x14ac:dyDescent="0.25">
      <c r="A494" t="s">
        <v>985</v>
      </c>
      <c r="B494" s="15" cm="1">
        <f t="array" ref="B494">_xll.GetPrice("FP-LBR-2133",,"Low",_SPECIFIEDvarPubDate,)</f>
        <v>445</v>
      </c>
      <c r="C494" s="1">
        <f t="shared" si="21"/>
        <v>45848</v>
      </c>
      <c r="D494">
        <f t="shared" si="22"/>
        <v>2025</v>
      </c>
      <c r="E494">
        <f t="shared" si="23"/>
        <v>7</v>
      </c>
      <c r="F494" s="13" t="s">
        <v>986</v>
      </c>
      <c r="G494" s="13" t="s">
        <v>11</v>
      </c>
      <c r="H494" s="13" t="s">
        <v>2792</v>
      </c>
    </row>
    <row r="495" spans="1:8" x14ac:dyDescent="0.25">
      <c r="A495" t="s">
        <v>987</v>
      </c>
      <c r="B495" s="15" cm="1">
        <f t="array" ref="B495">_xll.GetPrice("FP-LBR-2140",,"Low",_SPECIFIEDvarPubDate,)</f>
        <v>340</v>
      </c>
      <c r="C495" s="1">
        <f t="shared" si="21"/>
        <v>45848</v>
      </c>
      <c r="D495">
        <f t="shared" si="22"/>
        <v>2025</v>
      </c>
      <c r="E495">
        <f t="shared" si="23"/>
        <v>7</v>
      </c>
      <c r="F495" s="13" t="s">
        <v>988</v>
      </c>
      <c r="G495" s="13" t="s">
        <v>11</v>
      </c>
      <c r="H495" s="13" t="s">
        <v>2792</v>
      </c>
    </row>
    <row r="496" spans="1:8" x14ac:dyDescent="0.25">
      <c r="A496" t="s">
        <v>989</v>
      </c>
      <c r="B496" s="15" cm="1">
        <f t="array" ref="B496">_xll.GetPrice("FP-LBR-2147",,"Low",_SPECIFIEDvarPubDate,)</f>
        <v>345</v>
      </c>
      <c r="C496" s="1">
        <f t="shared" si="21"/>
        <v>45848</v>
      </c>
      <c r="D496">
        <f t="shared" si="22"/>
        <v>2025</v>
      </c>
      <c r="E496">
        <f t="shared" si="23"/>
        <v>7</v>
      </c>
      <c r="F496" s="13" t="s">
        <v>990</v>
      </c>
      <c r="G496" s="13" t="s">
        <v>11</v>
      </c>
      <c r="H496" s="13" t="s">
        <v>2792</v>
      </c>
    </row>
    <row r="497" spans="1:8" x14ac:dyDescent="0.25">
      <c r="A497" t="s">
        <v>991</v>
      </c>
      <c r="B497" s="15" cm="1">
        <f t="array" ref="B497">_xll.GetPrice("FP-LBR-2154",,"Low",_SPECIFIEDvarPubDate,)</f>
        <v>385</v>
      </c>
      <c r="C497" s="1">
        <f t="shared" si="21"/>
        <v>45848</v>
      </c>
      <c r="D497">
        <f t="shared" si="22"/>
        <v>2025</v>
      </c>
      <c r="E497">
        <f t="shared" si="23"/>
        <v>7</v>
      </c>
      <c r="F497" s="13" t="s">
        <v>992</v>
      </c>
      <c r="G497" s="13" t="s">
        <v>11</v>
      </c>
      <c r="H497" s="13" t="s">
        <v>2792</v>
      </c>
    </row>
    <row r="498" spans="1:8" x14ac:dyDescent="0.25">
      <c r="A498" t="s">
        <v>993</v>
      </c>
      <c r="B498" s="15" cm="1">
        <f t="array" ref="B498">_xll.GetPrice("FP-LBR-2161",,"Low",_SPECIFIEDvarPubDate,)</f>
        <v>385</v>
      </c>
      <c r="C498" s="1">
        <f t="shared" si="21"/>
        <v>45848</v>
      </c>
      <c r="D498">
        <f t="shared" si="22"/>
        <v>2025</v>
      </c>
      <c r="E498">
        <f t="shared" si="23"/>
        <v>7</v>
      </c>
      <c r="F498" s="13" t="s">
        <v>994</v>
      </c>
      <c r="G498" s="13" t="s">
        <v>11</v>
      </c>
      <c r="H498" s="13" t="s">
        <v>2792</v>
      </c>
    </row>
    <row r="499" spans="1:8" x14ac:dyDescent="0.25">
      <c r="A499" t="s">
        <v>995</v>
      </c>
      <c r="B499" s="15" cm="1">
        <f t="array" ref="B499">_xll.GetPrice("FP-LBR-2090",,"Low",_SPECIFIEDvarPubDate,)</f>
        <v>375</v>
      </c>
      <c r="C499" s="1">
        <f t="shared" si="21"/>
        <v>45848</v>
      </c>
      <c r="D499">
        <f t="shared" si="22"/>
        <v>2025</v>
      </c>
      <c r="E499">
        <f t="shared" si="23"/>
        <v>7</v>
      </c>
      <c r="F499" s="13" t="s">
        <v>996</v>
      </c>
      <c r="G499" s="13" t="s">
        <v>11</v>
      </c>
      <c r="H499" s="13" t="s">
        <v>2792</v>
      </c>
    </row>
    <row r="500" spans="1:8" x14ac:dyDescent="0.25">
      <c r="A500" t="s">
        <v>997</v>
      </c>
      <c r="B500" s="15" cm="1">
        <f t="array" ref="B500">_xll.GetPrice("FP-LBR-2097",,"Low",_SPECIFIEDvarPubDate,)</f>
        <v>300</v>
      </c>
      <c r="C500" s="1">
        <f t="shared" si="21"/>
        <v>45848</v>
      </c>
      <c r="D500">
        <f t="shared" si="22"/>
        <v>2025</v>
      </c>
      <c r="E500">
        <f t="shared" si="23"/>
        <v>7</v>
      </c>
      <c r="F500" s="13" t="s">
        <v>998</v>
      </c>
      <c r="G500" s="13" t="s">
        <v>11</v>
      </c>
      <c r="H500" s="13" t="s">
        <v>2792</v>
      </c>
    </row>
    <row r="501" spans="1:8" x14ac:dyDescent="0.25">
      <c r="A501" t="s">
        <v>999</v>
      </c>
      <c r="B501" s="15" cm="1">
        <f t="array" ref="B501">_xll.GetPrice("FP-LBR-2106",,"Low",_SPECIFIEDvarPubDate,)</f>
        <v>310</v>
      </c>
      <c r="C501" s="1">
        <f t="shared" si="21"/>
        <v>45848</v>
      </c>
      <c r="D501">
        <f t="shared" si="22"/>
        <v>2025</v>
      </c>
      <c r="E501">
        <f t="shared" si="23"/>
        <v>7</v>
      </c>
      <c r="F501" s="13" t="s">
        <v>1000</v>
      </c>
      <c r="G501" s="13" t="s">
        <v>11</v>
      </c>
      <c r="H501" s="13" t="s">
        <v>2792</v>
      </c>
    </row>
    <row r="502" spans="1:8" x14ac:dyDescent="0.25">
      <c r="A502" t="s">
        <v>1001</v>
      </c>
      <c r="B502" s="15" cm="1">
        <f t="array" ref="B502">_xll.GetPrice("FP-LBR-2115",,"Low",_SPECIFIEDvarPubDate,)</f>
        <v>290</v>
      </c>
      <c r="C502" s="1">
        <f t="shared" si="21"/>
        <v>45848</v>
      </c>
      <c r="D502">
        <f t="shared" si="22"/>
        <v>2025</v>
      </c>
      <c r="E502">
        <f t="shared" si="23"/>
        <v>7</v>
      </c>
      <c r="F502" s="13" t="s">
        <v>1002</v>
      </c>
      <c r="G502" s="13" t="s">
        <v>11</v>
      </c>
      <c r="H502" s="13" t="s">
        <v>2792</v>
      </c>
    </row>
    <row r="503" spans="1:8" x14ac:dyDescent="0.25">
      <c r="A503" t="s">
        <v>1003</v>
      </c>
      <c r="B503" s="15" cm="1">
        <f t="array" ref="B503">_xll.GetPrice("FP-LBR-2124",,"Low",_SPECIFIEDvarPubDate,)</f>
        <v>350</v>
      </c>
      <c r="C503" s="1">
        <f t="shared" si="21"/>
        <v>45848</v>
      </c>
      <c r="D503">
        <f t="shared" si="22"/>
        <v>2025</v>
      </c>
      <c r="E503">
        <f t="shared" si="23"/>
        <v>7</v>
      </c>
      <c r="F503" s="13" t="s">
        <v>1004</v>
      </c>
      <c r="G503" s="13" t="s">
        <v>11</v>
      </c>
      <c r="H503" s="13" t="s">
        <v>2792</v>
      </c>
    </row>
    <row r="504" spans="1:8" x14ac:dyDescent="0.25">
      <c r="A504" t="s">
        <v>1005</v>
      </c>
      <c r="B504" s="15" cm="1">
        <f t="array" ref="B504">_xll.GetPrice("FP-LBR-0196",,"Low",_SPECIFIEDvarPubDate,)</f>
        <v>500</v>
      </c>
      <c r="C504" s="1">
        <f t="shared" si="21"/>
        <v>45848</v>
      </c>
      <c r="D504">
        <f t="shared" si="22"/>
        <v>2025</v>
      </c>
      <c r="E504">
        <f t="shared" si="23"/>
        <v>7</v>
      </c>
      <c r="F504" s="13" t="s">
        <v>1006</v>
      </c>
      <c r="G504" s="13" t="s">
        <v>11</v>
      </c>
      <c r="H504" s="13" t="s">
        <v>2792</v>
      </c>
    </row>
    <row r="505" spans="1:8" x14ac:dyDescent="0.25">
      <c r="A505" t="s">
        <v>1007</v>
      </c>
      <c r="B505" s="15" cm="1">
        <f t="array" ref="B505">_xll.GetPrice("FP-LBR-0205",,"Low",_SPECIFIEDvarPubDate,)</f>
        <v>440</v>
      </c>
      <c r="C505" s="1">
        <f t="shared" si="21"/>
        <v>45848</v>
      </c>
      <c r="D505">
        <f t="shared" si="22"/>
        <v>2025</v>
      </c>
      <c r="E505">
        <f t="shared" si="23"/>
        <v>7</v>
      </c>
      <c r="F505" s="13" t="s">
        <v>1008</v>
      </c>
      <c r="G505" s="13" t="s">
        <v>11</v>
      </c>
      <c r="H505" s="13" t="s">
        <v>2792</v>
      </c>
    </row>
    <row r="506" spans="1:8" x14ac:dyDescent="0.25">
      <c r="A506" t="s">
        <v>1009</v>
      </c>
      <c r="B506" s="15" cm="1">
        <f t="array" ref="B506">_xll.GetPrice("FP-LBR-0214",,"Low",_SPECIFIEDvarPubDate,)</f>
        <v>435</v>
      </c>
      <c r="C506" s="1">
        <f t="shared" si="21"/>
        <v>45848</v>
      </c>
      <c r="D506">
        <f t="shared" si="22"/>
        <v>2025</v>
      </c>
      <c r="E506">
        <f t="shared" si="23"/>
        <v>7</v>
      </c>
      <c r="F506" s="13" t="s">
        <v>1010</v>
      </c>
      <c r="G506" s="13" t="s">
        <v>11</v>
      </c>
      <c r="H506" s="13" t="s">
        <v>2792</v>
      </c>
    </row>
    <row r="507" spans="1:8" x14ac:dyDescent="0.25">
      <c r="A507" t="s">
        <v>1011</v>
      </c>
      <c r="B507" s="15" cm="1">
        <f t="array" ref="B507">_xll.GetPrice("FP-LBR-0223",,"Low",_SPECIFIEDvarPubDate,)</f>
        <v>470</v>
      </c>
      <c r="C507" s="1">
        <f t="shared" si="21"/>
        <v>45848</v>
      </c>
      <c r="D507">
        <f t="shared" si="22"/>
        <v>2025</v>
      </c>
      <c r="E507">
        <f t="shared" si="23"/>
        <v>7</v>
      </c>
      <c r="F507" s="13" t="s">
        <v>1012</v>
      </c>
      <c r="G507" s="13" t="s">
        <v>11</v>
      </c>
      <c r="H507" s="13" t="s">
        <v>2792</v>
      </c>
    </row>
    <row r="508" spans="1:8" x14ac:dyDescent="0.25">
      <c r="A508" t="s">
        <v>1013</v>
      </c>
      <c r="B508" s="15" cm="1">
        <f t="array" ref="B508">_xll.GetPrice("FP-LBR-2134",,"Low",_SPECIFIEDvarPubDate,)</f>
        <v>400</v>
      </c>
      <c r="C508" s="1">
        <f t="shared" si="21"/>
        <v>45848</v>
      </c>
      <c r="D508">
        <f t="shared" si="22"/>
        <v>2025</v>
      </c>
      <c r="E508">
        <f t="shared" si="23"/>
        <v>7</v>
      </c>
      <c r="F508" s="13" t="s">
        <v>1014</v>
      </c>
      <c r="G508" s="13" t="s">
        <v>11</v>
      </c>
      <c r="H508" s="13" t="s">
        <v>2792</v>
      </c>
    </row>
    <row r="509" spans="1:8" x14ac:dyDescent="0.25">
      <c r="A509" t="s">
        <v>1015</v>
      </c>
      <c r="B509" s="15" cm="1">
        <f t="array" ref="B509">_xll.GetPrice("FP-LBR-2141",,"Low",_SPECIFIEDvarPubDate,)</f>
        <v>320</v>
      </c>
      <c r="C509" s="1">
        <f t="shared" si="21"/>
        <v>45848</v>
      </c>
      <c r="D509">
        <f t="shared" si="22"/>
        <v>2025</v>
      </c>
      <c r="E509">
        <f t="shared" si="23"/>
        <v>7</v>
      </c>
      <c r="F509" s="13" t="s">
        <v>1016</v>
      </c>
      <c r="G509" s="13" t="s">
        <v>11</v>
      </c>
      <c r="H509" s="13" t="s">
        <v>2792</v>
      </c>
    </row>
    <row r="510" spans="1:8" x14ac:dyDescent="0.25">
      <c r="A510" t="s">
        <v>1017</v>
      </c>
      <c r="B510" s="15" cm="1">
        <f t="array" ref="B510">_xll.GetPrice("FP-LBR-2148",,"Low",_SPECIFIEDvarPubDate,)</f>
        <v>335</v>
      </c>
      <c r="C510" s="1">
        <f t="shared" si="21"/>
        <v>45848</v>
      </c>
      <c r="D510">
        <f t="shared" si="22"/>
        <v>2025</v>
      </c>
      <c r="E510">
        <f t="shared" si="23"/>
        <v>7</v>
      </c>
      <c r="F510" s="13" t="s">
        <v>1018</v>
      </c>
      <c r="G510" s="13" t="s">
        <v>11</v>
      </c>
      <c r="H510" s="13" t="s">
        <v>2792</v>
      </c>
    </row>
    <row r="511" spans="1:8" x14ac:dyDescent="0.25">
      <c r="A511" t="s">
        <v>1019</v>
      </c>
      <c r="B511" s="15" cm="1">
        <f t="array" ref="B511">_xll.GetPrice("FP-LBR-2155",,"Low",_SPECIFIEDvarPubDate,)</f>
        <v>335</v>
      </c>
      <c r="C511" s="1">
        <f t="shared" si="21"/>
        <v>45848</v>
      </c>
      <c r="D511">
        <f t="shared" si="22"/>
        <v>2025</v>
      </c>
      <c r="E511">
        <f t="shared" si="23"/>
        <v>7</v>
      </c>
      <c r="F511" s="13" t="s">
        <v>1020</v>
      </c>
      <c r="G511" s="13" t="s">
        <v>11</v>
      </c>
      <c r="H511" s="13" t="s">
        <v>2792</v>
      </c>
    </row>
    <row r="512" spans="1:8" x14ac:dyDescent="0.25">
      <c r="A512" t="s">
        <v>1021</v>
      </c>
      <c r="B512" s="15" cm="1">
        <f t="array" ref="B512">_xll.GetPrice("FP-LBR-2162",,"Low",_SPECIFIEDvarPubDate,)</f>
        <v>405</v>
      </c>
      <c r="C512" s="1">
        <f t="shared" si="21"/>
        <v>45848</v>
      </c>
      <c r="D512">
        <f t="shared" si="22"/>
        <v>2025</v>
      </c>
      <c r="E512">
        <f t="shared" si="23"/>
        <v>7</v>
      </c>
      <c r="F512" s="13" t="s">
        <v>1022</v>
      </c>
      <c r="G512" s="13" t="s">
        <v>11</v>
      </c>
      <c r="H512" s="13" t="s">
        <v>2792</v>
      </c>
    </row>
    <row r="513" spans="1:8" x14ac:dyDescent="0.25">
      <c r="A513" t="s">
        <v>1023</v>
      </c>
      <c r="B513" s="15" cm="1">
        <f t="array" ref="B513">_xll.GetPrice("FP-LBR-2091",,"Low",_SPECIFIEDvarPubDate,)</f>
        <v>320</v>
      </c>
      <c r="C513" s="1">
        <f t="shared" si="21"/>
        <v>45848</v>
      </c>
      <c r="D513">
        <f t="shared" si="22"/>
        <v>2025</v>
      </c>
      <c r="E513">
        <f t="shared" si="23"/>
        <v>7</v>
      </c>
      <c r="F513" s="13" t="s">
        <v>1024</v>
      </c>
      <c r="G513" s="13" t="s">
        <v>11</v>
      </c>
      <c r="H513" s="13" t="s">
        <v>2792</v>
      </c>
    </row>
    <row r="514" spans="1:8" x14ac:dyDescent="0.25">
      <c r="A514" t="s">
        <v>1025</v>
      </c>
      <c r="B514" s="15" cm="1">
        <f t="array" ref="B514">_xll.GetPrice("FP-LBR-2098",,"Low",_SPECIFIEDvarPubDate,)</f>
        <v>295</v>
      </c>
      <c r="C514" s="1">
        <f t="shared" ref="C514:C577" si="24">_SPECIFIEDvarPubDate</f>
        <v>45848</v>
      </c>
      <c r="D514">
        <f t="shared" ref="D514:D577" si="25">_SPECIFIEDvarYear</f>
        <v>2025</v>
      </c>
      <c r="E514">
        <f t="shared" ref="E514:E577" si="26">_SPECIFIEDvarMonth</f>
        <v>7</v>
      </c>
      <c r="F514" s="13" t="s">
        <v>1026</v>
      </c>
      <c r="G514" s="13" t="s">
        <v>11</v>
      </c>
      <c r="H514" s="13" t="s">
        <v>2792</v>
      </c>
    </row>
    <row r="515" spans="1:8" x14ac:dyDescent="0.25">
      <c r="A515" t="s">
        <v>1027</v>
      </c>
      <c r="B515" s="15" cm="1">
        <f t="array" ref="B515">_xll.GetPrice("FP-LBR-2107",,"Low",_SPECIFIEDvarPubDate,)</f>
        <v>285</v>
      </c>
      <c r="C515" s="1">
        <f t="shared" si="24"/>
        <v>45848</v>
      </c>
      <c r="D515">
        <f t="shared" si="25"/>
        <v>2025</v>
      </c>
      <c r="E515">
        <f t="shared" si="26"/>
        <v>7</v>
      </c>
      <c r="F515" s="13" t="s">
        <v>1028</v>
      </c>
      <c r="G515" s="13" t="s">
        <v>11</v>
      </c>
      <c r="H515" s="13" t="s">
        <v>2792</v>
      </c>
    </row>
    <row r="516" spans="1:8" x14ac:dyDescent="0.25">
      <c r="A516" t="s">
        <v>1029</v>
      </c>
      <c r="B516" s="15" cm="1">
        <f t="array" ref="B516">_xll.GetPrice("FP-LBR-2116",,"Low",_SPECIFIEDvarPubDate,)</f>
        <v>260</v>
      </c>
      <c r="C516" s="1">
        <f t="shared" si="24"/>
        <v>45848</v>
      </c>
      <c r="D516">
        <f t="shared" si="25"/>
        <v>2025</v>
      </c>
      <c r="E516">
        <f t="shared" si="26"/>
        <v>7</v>
      </c>
      <c r="F516" s="13" t="s">
        <v>1030</v>
      </c>
      <c r="G516" s="13" t="s">
        <v>11</v>
      </c>
      <c r="H516" s="13" t="s">
        <v>2792</v>
      </c>
    </row>
    <row r="517" spans="1:8" x14ac:dyDescent="0.25">
      <c r="A517" t="s">
        <v>1031</v>
      </c>
      <c r="B517" s="15" cm="1">
        <f t="array" ref="B517">_xll.GetPrice("FP-LBR-2125",,"Low",_SPECIFIEDvarPubDate,)</f>
        <v>330</v>
      </c>
      <c r="C517" s="1">
        <f t="shared" si="24"/>
        <v>45848</v>
      </c>
      <c r="D517">
        <f t="shared" si="25"/>
        <v>2025</v>
      </c>
      <c r="E517">
        <f t="shared" si="26"/>
        <v>7</v>
      </c>
      <c r="F517" s="13" t="s">
        <v>1032</v>
      </c>
      <c r="G517" s="13" t="s">
        <v>11</v>
      </c>
      <c r="H517" s="13" t="s">
        <v>2792</v>
      </c>
    </row>
    <row r="518" spans="1:8" x14ac:dyDescent="0.25">
      <c r="A518" t="s">
        <v>1033</v>
      </c>
      <c r="B518" s="15" cm="1">
        <f t="array" ref="B518">_xll.GetPrice("FP-LBR-0197",,"Low",_SPECIFIEDvarPubDate,)</f>
        <v>485</v>
      </c>
      <c r="C518" s="1">
        <f t="shared" si="24"/>
        <v>45848</v>
      </c>
      <c r="D518">
        <f t="shared" si="25"/>
        <v>2025</v>
      </c>
      <c r="E518">
        <f t="shared" si="26"/>
        <v>7</v>
      </c>
      <c r="F518" s="13" t="s">
        <v>1034</v>
      </c>
      <c r="G518" s="13" t="s">
        <v>11</v>
      </c>
      <c r="H518" s="13" t="s">
        <v>2792</v>
      </c>
    </row>
    <row r="519" spans="1:8" x14ac:dyDescent="0.25">
      <c r="A519" t="s">
        <v>1035</v>
      </c>
      <c r="B519" s="15" cm="1">
        <f t="array" ref="B519">_xll.GetPrice("FP-LBR-0206",,"Low",_SPECIFIEDvarPubDate,)</f>
        <v>420</v>
      </c>
      <c r="C519" s="1">
        <f t="shared" si="24"/>
        <v>45848</v>
      </c>
      <c r="D519">
        <f t="shared" si="25"/>
        <v>2025</v>
      </c>
      <c r="E519">
        <f t="shared" si="26"/>
        <v>7</v>
      </c>
      <c r="F519" s="13" t="s">
        <v>1036</v>
      </c>
      <c r="G519" s="13" t="s">
        <v>11</v>
      </c>
      <c r="H519" s="13" t="s">
        <v>2792</v>
      </c>
    </row>
    <row r="520" spans="1:8" x14ac:dyDescent="0.25">
      <c r="A520" t="s">
        <v>1037</v>
      </c>
      <c r="B520" s="15" cm="1">
        <f t="array" ref="B520">_xll.GetPrice("FP-LBR-0215",,"Low",_SPECIFIEDvarPubDate,)</f>
        <v>420</v>
      </c>
      <c r="C520" s="1">
        <f t="shared" si="24"/>
        <v>45848</v>
      </c>
      <c r="D520">
        <f t="shared" si="25"/>
        <v>2025</v>
      </c>
      <c r="E520">
        <f t="shared" si="26"/>
        <v>7</v>
      </c>
      <c r="F520" s="13" t="s">
        <v>1038</v>
      </c>
      <c r="G520" s="13" t="s">
        <v>11</v>
      </c>
      <c r="H520" s="13" t="s">
        <v>2792</v>
      </c>
    </row>
    <row r="521" spans="1:8" x14ac:dyDescent="0.25">
      <c r="A521" t="s">
        <v>1039</v>
      </c>
      <c r="B521" s="15" cm="1">
        <f t="array" ref="B521">_xll.GetPrice("FP-LBR-0224",,"Low",_SPECIFIEDvarPubDate,)</f>
        <v>415</v>
      </c>
      <c r="C521" s="1">
        <f t="shared" si="24"/>
        <v>45848</v>
      </c>
      <c r="D521">
        <f t="shared" si="25"/>
        <v>2025</v>
      </c>
      <c r="E521">
        <f t="shared" si="26"/>
        <v>7</v>
      </c>
      <c r="F521" s="13" t="s">
        <v>1040</v>
      </c>
      <c r="G521" s="13" t="s">
        <v>11</v>
      </c>
      <c r="H521" s="13" t="s">
        <v>2792</v>
      </c>
    </row>
    <row r="522" spans="1:8" x14ac:dyDescent="0.25">
      <c r="A522" t="s">
        <v>1041</v>
      </c>
      <c r="B522" s="15" cm="1">
        <f t="array" ref="B522">_xll.GetPrice("FP-LBR-2135",,"Low",_SPECIFIEDvarPubDate,)</f>
        <v>400</v>
      </c>
      <c r="C522" s="1">
        <f t="shared" si="24"/>
        <v>45848</v>
      </c>
      <c r="D522">
        <f t="shared" si="25"/>
        <v>2025</v>
      </c>
      <c r="E522">
        <f t="shared" si="26"/>
        <v>7</v>
      </c>
      <c r="F522" s="13" t="s">
        <v>1042</v>
      </c>
      <c r="G522" s="13" t="s">
        <v>11</v>
      </c>
      <c r="H522" s="13" t="s">
        <v>2792</v>
      </c>
    </row>
    <row r="523" spans="1:8" x14ac:dyDescent="0.25">
      <c r="A523" t="s">
        <v>1043</v>
      </c>
      <c r="B523" s="15" cm="1">
        <f t="array" ref="B523">_xll.GetPrice("FP-LBR-2142",,"Low",_SPECIFIEDvarPubDate,)</f>
        <v>345</v>
      </c>
      <c r="C523" s="1">
        <f t="shared" si="24"/>
        <v>45848</v>
      </c>
      <c r="D523">
        <f t="shared" si="25"/>
        <v>2025</v>
      </c>
      <c r="E523">
        <f t="shared" si="26"/>
        <v>7</v>
      </c>
      <c r="F523" s="13" t="s">
        <v>1044</v>
      </c>
      <c r="G523" s="13" t="s">
        <v>11</v>
      </c>
      <c r="H523" s="13" t="s">
        <v>2792</v>
      </c>
    </row>
    <row r="524" spans="1:8" x14ac:dyDescent="0.25">
      <c r="A524" t="s">
        <v>1045</v>
      </c>
      <c r="B524" s="15" cm="1">
        <f t="array" ref="B524">_xll.GetPrice("FP-LBR-2149",,"Low",_SPECIFIEDvarPubDate,)</f>
        <v>330</v>
      </c>
      <c r="C524" s="1">
        <f t="shared" si="24"/>
        <v>45848</v>
      </c>
      <c r="D524">
        <f t="shared" si="25"/>
        <v>2025</v>
      </c>
      <c r="E524">
        <f t="shared" si="26"/>
        <v>7</v>
      </c>
      <c r="F524" s="13" t="s">
        <v>1046</v>
      </c>
      <c r="G524" s="13" t="s">
        <v>11</v>
      </c>
      <c r="H524" s="13" t="s">
        <v>2792</v>
      </c>
    </row>
    <row r="525" spans="1:8" x14ac:dyDescent="0.25">
      <c r="A525" t="s">
        <v>1047</v>
      </c>
      <c r="B525" s="15" cm="1">
        <f t="array" ref="B525">_xll.GetPrice("FP-LBR-2156",,"Low",_SPECIFIEDvarPubDate,)</f>
        <v>435</v>
      </c>
      <c r="C525" s="1">
        <f t="shared" si="24"/>
        <v>45848</v>
      </c>
      <c r="D525">
        <f t="shared" si="25"/>
        <v>2025</v>
      </c>
      <c r="E525">
        <f t="shared" si="26"/>
        <v>7</v>
      </c>
      <c r="F525" s="13" t="s">
        <v>1048</v>
      </c>
      <c r="G525" s="13" t="s">
        <v>11</v>
      </c>
      <c r="H525" s="13" t="s">
        <v>2792</v>
      </c>
    </row>
    <row r="526" spans="1:8" x14ac:dyDescent="0.25">
      <c r="A526" t="s">
        <v>1049</v>
      </c>
      <c r="B526" s="15" cm="1">
        <f t="array" ref="B526">_xll.GetPrice("FP-LBR-2163",,"Low",_SPECIFIEDvarPubDate,)</f>
        <v>645</v>
      </c>
      <c r="C526" s="1">
        <f t="shared" si="24"/>
        <v>45848</v>
      </c>
      <c r="D526">
        <f t="shared" si="25"/>
        <v>2025</v>
      </c>
      <c r="E526">
        <f t="shared" si="26"/>
        <v>7</v>
      </c>
      <c r="F526" s="13" t="s">
        <v>1050</v>
      </c>
      <c r="G526" s="13" t="s">
        <v>11</v>
      </c>
      <c r="H526" s="13" t="s">
        <v>2792</v>
      </c>
    </row>
    <row r="527" spans="1:8" x14ac:dyDescent="0.25">
      <c r="A527" t="s">
        <v>1051</v>
      </c>
      <c r="B527" s="15" cm="1">
        <f t="array" ref="B527">_xll.GetPrice("FP-LBR-2092",,"Low",_SPECIFIEDvarPubDate,)</f>
        <v>330</v>
      </c>
      <c r="C527" s="1">
        <f t="shared" si="24"/>
        <v>45848</v>
      </c>
      <c r="D527">
        <f t="shared" si="25"/>
        <v>2025</v>
      </c>
      <c r="E527">
        <f t="shared" si="26"/>
        <v>7</v>
      </c>
      <c r="F527" s="13" t="s">
        <v>1052</v>
      </c>
      <c r="G527" s="13" t="s">
        <v>11</v>
      </c>
      <c r="H527" s="13" t="s">
        <v>2792</v>
      </c>
    </row>
    <row r="528" spans="1:8" x14ac:dyDescent="0.25">
      <c r="A528" t="s">
        <v>1053</v>
      </c>
      <c r="B528" s="15" cm="1">
        <f t="array" ref="B528">_xll.GetPrice("FP-LBR-2099",,"Low",_SPECIFIEDvarPubDate,)</f>
        <v>295</v>
      </c>
      <c r="C528" s="1">
        <f t="shared" si="24"/>
        <v>45848</v>
      </c>
      <c r="D528">
        <f t="shared" si="25"/>
        <v>2025</v>
      </c>
      <c r="E528">
        <f t="shared" si="26"/>
        <v>7</v>
      </c>
      <c r="F528" s="13" t="s">
        <v>1054</v>
      </c>
      <c r="G528" s="13" t="s">
        <v>11</v>
      </c>
      <c r="H528" s="13" t="s">
        <v>2792</v>
      </c>
    </row>
    <row r="529" spans="1:8" x14ac:dyDescent="0.25">
      <c r="A529" t="s">
        <v>1055</v>
      </c>
      <c r="B529" s="15" cm="1">
        <f t="array" ref="B529">_xll.GetPrice("FP-LBR-2108",,"Low",_SPECIFIEDvarPubDate,)</f>
        <v>290</v>
      </c>
      <c r="C529" s="1">
        <f t="shared" si="24"/>
        <v>45848</v>
      </c>
      <c r="D529">
        <f t="shared" si="25"/>
        <v>2025</v>
      </c>
      <c r="E529">
        <f t="shared" si="26"/>
        <v>7</v>
      </c>
      <c r="F529" s="13" t="s">
        <v>1056</v>
      </c>
      <c r="G529" s="13" t="s">
        <v>11</v>
      </c>
      <c r="H529" s="13" t="s">
        <v>2792</v>
      </c>
    </row>
    <row r="530" spans="1:8" x14ac:dyDescent="0.25">
      <c r="A530" t="s">
        <v>1057</v>
      </c>
      <c r="B530" s="15" cm="1">
        <f t="array" ref="B530">_xll.GetPrice("FP-LBR-2117",,"Low",_SPECIFIEDvarPubDate,)</f>
        <v>270</v>
      </c>
      <c r="C530" s="1">
        <f t="shared" si="24"/>
        <v>45848</v>
      </c>
      <c r="D530">
        <f t="shared" si="25"/>
        <v>2025</v>
      </c>
      <c r="E530">
        <f t="shared" si="26"/>
        <v>7</v>
      </c>
      <c r="F530" s="13" t="s">
        <v>1058</v>
      </c>
      <c r="G530" s="13" t="s">
        <v>11</v>
      </c>
      <c r="H530" s="13" t="s">
        <v>2792</v>
      </c>
    </row>
    <row r="531" spans="1:8" x14ac:dyDescent="0.25">
      <c r="A531" t="s">
        <v>1059</v>
      </c>
      <c r="B531" s="15" cm="1">
        <f t="array" ref="B531">_xll.GetPrice("FP-LBR-2126",,"Low",_SPECIFIEDvarPubDate,)</f>
        <v>450</v>
      </c>
      <c r="C531" s="1">
        <f t="shared" si="24"/>
        <v>45848</v>
      </c>
      <c r="D531">
        <f t="shared" si="25"/>
        <v>2025</v>
      </c>
      <c r="E531">
        <f t="shared" si="26"/>
        <v>7</v>
      </c>
      <c r="F531" s="13" t="s">
        <v>1060</v>
      </c>
      <c r="G531" s="13" t="s">
        <v>11</v>
      </c>
      <c r="H531" s="13" t="s">
        <v>2792</v>
      </c>
    </row>
    <row r="532" spans="1:8" x14ac:dyDescent="0.25">
      <c r="A532" t="s">
        <v>1061</v>
      </c>
      <c r="B532" s="15" cm="1">
        <f t="array" ref="B532">_xll.GetPrice("FP-LBR-0198",,"Low",_SPECIFIEDvarPubDate,)</f>
        <v>490</v>
      </c>
      <c r="C532" s="1">
        <f t="shared" si="24"/>
        <v>45848</v>
      </c>
      <c r="D532">
        <f t="shared" si="25"/>
        <v>2025</v>
      </c>
      <c r="E532">
        <f t="shared" si="26"/>
        <v>7</v>
      </c>
      <c r="F532" s="13" t="s">
        <v>1062</v>
      </c>
      <c r="G532" s="13" t="s">
        <v>11</v>
      </c>
      <c r="H532" s="13" t="s">
        <v>2792</v>
      </c>
    </row>
    <row r="533" spans="1:8" x14ac:dyDescent="0.25">
      <c r="A533" t="s">
        <v>1063</v>
      </c>
      <c r="B533" s="15" cm="1">
        <f t="array" ref="B533">_xll.GetPrice("FP-LBR-0207",,"Low",_SPECIFIEDvarPubDate,)</f>
        <v>420</v>
      </c>
      <c r="C533" s="1">
        <f t="shared" si="24"/>
        <v>45848</v>
      </c>
      <c r="D533">
        <f t="shared" si="25"/>
        <v>2025</v>
      </c>
      <c r="E533">
        <f t="shared" si="26"/>
        <v>7</v>
      </c>
      <c r="F533" s="13" t="s">
        <v>1064</v>
      </c>
      <c r="G533" s="13" t="s">
        <v>11</v>
      </c>
      <c r="H533" s="13" t="s">
        <v>2792</v>
      </c>
    </row>
    <row r="534" spans="1:8" x14ac:dyDescent="0.25">
      <c r="A534" t="s">
        <v>1065</v>
      </c>
      <c r="B534" s="15" cm="1">
        <f t="array" ref="B534">_xll.GetPrice("FP-LBR-0216",,"Low",_SPECIFIEDvarPubDate,)</f>
        <v>420</v>
      </c>
      <c r="C534" s="1">
        <f t="shared" si="24"/>
        <v>45848</v>
      </c>
      <c r="D534">
        <f t="shared" si="25"/>
        <v>2025</v>
      </c>
      <c r="E534">
        <f t="shared" si="26"/>
        <v>7</v>
      </c>
      <c r="F534" s="13" t="s">
        <v>1066</v>
      </c>
      <c r="G534" s="13" t="s">
        <v>11</v>
      </c>
      <c r="H534" s="13" t="s">
        <v>2792</v>
      </c>
    </row>
    <row r="535" spans="1:8" x14ac:dyDescent="0.25">
      <c r="A535" t="s">
        <v>1067</v>
      </c>
      <c r="B535" s="15" cm="1">
        <f t="array" ref="B535">_xll.GetPrice("FP-LBR-0225",,"Low",_SPECIFIEDvarPubDate,)</f>
        <v>415</v>
      </c>
      <c r="C535" s="1">
        <f t="shared" si="24"/>
        <v>45848</v>
      </c>
      <c r="D535">
        <f t="shared" si="25"/>
        <v>2025</v>
      </c>
      <c r="E535">
        <f t="shared" si="26"/>
        <v>7</v>
      </c>
      <c r="F535" s="13" t="s">
        <v>1068</v>
      </c>
      <c r="G535" s="13" t="s">
        <v>11</v>
      </c>
      <c r="H535" s="13" t="s">
        <v>2792</v>
      </c>
    </row>
    <row r="536" spans="1:8" x14ac:dyDescent="0.25">
      <c r="A536" t="s">
        <v>1069</v>
      </c>
      <c r="B536" s="15" cm="1">
        <f t="array" ref="B536">_xll.GetPrice("FP-LBR-1886",,"Low",_SPECIFIEDvarPubDate,)</f>
        <v>514</v>
      </c>
      <c r="C536" s="1">
        <f t="shared" si="24"/>
        <v>45848</v>
      </c>
      <c r="D536">
        <f t="shared" si="25"/>
        <v>2025</v>
      </c>
      <c r="E536">
        <f t="shared" si="26"/>
        <v>7</v>
      </c>
      <c r="F536" s="13" t="s">
        <v>1070</v>
      </c>
      <c r="G536" s="13" t="s">
        <v>11</v>
      </c>
      <c r="H536" s="13" t="s">
        <v>2792</v>
      </c>
    </row>
    <row r="537" spans="1:8" x14ac:dyDescent="0.25">
      <c r="A537" t="s">
        <v>1071</v>
      </c>
      <c r="B537" s="15" cm="1">
        <f t="array" ref="B537">_xll.GetPrice("FP-LBR-1887",,"Low",_SPECIFIEDvarPubDate,)</f>
        <v>540</v>
      </c>
      <c r="C537" s="1">
        <f t="shared" si="24"/>
        <v>45848</v>
      </c>
      <c r="D537">
        <f t="shared" si="25"/>
        <v>2025</v>
      </c>
      <c r="E537">
        <f t="shared" si="26"/>
        <v>7</v>
      </c>
      <c r="F537" s="13" t="s">
        <v>1072</v>
      </c>
      <c r="G537" s="13" t="s">
        <v>11</v>
      </c>
      <c r="H537" s="13" t="s">
        <v>2792</v>
      </c>
    </row>
    <row r="538" spans="1:8" x14ac:dyDescent="0.25">
      <c r="A538" t="s">
        <v>1073</v>
      </c>
      <c r="B538" s="15" cm="1">
        <f t="array" ref="B538">_xll.GetPrice("FP-LBR-1888",,"Low",_SPECIFIEDvarPubDate,)</f>
        <v>579</v>
      </c>
      <c r="C538" s="1">
        <f t="shared" si="24"/>
        <v>45848</v>
      </c>
      <c r="D538">
        <f t="shared" si="25"/>
        <v>2025</v>
      </c>
      <c r="E538">
        <f t="shared" si="26"/>
        <v>7</v>
      </c>
      <c r="F538" s="13" t="s">
        <v>1074</v>
      </c>
      <c r="G538" s="13" t="s">
        <v>11</v>
      </c>
      <c r="H538" s="13" t="s">
        <v>2792</v>
      </c>
    </row>
    <row r="539" spans="1:8" x14ac:dyDescent="0.25">
      <c r="A539" t="s">
        <v>1075</v>
      </c>
      <c r="B539" s="15" cm="1">
        <f t="array" ref="B539">_xll.GetPrice("FP-LBR-2100",,"Low",_SPECIFIEDvarPubDate,)</f>
        <v>745</v>
      </c>
      <c r="C539" s="1">
        <f t="shared" si="24"/>
        <v>45848</v>
      </c>
      <c r="D539">
        <f t="shared" si="25"/>
        <v>2025</v>
      </c>
      <c r="E539">
        <f t="shared" si="26"/>
        <v>7</v>
      </c>
      <c r="F539" s="13" t="s">
        <v>1076</v>
      </c>
      <c r="G539" s="13" t="s">
        <v>11</v>
      </c>
      <c r="H539" s="13" t="s">
        <v>2792</v>
      </c>
    </row>
    <row r="540" spans="1:8" x14ac:dyDescent="0.25">
      <c r="A540" t="s">
        <v>1077</v>
      </c>
      <c r="B540" s="15" cm="1">
        <f t="array" ref="B540">_xll.GetPrice("FP-LBR-2109",,"Low",_SPECIFIEDvarPubDate,)</f>
        <v>520</v>
      </c>
      <c r="C540" s="1">
        <f t="shared" si="24"/>
        <v>45848</v>
      </c>
      <c r="D540">
        <f t="shared" si="25"/>
        <v>2025</v>
      </c>
      <c r="E540">
        <f t="shared" si="26"/>
        <v>7</v>
      </c>
      <c r="F540" s="13" t="s">
        <v>1078</v>
      </c>
      <c r="G540" s="13" t="s">
        <v>11</v>
      </c>
      <c r="H540" s="13" t="s">
        <v>2792</v>
      </c>
    </row>
    <row r="541" spans="1:8" x14ac:dyDescent="0.25">
      <c r="A541" t="s">
        <v>1079</v>
      </c>
      <c r="B541" s="15" cm="1">
        <f t="array" ref="B541">_xll.GetPrice("FP-LBR-2118",,"Low",_SPECIFIEDvarPubDate,)</f>
        <v>370</v>
      </c>
      <c r="C541" s="1">
        <f t="shared" si="24"/>
        <v>45848</v>
      </c>
      <c r="D541">
        <f t="shared" si="25"/>
        <v>2025</v>
      </c>
      <c r="E541">
        <f t="shared" si="26"/>
        <v>7</v>
      </c>
      <c r="F541" s="13" t="s">
        <v>1080</v>
      </c>
      <c r="G541" s="13" t="s">
        <v>11</v>
      </c>
      <c r="H541" s="13" t="s">
        <v>2792</v>
      </c>
    </row>
    <row r="542" spans="1:8" x14ac:dyDescent="0.25">
      <c r="A542" t="s">
        <v>1081</v>
      </c>
      <c r="B542" s="15" cm="1">
        <f t="array" ref="B542">_xll.GetPrice("FP-LBR-2127",,"Low",_SPECIFIEDvarPubDate,)</f>
        <v>925</v>
      </c>
      <c r="C542" s="1">
        <f t="shared" si="24"/>
        <v>45848</v>
      </c>
      <c r="D542">
        <f t="shared" si="25"/>
        <v>2025</v>
      </c>
      <c r="E542">
        <f t="shared" si="26"/>
        <v>7</v>
      </c>
      <c r="F542" s="13" t="s">
        <v>1082</v>
      </c>
      <c r="G542" s="13" t="s">
        <v>11</v>
      </c>
      <c r="H542" s="13" t="s">
        <v>2792</v>
      </c>
    </row>
    <row r="543" spans="1:8" x14ac:dyDescent="0.25">
      <c r="A543" t="s">
        <v>1083</v>
      </c>
      <c r="B543" s="15" cm="1">
        <f t="array" ref="B543">_xll.GetPrice("FP-LBR-0199",,"Low",_SPECIFIEDvarPubDate,)</f>
        <v>740</v>
      </c>
      <c r="C543" s="1">
        <f t="shared" si="24"/>
        <v>45848</v>
      </c>
      <c r="D543">
        <f t="shared" si="25"/>
        <v>2025</v>
      </c>
      <c r="E543">
        <f t="shared" si="26"/>
        <v>7</v>
      </c>
      <c r="F543" s="13" t="s">
        <v>1084</v>
      </c>
      <c r="G543" s="13" t="s">
        <v>11</v>
      </c>
      <c r="H543" s="13" t="s">
        <v>2792</v>
      </c>
    </row>
    <row r="544" spans="1:8" x14ac:dyDescent="0.25">
      <c r="A544" t="s">
        <v>1085</v>
      </c>
      <c r="B544" s="15" cm="1">
        <f t="array" ref="B544">_xll.GetPrice("FP-LBR-0208",,"Low",_SPECIFIEDvarPubDate,)</f>
        <v>725</v>
      </c>
      <c r="C544" s="1">
        <f t="shared" si="24"/>
        <v>45848</v>
      </c>
      <c r="D544">
        <f t="shared" si="25"/>
        <v>2025</v>
      </c>
      <c r="E544">
        <f t="shared" si="26"/>
        <v>7</v>
      </c>
      <c r="F544" s="13" t="s">
        <v>1086</v>
      </c>
      <c r="G544" s="13" t="s">
        <v>11</v>
      </c>
      <c r="H544" s="13" t="s">
        <v>2792</v>
      </c>
    </row>
    <row r="545" spans="1:8" x14ac:dyDescent="0.25">
      <c r="A545" t="s">
        <v>1087</v>
      </c>
      <c r="B545" s="15" cm="1">
        <f t="array" ref="B545">_xll.GetPrice("FP-LBR-0217",,"Low",_SPECIFIEDvarPubDate,)</f>
        <v>710</v>
      </c>
      <c r="C545" s="1">
        <f t="shared" si="24"/>
        <v>45848</v>
      </c>
      <c r="D545">
        <f t="shared" si="25"/>
        <v>2025</v>
      </c>
      <c r="E545">
        <f t="shared" si="26"/>
        <v>7</v>
      </c>
      <c r="F545" s="13" t="s">
        <v>1088</v>
      </c>
      <c r="G545" s="13" t="s">
        <v>11</v>
      </c>
      <c r="H545" s="13" t="s">
        <v>2792</v>
      </c>
    </row>
    <row r="546" spans="1:8" x14ac:dyDescent="0.25">
      <c r="A546" t="s">
        <v>1089</v>
      </c>
      <c r="B546" s="15" cm="1">
        <f t="array" ref="B546">_xll.GetPrice("FP-LBR-0226",,"Low",_SPECIFIEDvarPubDate,)</f>
        <v>900</v>
      </c>
      <c r="C546" s="1">
        <f t="shared" si="24"/>
        <v>45848</v>
      </c>
      <c r="D546">
        <f t="shared" si="25"/>
        <v>2025</v>
      </c>
      <c r="E546">
        <f t="shared" si="26"/>
        <v>7</v>
      </c>
      <c r="F546" s="13" t="s">
        <v>1090</v>
      </c>
      <c r="G546" s="13" t="s">
        <v>11</v>
      </c>
      <c r="H546" s="13" t="s">
        <v>2792</v>
      </c>
    </row>
    <row r="547" spans="1:8" x14ac:dyDescent="0.25">
      <c r="A547" t="s">
        <v>1091</v>
      </c>
      <c r="B547" s="15" cm="1">
        <f t="array" ref="B547">_xll.GetPrice("FP-LBR-1931",,"Low",_SPECIFIEDvarPubDate,)</f>
        <v>644</v>
      </c>
      <c r="C547" s="1">
        <f t="shared" si="24"/>
        <v>45848</v>
      </c>
      <c r="D547">
        <f t="shared" si="25"/>
        <v>2025</v>
      </c>
      <c r="E547">
        <f t="shared" si="26"/>
        <v>7</v>
      </c>
      <c r="F547" s="13" t="s">
        <v>1092</v>
      </c>
      <c r="G547" s="13" t="s">
        <v>11</v>
      </c>
      <c r="H547" s="13" t="s">
        <v>2792</v>
      </c>
    </row>
    <row r="548" spans="1:8" x14ac:dyDescent="0.25">
      <c r="A548" t="s">
        <v>1093</v>
      </c>
      <c r="B548" s="15" cm="1">
        <f t="array" ref="B548">_xll.GetPrice("FP-LBR-1932",,"Low",_SPECIFIEDvarPubDate,)</f>
        <v>670</v>
      </c>
      <c r="C548" s="1">
        <f t="shared" si="24"/>
        <v>45848</v>
      </c>
      <c r="D548">
        <f t="shared" si="25"/>
        <v>2025</v>
      </c>
      <c r="E548">
        <f t="shared" si="26"/>
        <v>7</v>
      </c>
      <c r="F548" s="13" t="s">
        <v>1094</v>
      </c>
      <c r="G548" s="13" t="s">
        <v>11</v>
      </c>
      <c r="H548" s="13" t="s">
        <v>2792</v>
      </c>
    </row>
    <row r="549" spans="1:8" x14ac:dyDescent="0.25">
      <c r="A549" t="s">
        <v>1095</v>
      </c>
      <c r="B549" s="15" cm="1">
        <f t="array" ref="B549">_xll.GetPrice("FP-LBR-1933",,"Low",_SPECIFIEDvarPubDate,)</f>
        <v>709</v>
      </c>
      <c r="C549" s="1">
        <f t="shared" si="24"/>
        <v>45848</v>
      </c>
      <c r="D549">
        <f t="shared" si="25"/>
        <v>2025</v>
      </c>
      <c r="E549">
        <f t="shared" si="26"/>
        <v>7</v>
      </c>
      <c r="F549" s="13" t="s">
        <v>1096</v>
      </c>
      <c r="G549" s="13" t="s">
        <v>11</v>
      </c>
      <c r="H549" s="13" t="s">
        <v>2792</v>
      </c>
    </row>
    <row r="550" spans="1:8" x14ac:dyDescent="0.25">
      <c r="A550" t="s">
        <v>1097</v>
      </c>
      <c r="B550" s="15" cm="1">
        <f t="array" ref="B550">_xll.GetPrice("FP-LBR-2101",,"Low",_SPECIFIEDvarPubDate,)</f>
        <v>745</v>
      </c>
      <c r="C550" s="1">
        <f t="shared" si="24"/>
        <v>45848</v>
      </c>
      <c r="D550">
        <f t="shared" si="25"/>
        <v>2025</v>
      </c>
      <c r="E550">
        <f t="shared" si="26"/>
        <v>7</v>
      </c>
      <c r="F550" s="13" t="s">
        <v>1098</v>
      </c>
      <c r="G550" s="13" t="s">
        <v>11</v>
      </c>
      <c r="H550" s="13" t="s">
        <v>2792</v>
      </c>
    </row>
    <row r="551" spans="1:8" x14ac:dyDescent="0.25">
      <c r="A551" t="s">
        <v>1099</v>
      </c>
      <c r="B551" s="15" cm="1">
        <f t="array" ref="B551">_xll.GetPrice("FP-LBR-2110",,"Low",_SPECIFIEDvarPubDate,)</f>
        <v>640</v>
      </c>
      <c r="C551" s="1">
        <f t="shared" si="24"/>
        <v>45848</v>
      </c>
      <c r="D551">
        <f t="shared" si="25"/>
        <v>2025</v>
      </c>
      <c r="E551">
        <f t="shared" si="26"/>
        <v>7</v>
      </c>
      <c r="F551" s="13" t="s">
        <v>1100</v>
      </c>
      <c r="G551" s="13" t="s">
        <v>11</v>
      </c>
      <c r="H551" s="13" t="s">
        <v>2792</v>
      </c>
    </row>
    <row r="552" spans="1:8" x14ac:dyDescent="0.25">
      <c r="A552" t="s">
        <v>1101</v>
      </c>
      <c r="B552" s="15" cm="1">
        <f t="array" ref="B552">_xll.GetPrice("FP-LBR-2119",,"Low",_SPECIFIEDvarPubDate,)</f>
        <v>600</v>
      </c>
      <c r="C552" s="1">
        <f t="shared" si="24"/>
        <v>45848</v>
      </c>
      <c r="D552">
        <f t="shared" si="25"/>
        <v>2025</v>
      </c>
      <c r="E552">
        <f t="shared" si="26"/>
        <v>7</v>
      </c>
      <c r="F552" s="13" t="s">
        <v>1102</v>
      </c>
      <c r="G552" s="13" t="s">
        <v>11</v>
      </c>
      <c r="H552" s="13" t="s">
        <v>2792</v>
      </c>
    </row>
    <row r="553" spans="1:8" x14ac:dyDescent="0.25">
      <c r="A553" t="s">
        <v>1103</v>
      </c>
      <c r="B553" s="15" cm="1">
        <f t="array" ref="B553">_xll.GetPrice("FP-LBR-2128",,"Low",_SPECIFIEDvarPubDate,)</f>
        <v>935</v>
      </c>
      <c r="C553" s="1">
        <f t="shared" si="24"/>
        <v>45848</v>
      </c>
      <c r="D553">
        <f t="shared" si="25"/>
        <v>2025</v>
      </c>
      <c r="E553">
        <f t="shared" si="26"/>
        <v>7</v>
      </c>
      <c r="F553" s="13" t="s">
        <v>1104</v>
      </c>
      <c r="G553" s="13" t="s">
        <v>11</v>
      </c>
      <c r="H553" s="13" t="s">
        <v>2792</v>
      </c>
    </row>
    <row r="554" spans="1:8" x14ac:dyDescent="0.25">
      <c r="A554" t="s">
        <v>1105</v>
      </c>
      <c r="B554" s="15" cm="1">
        <f t="array" ref="B554">_xll.GetPrice("FP-LBR-0200",,"Low",_SPECIFIEDvarPubDate,)</f>
        <v>740</v>
      </c>
      <c r="C554" s="1">
        <f t="shared" si="24"/>
        <v>45848</v>
      </c>
      <c r="D554">
        <f t="shared" si="25"/>
        <v>2025</v>
      </c>
      <c r="E554">
        <f t="shared" si="26"/>
        <v>7</v>
      </c>
      <c r="F554" s="13" t="s">
        <v>1106</v>
      </c>
      <c r="G554" s="13" t="s">
        <v>11</v>
      </c>
      <c r="H554" s="13" t="s">
        <v>2792</v>
      </c>
    </row>
    <row r="555" spans="1:8" x14ac:dyDescent="0.25">
      <c r="A555" t="s">
        <v>1107</v>
      </c>
      <c r="B555" s="15" cm="1">
        <f t="array" ref="B555">_xll.GetPrice("FP-LBR-0209",,"Low",_SPECIFIEDvarPubDate,)</f>
        <v>725</v>
      </c>
      <c r="C555" s="1">
        <f t="shared" si="24"/>
        <v>45848</v>
      </c>
      <c r="D555">
        <f t="shared" si="25"/>
        <v>2025</v>
      </c>
      <c r="E555">
        <f t="shared" si="26"/>
        <v>7</v>
      </c>
      <c r="F555" s="13" t="s">
        <v>1108</v>
      </c>
      <c r="G555" s="13" t="s">
        <v>11</v>
      </c>
      <c r="H555" s="13" t="s">
        <v>2792</v>
      </c>
    </row>
    <row r="556" spans="1:8" x14ac:dyDescent="0.25">
      <c r="A556" t="s">
        <v>1109</v>
      </c>
      <c r="B556" s="15" cm="1">
        <f t="array" ref="B556">_xll.GetPrice("FP-LBR-0218",,"Low",_SPECIFIEDvarPubDate,)</f>
        <v>710</v>
      </c>
      <c r="C556" s="1">
        <f t="shared" si="24"/>
        <v>45848</v>
      </c>
      <c r="D556">
        <f t="shared" si="25"/>
        <v>2025</v>
      </c>
      <c r="E556">
        <f t="shared" si="26"/>
        <v>7</v>
      </c>
      <c r="F556" s="13" t="s">
        <v>1110</v>
      </c>
      <c r="G556" s="13" t="s">
        <v>11</v>
      </c>
      <c r="H556" s="13" t="s">
        <v>2792</v>
      </c>
    </row>
    <row r="557" spans="1:8" x14ac:dyDescent="0.25">
      <c r="A557" t="s">
        <v>1111</v>
      </c>
      <c r="B557" s="15" cm="1">
        <f t="array" ref="B557">_xll.GetPrice("FP-LBR-0227",,"Low",_SPECIFIEDvarPubDate,)</f>
        <v>900</v>
      </c>
      <c r="C557" s="1">
        <f t="shared" si="24"/>
        <v>45848</v>
      </c>
      <c r="D557">
        <f t="shared" si="25"/>
        <v>2025</v>
      </c>
      <c r="E557">
        <f t="shared" si="26"/>
        <v>7</v>
      </c>
      <c r="F557" s="13" t="s">
        <v>1112</v>
      </c>
      <c r="G557" s="13" t="s">
        <v>11</v>
      </c>
      <c r="H557" s="13" t="s">
        <v>2792</v>
      </c>
    </row>
    <row r="558" spans="1:8" x14ac:dyDescent="0.25">
      <c r="A558" t="s">
        <v>1113</v>
      </c>
      <c r="B558" s="15" cm="1">
        <f t="array" ref="B558">_xll.GetPrice("FP-LBR-1978",,"Low",_SPECIFIEDvarPubDate,)</f>
        <v>424</v>
      </c>
      <c r="C558" s="1">
        <f t="shared" si="24"/>
        <v>45848</v>
      </c>
      <c r="D558">
        <f t="shared" si="25"/>
        <v>2025</v>
      </c>
      <c r="E558">
        <f t="shared" si="26"/>
        <v>7</v>
      </c>
      <c r="F558" s="13" t="s">
        <v>1114</v>
      </c>
      <c r="G558" s="13" t="s">
        <v>11</v>
      </c>
      <c r="H558" s="13" t="s">
        <v>2792</v>
      </c>
    </row>
    <row r="559" spans="1:8" x14ac:dyDescent="0.25">
      <c r="A559" t="s">
        <v>1115</v>
      </c>
      <c r="B559" s="15" cm="1">
        <f t="array" ref="B559">_xll.GetPrice("FP-LBR-1979",,"Low",_SPECIFIEDvarPubDate,)</f>
        <v>450</v>
      </c>
      <c r="C559" s="1">
        <f t="shared" si="24"/>
        <v>45848</v>
      </c>
      <c r="D559">
        <f t="shared" si="25"/>
        <v>2025</v>
      </c>
      <c r="E559">
        <f t="shared" si="26"/>
        <v>7</v>
      </c>
      <c r="F559" s="13" t="s">
        <v>1116</v>
      </c>
      <c r="G559" s="13" t="s">
        <v>11</v>
      </c>
      <c r="H559" s="13" t="s">
        <v>2792</v>
      </c>
    </row>
    <row r="560" spans="1:8" x14ac:dyDescent="0.25">
      <c r="A560" t="s">
        <v>1117</v>
      </c>
      <c r="B560" s="15" cm="1">
        <f t="array" ref="B560">_xll.GetPrice("FP-LBR-1417",,"Low",_SPECIFIEDvarPubDate,)</f>
        <v>2350</v>
      </c>
      <c r="C560" s="1">
        <f t="shared" si="24"/>
        <v>45848</v>
      </c>
      <c r="D560">
        <f t="shared" si="25"/>
        <v>2025</v>
      </c>
      <c r="E560">
        <f t="shared" si="26"/>
        <v>7</v>
      </c>
      <c r="F560" s="13" t="s">
        <v>1118</v>
      </c>
      <c r="G560" s="13" t="s">
        <v>11</v>
      </c>
      <c r="H560" s="13" t="s">
        <v>2792</v>
      </c>
    </row>
    <row r="561" spans="1:8" x14ac:dyDescent="0.25">
      <c r="A561" t="s">
        <v>1119</v>
      </c>
      <c r="B561" s="15" cm="1">
        <f t="array" ref="B561">_xll.GetPrice("FP-LBR-1418",,"Low",_SPECIFIEDvarPubDate,)</f>
        <v>3330</v>
      </c>
      <c r="C561" s="1">
        <f t="shared" si="24"/>
        <v>45848</v>
      </c>
      <c r="D561">
        <f t="shared" si="25"/>
        <v>2025</v>
      </c>
      <c r="E561">
        <f t="shared" si="26"/>
        <v>7</v>
      </c>
      <c r="F561" s="13" t="s">
        <v>1120</v>
      </c>
      <c r="G561" s="13" t="s">
        <v>11</v>
      </c>
      <c r="H561" s="13" t="s">
        <v>2792</v>
      </c>
    </row>
    <row r="562" spans="1:8" x14ac:dyDescent="0.25">
      <c r="A562" t="s">
        <v>1121</v>
      </c>
      <c r="B562" s="15" cm="1">
        <f t="array" ref="B562">_xll.GetPrice("FP-LBR-1419",,"Low",_SPECIFIEDvarPubDate,)</f>
        <v>2935</v>
      </c>
      <c r="C562" s="1">
        <f t="shared" si="24"/>
        <v>45848</v>
      </c>
      <c r="D562">
        <f t="shared" si="25"/>
        <v>2025</v>
      </c>
      <c r="E562">
        <f t="shared" si="26"/>
        <v>7</v>
      </c>
      <c r="F562" s="13" t="s">
        <v>1122</v>
      </c>
      <c r="G562" s="13" t="s">
        <v>11</v>
      </c>
      <c r="H562" s="13" t="s">
        <v>2792</v>
      </c>
    </row>
    <row r="563" spans="1:8" x14ac:dyDescent="0.25">
      <c r="A563" t="s">
        <v>1123</v>
      </c>
      <c r="B563" s="15" cm="1">
        <f t="array" ref="B563">_xll.GetPrice("FP-LBR-1420",,"Low",_SPECIFIEDvarPubDate,)</f>
        <v>3160</v>
      </c>
      <c r="C563" s="1">
        <f t="shared" si="24"/>
        <v>45848</v>
      </c>
      <c r="D563">
        <f t="shared" si="25"/>
        <v>2025</v>
      </c>
      <c r="E563">
        <f t="shared" si="26"/>
        <v>7</v>
      </c>
      <c r="F563" s="13" t="s">
        <v>1124</v>
      </c>
      <c r="G563" s="13" t="s">
        <v>11</v>
      </c>
      <c r="H563" s="13" t="s">
        <v>2792</v>
      </c>
    </row>
    <row r="564" spans="1:8" x14ac:dyDescent="0.25">
      <c r="A564" t="s">
        <v>1125</v>
      </c>
      <c r="B564" s="15" cm="1">
        <f t="array" ref="B564">_xll.GetPrice("FP-LBR-1421",,"Low",_SPECIFIEDvarPubDate,)</f>
        <v>3200</v>
      </c>
      <c r="C564" s="1">
        <f t="shared" si="24"/>
        <v>45848</v>
      </c>
      <c r="D564">
        <f t="shared" si="25"/>
        <v>2025</v>
      </c>
      <c r="E564">
        <f t="shared" si="26"/>
        <v>7</v>
      </c>
      <c r="F564" s="13" t="s">
        <v>1126</v>
      </c>
      <c r="G564" s="13" t="s">
        <v>11</v>
      </c>
      <c r="H564" s="13" t="s">
        <v>2792</v>
      </c>
    </row>
    <row r="565" spans="1:8" x14ac:dyDescent="0.25">
      <c r="A565" t="s">
        <v>1127</v>
      </c>
      <c r="B565" s="15" cm="1">
        <f t="array" ref="B565">_xll.GetPrice("FP-LBR-1467",,"Low",_SPECIFIEDvarPubDate,)</f>
        <v>2300</v>
      </c>
      <c r="C565" s="1">
        <f t="shared" si="24"/>
        <v>45848</v>
      </c>
      <c r="D565">
        <f t="shared" si="25"/>
        <v>2025</v>
      </c>
      <c r="E565">
        <f t="shared" si="26"/>
        <v>7</v>
      </c>
      <c r="F565" s="13" t="s">
        <v>1128</v>
      </c>
      <c r="G565" s="13" t="s">
        <v>11</v>
      </c>
      <c r="H565" s="13" t="s">
        <v>2792</v>
      </c>
    </row>
    <row r="566" spans="1:8" x14ac:dyDescent="0.25">
      <c r="A566" t="s">
        <v>1129</v>
      </c>
      <c r="B566" s="15" cm="1">
        <f t="array" ref="B566">_xll.GetPrice("FP-LBR-1468",,"Low",_SPECIFIEDvarPubDate,)</f>
        <v>2150</v>
      </c>
      <c r="C566" s="1">
        <f t="shared" si="24"/>
        <v>45848</v>
      </c>
      <c r="D566">
        <f t="shared" si="25"/>
        <v>2025</v>
      </c>
      <c r="E566">
        <f t="shared" si="26"/>
        <v>7</v>
      </c>
      <c r="F566" s="13" t="s">
        <v>1130</v>
      </c>
      <c r="G566" s="13" t="s">
        <v>11</v>
      </c>
      <c r="H566" s="13" t="s">
        <v>2792</v>
      </c>
    </row>
    <row r="567" spans="1:8" x14ac:dyDescent="0.25">
      <c r="A567" t="s">
        <v>1131</v>
      </c>
      <c r="B567" s="15" cm="1">
        <f t="array" ref="B567">_xll.GetPrice("FP-LBR-1469",,"Low",_SPECIFIEDvarPubDate,)</f>
        <v>2150</v>
      </c>
      <c r="C567" s="1">
        <f t="shared" si="24"/>
        <v>45848</v>
      </c>
      <c r="D567">
        <f t="shared" si="25"/>
        <v>2025</v>
      </c>
      <c r="E567">
        <f t="shared" si="26"/>
        <v>7</v>
      </c>
      <c r="F567" s="13" t="s">
        <v>1132</v>
      </c>
      <c r="G567" s="13" t="s">
        <v>11</v>
      </c>
      <c r="H567" s="13" t="s">
        <v>2792</v>
      </c>
    </row>
    <row r="568" spans="1:8" x14ac:dyDescent="0.25">
      <c r="A568" t="s">
        <v>1133</v>
      </c>
      <c r="B568" s="15" cm="1">
        <f t="array" ref="B568">_xll.GetPrice("FP-LBR-1470",,"Low",_SPECIFIEDvarPubDate,)</f>
        <v>2150</v>
      </c>
      <c r="C568" s="1">
        <f t="shared" si="24"/>
        <v>45848</v>
      </c>
      <c r="D568">
        <f t="shared" si="25"/>
        <v>2025</v>
      </c>
      <c r="E568">
        <f t="shared" si="26"/>
        <v>7</v>
      </c>
      <c r="F568" s="13" t="s">
        <v>1134</v>
      </c>
      <c r="G568" s="13" t="s">
        <v>11</v>
      </c>
      <c r="H568" s="13" t="s">
        <v>2792</v>
      </c>
    </row>
    <row r="569" spans="1:8" x14ac:dyDescent="0.25">
      <c r="A569" t="s">
        <v>1135</v>
      </c>
      <c r="B569" s="15" cm="1">
        <f t="array" ref="B569">_xll.GetPrice("FP-LBR-1471",,"Low",_SPECIFIEDvarPubDate,)</f>
        <v>2150</v>
      </c>
      <c r="C569" s="1">
        <f t="shared" si="24"/>
        <v>45848</v>
      </c>
      <c r="D569">
        <f t="shared" si="25"/>
        <v>2025</v>
      </c>
      <c r="E569">
        <f t="shared" si="26"/>
        <v>7</v>
      </c>
      <c r="F569" s="13" t="s">
        <v>1136</v>
      </c>
      <c r="G569" s="13" t="s">
        <v>11</v>
      </c>
      <c r="H569" s="13" t="s">
        <v>2792</v>
      </c>
    </row>
    <row r="570" spans="1:8" x14ac:dyDescent="0.25">
      <c r="A570" t="s">
        <v>1137</v>
      </c>
      <c r="B570" s="15" cm="1">
        <f t="array" ref="B570">_xll.GetPrice("FP-LBR-1492",,"Low",_SPECIFIEDvarPubDate,)</f>
        <v>1650</v>
      </c>
      <c r="C570" s="1">
        <f t="shared" si="24"/>
        <v>45848</v>
      </c>
      <c r="D570">
        <f t="shared" si="25"/>
        <v>2025</v>
      </c>
      <c r="E570">
        <f t="shared" si="26"/>
        <v>7</v>
      </c>
      <c r="F570" s="13" t="s">
        <v>1138</v>
      </c>
      <c r="G570" s="13" t="s">
        <v>11</v>
      </c>
      <c r="H570" s="13" t="s">
        <v>2792</v>
      </c>
    </row>
    <row r="571" spans="1:8" x14ac:dyDescent="0.25">
      <c r="A571" t="s">
        <v>1139</v>
      </c>
      <c r="B571" s="15" cm="1">
        <f t="array" ref="B571">_xll.GetPrice("FP-LBR-1493",,"Low",_SPECIFIEDvarPubDate,)</f>
        <v>1750</v>
      </c>
      <c r="C571" s="1">
        <f t="shared" si="24"/>
        <v>45848</v>
      </c>
      <c r="D571">
        <f t="shared" si="25"/>
        <v>2025</v>
      </c>
      <c r="E571">
        <f t="shared" si="26"/>
        <v>7</v>
      </c>
      <c r="F571" s="13" t="s">
        <v>1140</v>
      </c>
      <c r="G571" s="13" t="s">
        <v>11</v>
      </c>
      <c r="H571" s="13" t="s">
        <v>2792</v>
      </c>
    </row>
    <row r="572" spans="1:8" x14ac:dyDescent="0.25">
      <c r="A572" t="s">
        <v>1141</v>
      </c>
      <c r="B572" s="15" cm="1">
        <f t="array" ref="B572">_xll.GetPrice("FP-LBR-1494",,"Low",_SPECIFIEDvarPubDate,)</f>
        <v>1750</v>
      </c>
      <c r="C572" s="1">
        <f t="shared" si="24"/>
        <v>45848</v>
      </c>
      <c r="D572">
        <f t="shared" si="25"/>
        <v>2025</v>
      </c>
      <c r="E572">
        <f t="shared" si="26"/>
        <v>7</v>
      </c>
      <c r="F572" s="13" t="s">
        <v>1142</v>
      </c>
      <c r="G572" s="13" t="s">
        <v>11</v>
      </c>
      <c r="H572" s="13" t="s">
        <v>2792</v>
      </c>
    </row>
    <row r="573" spans="1:8" x14ac:dyDescent="0.25">
      <c r="A573" t="s">
        <v>1143</v>
      </c>
      <c r="B573" s="15" cm="1">
        <f t="array" ref="B573">_xll.GetPrice("FP-LBR-1495",,"Low",_SPECIFIEDvarPubDate,)</f>
        <v>1650</v>
      </c>
      <c r="C573" s="1">
        <f t="shared" si="24"/>
        <v>45848</v>
      </c>
      <c r="D573">
        <f t="shared" si="25"/>
        <v>2025</v>
      </c>
      <c r="E573">
        <f t="shared" si="26"/>
        <v>7</v>
      </c>
      <c r="F573" s="13" t="s">
        <v>1144</v>
      </c>
      <c r="G573" s="13" t="s">
        <v>11</v>
      </c>
      <c r="H573" s="13" t="s">
        <v>2792</v>
      </c>
    </row>
    <row r="574" spans="1:8" x14ac:dyDescent="0.25">
      <c r="A574" t="s">
        <v>1145</v>
      </c>
      <c r="B574" s="15" cm="1">
        <f t="array" ref="B574">_xll.GetPrice("FP-LBR-1496",,"Low",_SPECIFIEDvarPubDate,)</f>
        <v>1750</v>
      </c>
      <c r="C574" s="1">
        <f t="shared" si="24"/>
        <v>45848</v>
      </c>
      <c r="D574">
        <f t="shared" si="25"/>
        <v>2025</v>
      </c>
      <c r="E574">
        <f t="shared" si="26"/>
        <v>7</v>
      </c>
      <c r="F574" s="13" t="s">
        <v>1146</v>
      </c>
      <c r="G574" s="13" t="s">
        <v>11</v>
      </c>
      <c r="H574" s="13" t="s">
        <v>2792</v>
      </c>
    </row>
    <row r="575" spans="1:8" x14ac:dyDescent="0.25">
      <c r="A575" t="s">
        <v>1147</v>
      </c>
      <c r="B575" s="15" cm="1">
        <f t="array" ref="B575">_xll.GetPrice("FP-LBR-1797",,"Low",_SPECIFIEDvarPubDate,)</f>
        <v>830</v>
      </c>
      <c r="C575" s="1">
        <f t="shared" si="24"/>
        <v>45848</v>
      </c>
      <c r="D575">
        <f t="shared" si="25"/>
        <v>2025</v>
      </c>
      <c r="E575">
        <f t="shared" si="26"/>
        <v>7</v>
      </c>
      <c r="F575" s="13" t="s">
        <v>1148</v>
      </c>
      <c r="G575" s="13" t="s">
        <v>11</v>
      </c>
      <c r="H575" s="13" t="s">
        <v>2792</v>
      </c>
    </row>
    <row r="576" spans="1:8" x14ac:dyDescent="0.25">
      <c r="A576" t="s">
        <v>1149</v>
      </c>
      <c r="B576" s="15" cm="1">
        <f t="array" ref="B576">_xll.GetPrice("FP-LBR-1798",,"Low",_SPECIFIEDvarPubDate,)</f>
        <v>1485</v>
      </c>
      <c r="C576" s="1">
        <f t="shared" si="24"/>
        <v>45848</v>
      </c>
      <c r="D576">
        <f t="shared" si="25"/>
        <v>2025</v>
      </c>
      <c r="E576">
        <f t="shared" si="26"/>
        <v>7</v>
      </c>
      <c r="F576" s="13" t="s">
        <v>1150</v>
      </c>
      <c r="G576" s="13" t="s">
        <v>11</v>
      </c>
      <c r="H576" s="13" t="s">
        <v>2792</v>
      </c>
    </row>
    <row r="577" spans="1:8" x14ac:dyDescent="0.25">
      <c r="A577" t="s">
        <v>1151</v>
      </c>
      <c r="B577" s="15" cm="1">
        <f t="array" ref="B577">_xll.GetPrice("FP-LBR-1799",,"Low",_SPECIFIEDvarPubDate,)</f>
        <v>2470</v>
      </c>
      <c r="C577" s="1">
        <f t="shared" si="24"/>
        <v>45848</v>
      </c>
      <c r="D577">
        <f t="shared" si="25"/>
        <v>2025</v>
      </c>
      <c r="E577">
        <f t="shared" si="26"/>
        <v>7</v>
      </c>
      <c r="F577" s="13" t="s">
        <v>1152</v>
      </c>
      <c r="G577" s="13" t="s">
        <v>11</v>
      </c>
      <c r="H577" s="13" t="s">
        <v>2792</v>
      </c>
    </row>
    <row r="578" spans="1:8" x14ac:dyDescent="0.25">
      <c r="A578" t="s">
        <v>1153</v>
      </c>
      <c r="B578" s="15" cm="1">
        <f t="array" ref="B578">_xll.GetPrice("FP-LBR-1800",,"Low",_SPECIFIEDvarPubDate,)</f>
        <v>2530</v>
      </c>
      <c r="C578" s="1">
        <f t="shared" ref="C578:C641" si="27">_SPECIFIEDvarPubDate</f>
        <v>45848</v>
      </c>
      <c r="D578">
        <f t="shared" ref="D578:D641" si="28">_SPECIFIEDvarYear</f>
        <v>2025</v>
      </c>
      <c r="E578">
        <f t="shared" ref="E578:E641" si="29">_SPECIFIEDvarMonth</f>
        <v>7</v>
      </c>
      <c r="F578" s="13" t="s">
        <v>1154</v>
      </c>
      <c r="G578" s="13" t="s">
        <v>11</v>
      </c>
      <c r="H578" s="13" t="s">
        <v>2792</v>
      </c>
    </row>
    <row r="579" spans="1:8" x14ac:dyDescent="0.25">
      <c r="A579" t="s">
        <v>1155</v>
      </c>
      <c r="B579" s="15" cm="1">
        <f t="array" ref="B579">_xll.GetPrice("FP-LBR-1801",,"Low",_SPECIFIEDvarPubDate,)</f>
        <v>3080</v>
      </c>
      <c r="C579" s="1">
        <f t="shared" si="27"/>
        <v>45848</v>
      </c>
      <c r="D579">
        <f t="shared" si="28"/>
        <v>2025</v>
      </c>
      <c r="E579">
        <f t="shared" si="29"/>
        <v>7</v>
      </c>
      <c r="F579" s="13" t="s">
        <v>1156</v>
      </c>
      <c r="G579" s="13" t="s">
        <v>11</v>
      </c>
      <c r="H579" s="13" t="s">
        <v>2792</v>
      </c>
    </row>
    <row r="580" spans="1:8" x14ac:dyDescent="0.25">
      <c r="A580" t="s">
        <v>1157</v>
      </c>
      <c r="B580" s="15" cm="1">
        <f t="array" ref="B580">_xll.GetPrice("FP-LBR-1422",,"Low",_SPECIFIEDvarPubDate,)</f>
        <v>2015</v>
      </c>
      <c r="C580" s="1">
        <f t="shared" si="27"/>
        <v>45848</v>
      </c>
      <c r="D580">
        <f t="shared" si="28"/>
        <v>2025</v>
      </c>
      <c r="E580">
        <f t="shared" si="29"/>
        <v>7</v>
      </c>
      <c r="F580" s="13" t="s">
        <v>1158</v>
      </c>
      <c r="G580" s="13" t="s">
        <v>11</v>
      </c>
      <c r="H580" s="13" t="s">
        <v>2792</v>
      </c>
    </row>
    <row r="581" spans="1:8" x14ac:dyDescent="0.25">
      <c r="A581" t="s">
        <v>1159</v>
      </c>
      <c r="B581" s="15" cm="1">
        <f t="array" ref="B581">_xll.GetPrice("FP-LBR-1423",,"Low",_SPECIFIEDvarPubDate,)</f>
        <v>2715</v>
      </c>
      <c r="C581" s="1">
        <f t="shared" si="27"/>
        <v>45848</v>
      </c>
      <c r="D581">
        <f t="shared" si="28"/>
        <v>2025</v>
      </c>
      <c r="E581">
        <f t="shared" si="29"/>
        <v>7</v>
      </c>
      <c r="F581" s="13" t="s">
        <v>1160</v>
      </c>
      <c r="G581" s="13" t="s">
        <v>11</v>
      </c>
      <c r="H581" s="13" t="s">
        <v>2792</v>
      </c>
    </row>
    <row r="582" spans="1:8" x14ac:dyDescent="0.25">
      <c r="A582" t="s">
        <v>1161</v>
      </c>
      <c r="B582" s="15" cm="1">
        <f t="array" ref="B582">_xll.GetPrice("FP-LBR-1424",,"Low",_SPECIFIEDvarPubDate,)</f>
        <v>2450</v>
      </c>
      <c r="C582" s="1">
        <f t="shared" si="27"/>
        <v>45848</v>
      </c>
      <c r="D582">
        <f t="shared" si="28"/>
        <v>2025</v>
      </c>
      <c r="E582">
        <f t="shared" si="29"/>
        <v>7</v>
      </c>
      <c r="F582" s="13" t="s">
        <v>1162</v>
      </c>
      <c r="G582" s="13" t="s">
        <v>11</v>
      </c>
      <c r="H582" s="13" t="s">
        <v>2792</v>
      </c>
    </row>
    <row r="583" spans="1:8" x14ac:dyDescent="0.25">
      <c r="A583" t="s">
        <v>1163</v>
      </c>
      <c r="B583" s="15" cm="1">
        <f t="array" ref="B583">_xll.GetPrice("FP-LBR-1425",,"Low",_SPECIFIEDvarPubDate,)</f>
        <v>2500</v>
      </c>
      <c r="C583" s="1">
        <f t="shared" si="27"/>
        <v>45848</v>
      </c>
      <c r="D583">
        <f t="shared" si="28"/>
        <v>2025</v>
      </c>
      <c r="E583">
        <f t="shared" si="29"/>
        <v>7</v>
      </c>
      <c r="F583" s="13" t="s">
        <v>1164</v>
      </c>
      <c r="G583" s="13" t="s">
        <v>11</v>
      </c>
      <c r="H583" s="13" t="s">
        <v>2792</v>
      </c>
    </row>
    <row r="584" spans="1:8" x14ac:dyDescent="0.25">
      <c r="A584" t="s">
        <v>1165</v>
      </c>
      <c r="B584" s="15" cm="1">
        <f t="array" ref="B584">_xll.GetPrice("FP-LBR-1426",,"Low",_SPECIFIEDvarPubDate,)</f>
        <v>2700</v>
      </c>
      <c r="C584" s="1">
        <f t="shared" si="27"/>
        <v>45848</v>
      </c>
      <c r="D584">
        <f t="shared" si="28"/>
        <v>2025</v>
      </c>
      <c r="E584">
        <f t="shared" si="29"/>
        <v>7</v>
      </c>
      <c r="F584" s="13" t="s">
        <v>1166</v>
      </c>
      <c r="G584" s="13" t="s">
        <v>11</v>
      </c>
      <c r="H584" s="13" t="s">
        <v>2792</v>
      </c>
    </row>
    <row r="585" spans="1:8" x14ac:dyDescent="0.25">
      <c r="A585" t="s">
        <v>1167</v>
      </c>
      <c r="B585" s="15" cm="1">
        <f t="array" ref="B585">_xll.GetPrice("FP-LBR-1472",,"Low",_SPECIFIEDvarPubDate,)</f>
        <v>1800</v>
      </c>
      <c r="C585" s="1">
        <f t="shared" si="27"/>
        <v>45848</v>
      </c>
      <c r="D585">
        <f t="shared" si="28"/>
        <v>2025</v>
      </c>
      <c r="E585">
        <f t="shared" si="29"/>
        <v>7</v>
      </c>
      <c r="F585" s="13" t="s">
        <v>1168</v>
      </c>
      <c r="G585" s="13" t="s">
        <v>11</v>
      </c>
      <c r="H585" s="13" t="s">
        <v>2792</v>
      </c>
    </row>
    <row r="586" spans="1:8" x14ac:dyDescent="0.25">
      <c r="A586" t="s">
        <v>1169</v>
      </c>
      <c r="B586" s="15" cm="1">
        <f t="array" ref="B586">_xll.GetPrice("FP-LBR-1473",,"Low",_SPECIFIEDvarPubDate,)</f>
        <v>1600</v>
      </c>
      <c r="C586" s="1">
        <f t="shared" si="27"/>
        <v>45848</v>
      </c>
      <c r="D586">
        <f t="shared" si="28"/>
        <v>2025</v>
      </c>
      <c r="E586">
        <f t="shared" si="29"/>
        <v>7</v>
      </c>
      <c r="F586" s="13" t="s">
        <v>1170</v>
      </c>
      <c r="G586" s="13" t="s">
        <v>11</v>
      </c>
      <c r="H586" s="13" t="s">
        <v>2792</v>
      </c>
    </row>
    <row r="587" spans="1:8" x14ac:dyDescent="0.25">
      <c r="A587" t="s">
        <v>1171</v>
      </c>
      <c r="B587" s="15" cm="1">
        <f t="array" ref="B587">_xll.GetPrice("FP-LBR-1474",,"Low",_SPECIFIEDvarPubDate,)</f>
        <v>1600</v>
      </c>
      <c r="C587" s="1">
        <f t="shared" si="27"/>
        <v>45848</v>
      </c>
      <c r="D587">
        <f t="shared" si="28"/>
        <v>2025</v>
      </c>
      <c r="E587">
        <f t="shared" si="29"/>
        <v>7</v>
      </c>
      <c r="F587" s="13" t="s">
        <v>1172</v>
      </c>
      <c r="G587" s="13" t="s">
        <v>11</v>
      </c>
      <c r="H587" s="13" t="s">
        <v>2792</v>
      </c>
    </row>
    <row r="588" spans="1:8" x14ac:dyDescent="0.25">
      <c r="A588" t="s">
        <v>1173</v>
      </c>
      <c r="B588" s="15" cm="1">
        <f t="array" ref="B588">_xll.GetPrice("FP-LBR-1475",,"Low",_SPECIFIEDvarPubDate,)</f>
        <v>1600</v>
      </c>
      <c r="C588" s="1">
        <f t="shared" si="27"/>
        <v>45848</v>
      </c>
      <c r="D588">
        <f t="shared" si="28"/>
        <v>2025</v>
      </c>
      <c r="E588">
        <f t="shared" si="29"/>
        <v>7</v>
      </c>
      <c r="F588" s="13" t="s">
        <v>1174</v>
      </c>
      <c r="G588" s="13" t="s">
        <v>11</v>
      </c>
      <c r="H588" s="13" t="s">
        <v>2792</v>
      </c>
    </row>
    <row r="589" spans="1:8" x14ac:dyDescent="0.25">
      <c r="A589" t="s">
        <v>1175</v>
      </c>
      <c r="B589" s="15" cm="1">
        <f t="array" ref="B589">_xll.GetPrice("FP-LBR-1476",,"Low",_SPECIFIEDvarPubDate,)</f>
        <v>1600</v>
      </c>
      <c r="C589" s="1">
        <f t="shared" si="27"/>
        <v>45848</v>
      </c>
      <c r="D589">
        <f t="shared" si="28"/>
        <v>2025</v>
      </c>
      <c r="E589">
        <f t="shared" si="29"/>
        <v>7</v>
      </c>
      <c r="F589" s="13" t="s">
        <v>1176</v>
      </c>
      <c r="G589" s="13" t="s">
        <v>11</v>
      </c>
      <c r="H589" s="13" t="s">
        <v>2792</v>
      </c>
    </row>
    <row r="590" spans="1:8" x14ac:dyDescent="0.25">
      <c r="A590" t="s">
        <v>1177</v>
      </c>
      <c r="B590" s="15" cm="1">
        <f t="array" ref="B590">_xll.GetPrice("FP-LBR-1497",,"Low",_SPECIFIEDvarPubDate,)</f>
        <v>980</v>
      </c>
      <c r="C590" s="1">
        <f t="shared" si="27"/>
        <v>45848</v>
      </c>
      <c r="D590">
        <f t="shared" si="28"/>
        <v>2025</v>
      </c>
      <c r="E590">
        <f t="shared" si="29"/>
        <v>7</v>
      </c>
      <c r="F590" s="13" t="s">
        <v>1178</v>
      </c>
      <c r="G590" s="13" t="s">
        <v>11</v>
      </c>
      <c r="H590" s="13" t="s">
        <v>2792</v>
      </c>
    </row>
    <row r="591" spans="1:8" x14ac:dyDescent="0.25">
      <c r="A591" t="s">
        <v>1179</v>
      </c>
      <c r="B591" s="15" cm="1">
        <f t="array" ref="B591">_xll.GetPrice("FP-LBR-1498",,"Low",_SPECIFIEDvarPubDate,)</f>
        <v>1105</v>
      </c>
      <c r="C591" s="1">
        <f t="shared" si="27"/>
        <v>45848</v>
      </c>
      <c r="D591">
        <f t="shared" si="28"/>
        <v>2025</v>
      </c>
      <c r="E591">
        <f t="shared" si="29"/>
        <v>7</v>
      </c>
      <c r="F591" s="13" t="s">
        <v>1180</v>
      </c>
      <c r="G591" s="13" t="s">
        <v>11</v>
      </c>
      <c r="H591" s="13" t="s">
        <v>2792</v>
      </c>
    </row>
    <row r="592" spans="1:8" x14ac:dyDescent="0.25">
      <c r="A592" t="s">
        <v>1181</v>
      </c>
      <c r="B592" s="15" cm="1">
        <f t="array" ref="B592">_xll.GetPrice("FP-LBR-1499",,"Low",_SPECIFIEDvarPubDate,)</f>
        <v>1010</v>
      </c>
      <c r="C592" s="1">
        <f t="shared" si="27"/>
        <v>45848</v>
      </c>
      <c r="D592">
        <f t="shared" si="28"/>
        <v>2025</v>
      </c>
      <c r="E592">
        <f t="shared" si="29"/>
        <v>7</v>
      </c>
      <c r="F592" s="13" t="s">
        <v>1182</v>
      </c>
      <c r="G592" s="13" t="s">
        <v>11</v>
      </c>
      <c r="H592" s="13" t="s">
        <v>2792</v>
      </c>
    </row>
    <row r="593" spans="1:8" x14ac:dyDescent="0.25">
      <c r="A593" t="s">
        <v>1183</v>
      </c>
      <c r="B593" s="15" cm="1">
        <f t="array" ref="B593">_xll.GetPrice("FP-LBR-1500",,"Low",_SPECIFIEDvarPubDate,)</f>
        <v>975</v>
      </c>
      <c r="C593" s="1">
        <f t="shared" si="27"/>
        <v>45848</v>
      </c>
      <c r="D593">
        <f t="shared" si="28"/>
        <v>2025</v>
      </c>
      <c r="E593">
        <f t="shared" si="29"/>
        <v>7</v>
      </c>
      <c r="F593" s="13" t="s">
        <v>1184</v>
      </c>
      <c r="G593" s="13" t="s">
        <v>11</v>
      </c>
      <c r="H593" s="13" t="s">
        <v>2792</v>
      </c>
    </row>
    <row r="594" spans="1:8" x14ac:dyDescent="0.25">
      <c r="A594" t="s">
        <v>1185</v>
      </c>
      <c r="B594" s="15" cm="1">
        <f t="array" ref="B594">_xll.GetPrice("FP-LBR-1501",,"Low",_SPECIFIEDvarPubDate,)</f>
        <v>1180</v>
      </c>
      <c r="C594" s="1">
        <f t="shared" si="27"/>
        <v>45848</v>
      </c>
      <c r="D594">
        <f t="shared" si="28"/>
        <v>2025</v>
      </c>
      <c r="E594">
        <f t="shared" si="29"/>
        <v>7</v>
      </c>
      <c r="F594" s="13" t="s">
        <v>1186</v>
      </c>
      <c r="G594" s="13" t="s">
        <v>11</v>
      </c>
      <c r="H594" s="13" t="s">
        <v>2792</v>
      </c>
    </row>
    <row r="595" spans="1:8" x14ac:dyDescent="0.25">
      <c r="A595" t="s">
        <v>1187</v>
      </c>
      <c r="B595" s="15" cm="1">
        <f t="array" ref="B595">_xll.GetPrice("FP-LBR-2200",,"Low",_SPECIFIEDvarPubDate,)</f>
        <v>2460</v>
      </c>
      <c r="C595" s="1">
        <f t="shared" si="27"/>
        <v>45848</v>
      </c>
      <c r="D595">
        <f t="shared" si="28"/>
        <v>2025</v>
      </c>
      <c r="E595">
        <f t="shared" si="29"/>
        <v>7</v>
      </c>
      <c r="F595" s="13" t="s">
        <v>1188</v>
      </c>
      <c r="G595" s="13" t="s">
        <v>11</v>
      </c>
      <c r="H595" s="13" t="s">
        <v>2792</v>
      </c>
    </row>
    <row r="596" spans="1:8" x14ac:dyDescent="0.25">
      <c r="A596" t="s">
        <v>1189</v>
      </c>
      <c r="B596" s="15" cm="1">
        <f t="array" ref="B596">_xll.GetPrice("FP-LBR-1810",,"Low",_SPECIFIEDvarPubDate,)</f>
        <v>2360</v>
      </c>
      <c r="C596" s="1">
        <f t="shared" si="27"/>
        <v>45848</v>
      </c>
      <c r="D596">
        <f t="shared" si="28"/>
        <v>2025</v>
      </c>
      <c r="E596">
        <f t="shared" si="29"/>
        <v>7</v>
      </c>
      <c r="F596" s="13" t="s">
        <v>1190</v>
      </c>
      <c r="G596" s="13" t="s">
        <v>11</v>
      </c>
      <c r="H596" s="13" t="s">
        <v>2792</v>
      </c>
    </row>
    <row r="597" spans="1:8" x14ac:dyDescent="0.25">
      <c r="A597" t="s">
        <v>1191</v>
      </c>
      <c r="B597" s="15" cm="1">
        <f t="array" ref="B597">_xll.GetPrice("FP-LBR-1299",,"Low",_SPECIFIEDvarPubDate,)</f>
        <v>495</v>
      </c>
      <c r="C597" s="1">
        <f t="shared" si="27"/>
        <v>45848</v>
      </c>
      <c r="D597">
        <f t="shared" si="28"/>
        <v>2025</v>
      </c>
      <c r="E597">
        <f t="shared" si="29"/>
        <v>7</v>
      </c>
      <c r="F597" s="13" t="s">
        <v>1192</v>
      </c>
      <c r="G597" s="13" t="s">
        <v>11</v>
      </c>
      <c r="H597" s="13" t="s">
        <v>2792</v>
      </c>
    </row>
    <row r="598" spans="1:8" x14ac:dyDescent="0.25">
      <c r="A598" t="s">
        <v>1193</v>
      </c>
      <c r="B598" s="15" cm="1">
        <f t="array" ref="B598">_xll.GetPrice("FP-LBR-1300",,"Low",_SPECIFIEDvarPubDate,)</f>
        <v>505</v>
      </c>
      <c r="C598" s="1">
        <f t="shared" si="27"/>
        <v>45848</v>
      </c>
      <c r="D598">
        <f t="shared" si="28"/>
        <v>2025</v>
      </c>
      <c r="E598">
        <f t="shared" si="29"/>
        <v>7</v>
      </c>
      <c r="F598" s="13" t="s">
        <v>1194</v>
      </c>
      <c r="G598" s="13" t="s">
        <v>11</v>
      </c>
      <c r="H598" s="13" t="s">
        <v>2792</v>
      </c>
    </row>
    <row r="599" spans="1:8" x14ac:dyDescent="0.25">
      <c r="A599" t="s">
        <v>1195</v>
      </c>
      <c r="B599" s="15" cm="1">
        <f t="array" ref="B599">_xll.GetPrice("FP-LBR-1427",,"Low",_SPECIFIEDvarPubDate,)</f>
        <v>730</v>
      </c>
      <c r="C599" s="1">
        <f t="shared" si="27"/>
        <v>45848</v>
      </c>
      <c r="D599">
        <f t="shared" si="28"/>
        <v>2025</v>
      </c>
      <c r="E599">
        <f t="shared" si="29"/>
        <v>7</v>
      </c>
      <c r="F599" s="13" t="s">
        <v>1196</v>
      </c>
      <c r="G599" s="13" t="s">
        <v>11</v>
      </c>
      <c r="H599" s="13" t="s">
        <v>2792</v>
      </c>
    </row>
    <row r="600" spans="1:8" x14ac:dyDescent="0.25">
      <c r="A600" t="s">
        <v>1197</v>
      </c>
      <c r="B600" s="15" cm="1">
        <f t="array" ref="B600">_xll.GetPrice("FP-LBR-1428",,"Low",_SPECIFIEDvarPubDate,)</f>
        <v>965</v>
      </c>
      <c r="C600" s="1">
        <f t="shared" si="27"/>
        <v>45848</v>
      </c>
      <c r="D600">
        <f t="shared" si="28"/>
        <v>2025</v>
      </c>
      <c r="E600">
        <f t="shared" si="29"/>
        <v>7</v>
      </c>
      <c r="F600" s="13" t="s">
        <v>1198</v>
      </c>
      <c r="G600" s="13" t="s">
        <v>11</v>
      </c>
      <c r="H600" s="13" t="s">
        <v>2792</v>
      </c>
    </row>
    <row r="601" spans="1:8" x14ac:dyDescent="0.25">
      <c r="A601" t="s">
        <v>1199</v>
      </c>
      <c r="B601" s="15" cm="1">
        <f t="array" ref="B601">_xll.GetPrice("FP-LBR-1429",,"Low",_SPECIFIEDvarPubDate,)</f>
        <v>675</v>
      </c>
      <c r="C601" s="1">
        <f t="shared" si="27"/>
        <v>45848</v>
      </c>
      <c r="D601">
        <f t="shared" si="28"/>
        <v>2025</v>
      </c>
      <c r="E601">
        <f t="shared" si="29"/>
        <v>7</v>
      </c>
      <c r="F601" s="13" t="s">
        <v>1200</v>
      </c>
      <c r="G601" s="13" t="s">
        <v>11</v>
      </c>
      <c r="H601" s="13" t="s">
        <v>2792</v>
      </c>
    </row>
    <row r="602" spans="1:8" x14ac:dyDescent="0.25">
      <c r="A602" t="s">
        <v>1201</v>
      </c>
      <c r="B602" s="15" cm="1">
        <f t="array" ref="B602">_xll.GetPrice("FP-LBR-1430",,"Low",_SPECIFIEDvarPubDate,)</f>
        <v>505</v>
      </c>
      <c r="C602" s="1">
        <f t="shared" si="27"/>
        <v>45848</v>
      </c>
      <c r="D602">
        <f t="shared" si="28"/>
        <v>2025</v>
      </c>
      <c r="E602">
        <f t="shared" si="29"/>
        <v>7</v>
      </c>
      <c r="F602" s="13" t="s">
        <v>1202</v>
      </c>
      <c r="G602" s="13" t="s">
        <v>11</v>
      </c>
      <c r="H602" s="13" t="s">
        <v>2792</v>
      </c>
    </row>
    <row r="603" spans="1:8" x14ac:dyDescent="0.25">
      <c r="A603" t="s">
        <v>1203</v>
      </c>
      <c r="B603" s="15" cm="1">
        <f t="array" ref="B603">_xll.GetPrice("FP-LBR-1431",,"Low",_SPECIFIEDvarPubDate,)</f>
        <v>900</v>
      </c>
      <c r="C603" s="1">
        <f t="shared" si="27"/>
        <v>45848</v>
      </c>
      <c r="D603">
        <f t="shared" si="28"/>
        <v>2025</v>
      </c>
      <c r="E603">
        <f t="shared" si="29"/>
        <v>7</v>
      </c>
      <c r="F603" s="13" t="s">
        <v>1204</v>
      </c>
      <c r="G603" s="13" t="s">
        <v>11</v>
      </c>
      <c r="H603" s="13" t="s">
        <v>2792</v>
      </c>
    </row>
    <row r="604" spans="1:8" x14ac:dyDescent="0.25">
      <c r="A604" t="s">
        <v>1205</v>
      </c>
      <c r="B604" s="15" cm="1">
        <f t="array" ref="B604">_xll.GetPrice("FP-LBR-1477",,"Low",_SPECIFIEDvarPubDate,)</f>
        <v>750</v>
      </c>
      <c r="C604" s="1">
        <f t="shared" si="27"/>
        <v>45848</v>
      </c>
      <c r="D604">
        <f t="shared" si="28"/>
        <v>2025</v>
      </c>
      <c r="E604">
        <f t="shared" si="29"/>
        <v>7</v>
      </c>
      <c r="F604" s="13" t="s">
        <v>1206</v>
      </c>
      <c r="G604" s="13" t="s">
        <v>11</v>
      </c>
      <c r="H604" s="13" t="s">
        <v>2792</v>
      </c>
    </row>
    <row r="605" spans="1:8" x14ac:dyDescent="0.25">
      <c r="A605" t="s">
        <v>1207</v>
      </c>
      <c r="B605" s="15" cm="1">
        <f t="array" ref="B605">_xll.GetPrice("FP-LBR-1478",,"Low",_SPECIFIEDvarPubDate,)</f>
        <v>1000</v>
      </c>
      <c r="C605" s="1">
        <f t="shared" si="27"/>
        <v>45848</v>
      </c>
      <c r="D605">
        <f t="shared" si="28"/>
        <v>2025</v>
      </c>
      <c r="E605">
        <f t="shared" si="29"/>
        <v>7</v>
      </c>
      <c r="F605" s="13" t="s">
        <v>1208</v>
      </c>
      <c r="G605" s="13" t="s">
        <v>11</v>
      </c>
      <c r="H605" s="13" t="s">
        <v>2792</v>
      </c>
    </row>
    <row r="606" spans="1:8" x14ac:dyDescent="0.25">
      <c r="A606" t="s">
        <v>1209</v>
      </c>
      <c r="B606" s="15" cm="1">
        <f t="array" ref="B606">_xll.GetPrice("FP-LBR-1479",,"Low",_SPECIFIEDvarPubDate,)</f>
        <v>680</v>
      </c>
      <c r="C606" s="1">
        <f t="shared" si="27"/>
        <v>45848</v>
      </c>
      <c r="D606">
        <f t="shared" si="28"/>
        <v>2025</v>
      </c>
      <c r="E606">
        <f t="shared" si="29"/>
        <v>7</v>
      </c>
      <c r="F606" s="13" t="s">
        <v>1210</v>
      </c>
      <c r="G606" s="13" t="s">
        <v>11</v>
      </c>
      <c r="H606" s="13" t="s">
        <v>2792</v>
      </c>
    </row>
    <row r="607" spans="1:8" x14ac:dyDescent="0.25">
      <c r="A607" t="s">
        <v>1211</v>
      </c>
      <c r="B607" s="15" cm="1">
        <f t="array" ref="B607">_xll.GetPrice("FP-LBR-1480",,"Low",_SPECIFIEDvarPubDate,)</f>
        <v>425</v>
      </c>
      <c r="C607" s="1">
        <f t="shared" si="27"/>
        <v>45848</v>
      </c>
      <c r="D607">
        <f t="shared" si="28"/>
        <v>2025</v>
      </c>
      <c r="E607">
        <f t="shared" si="29"/>
        <v>7</v>
      </c>
      <c r="F607" s="13" t="s">
        <v>1212</v>
      </c>
      <c r="G607" s="13" t="s">
        <v>11</v>
      </c>
      <c r="H607" s="13" t="s">
        <v>2792</v>
      </c>
    </row>
    <row r="608" spans="1:8" x14ac:dyDescent="0.25">
      <c r="A608" t="s">
        <v>1213</v>
      </c>
      <c r="B608" s="15" cm="1">
        <f t="array" ref="B608">_xll.GetPrice("FP-LBR-1481",,"Low",_SPECIFIEDvarPubDate,)</f>
        <v>850</v>
      </c>
      <c r="C608" s="1">
        <f t="shared" si="27"/>
        <v>45848</v>
      </c>
      <c r="D608">
        <f t="shared" si="28"/>
        <v>2025</v>
      </c>
      <c r="E608">
        <f t="shared" si="29"/>
        <v>7</v>
      </c>
      <c r="F608" s="13" t="s">
        <v>1214</v>
      </c>
      <c r="G608" s="13" t="s">
        <v>11</v>
      </c>
      <c r="H608" s="13" t="s">
        <v>2792</v>
      </c>
    </row>
    <row r="609" spans="1:8" x14ac:dyDescent="0.25">
      <c r="A609" t="s">
        <v>1215</v>
      </c>
      <c r="B609" s="15" cm="1">
        <f t="array" ref="B609">_xll.GetPrice("FP-LBR-1512",,"Low",_SPECIFIEDvarPubDate,)</f>
        <v>680</v>
      </c>
      <c r="C609" s="1">
        <f t="shared" si="27"/>
        <v>45848</v>
      </c>
      <c r="D609">
        <f t="shared" si="28"/>
        <v>2025</v>
      </c>
      <c r="E609">
        <f t="shared" si="29"/>
        <v>7</v>
      </c>
      <c r="F609" s="13" t="s">
        <v>1216</v>
      </c>
      <c r="G609" s="13" t="s">
        <v>11</v>
      </c>
      <c r="H609" s="13" t="s">
        <v>2792</v>
      </c>
    </row>
    <row r="610" spans="1:8" x14ac:dyDescent="0.25">
      <c r="A610" t="s">
        <v>1217</v>
      </c>
      <c r="B610" s="15" cm="1">
        <f t="array" ref="B610">_xll.GetPrice("FP-LBR-1513",,"Low",_SPECIFIEDvarPubDate,)</f>
        <v>960</v>
      </c>
      <c r="C610" s="1">
        <f t="shared" si="27"/>
        <v>45848</v>
      </c>
      <c r="D610">
        <f t="shared" si="28"/>
        <v>2025</v>
      </c>
      <c r="E610">
        <f t="shared" si="29"/>
        <v>7</v>
      </c>
      <c r="F610" s="13" t="s">
        <v>1218</v>
      </c>
      <c r="G610" s="13" t="s">
        <v>11</v>
      </c>
      <c r="H610" s="13" t="s">
        <v>2792</v>
      </c>
    </row>
    <row r="611" spans="1:8" x14ac:dyDescent="0.25">
      <c r="A611" t="s">
        <v>1219</v>
      </c>
      <c r="B611" s="15" cm="1">
        <f t="array" ref="B611">_xll.GetPrice("FP-LBR-1514",,"Low",_SPECIFIEDvarPubDate,)</f>
        <v>940</v>
      </c>
      <c r="C611" s="1">
        <f t="shared" si="27"/>
        <v>45848</v>
      </c>
      <c r="D611">
        <f t="shared" si="28"/>
        <v>2025</v>
      </c>
      <c r="E611">
        <f t="shared" si="29"/>
        <v>7</v>
      </c>
      <c r="F611" s="13" t="s">
        <v>1220</v>
      </c>
      <c r="G611" s="13" t="s">
        <v>11</v>
      </c>
      <c r="H611" s="13" t="s">
        <v>2792</v>
      </c>
    </row>
    <row r="612" spans="1:8" x14ac:dyDescent="0.25">
      <c r="A612" t="s">
        <v>1221</v>
      </c>
      <c r="B612" s="15" cm="1">
        <f t="array" ref="B612">_xll.GetPrice("FP-LBR-1515",,"Low",_SPECIFIEDvarPubDate,)</f>
        <v>760</v>
      </c>
      <c r="C612" s="1">
        <f t="shared" si="27"/>
        <v>45848</v>
      </c>
      <c r="D612">
        <f t="shared" si="28"/>
        <v>2025</v>
      </c>
      <c r="E612">
        <f t="shared" si="29"/>
        <v>7</v>
      </c>
      <c r="F612" s="13" t="s">
        <v>1222</v>
      </c>
      <c r="G612" s="13" t="s">
        <v>11</v>
      </c>
      <c r="H612" s="13" t="s">
        <v>2792</v>
      </c>
    </row>
    <row r="613" spans="1:8" x14ac:dyDescent="0.25">
      <c r="A613" t="s">
        <v>1223</v>
      </c>
      <c r="B613" s="15" cm="1">
        <f t="array" ref="B613">_xll.GetPrice("FP-LBR-1516",,"Low",_SPECIFIEDvarPubDate,)</f>
        <v>1165</v>
      </c>
      <c r="C613" s="1">
        <f t="shared" si="27"/>
        <v>45848</v>
      </c>
      <c r="D613">
        <f t="shared" si="28"/>
        <v>2025</v>
      </c>
      <c r="E613">
        <f t="shared" si="29"/>
        <v>7</v>
      </c>
      <c r="F613" s="13" t="s">
        <v>1224</v>
      </c>
      <c r="G613" s="13" t="s">
        <v>11</v>
      </c>
      <c r="H613" s="13" t="s">
        <v>2792</v>
      </c>
    </row>
    <row r="614" spans="1:8" x14ac:dyDescent="0.25">
      <c r="A614" t="s">
        <v>1225</v>
      </c>
      <c r="B614" s="15" cm="1">
        <f t="array" ref="B614">_xll.GetPrice("FP-LBR-1502",,"Low",_SPECIFIEDvarPubDate,)</f>
        <v>805</v>
      </c>
      <c r="C614" s="1">
        <f t="shared" si="27"/>
        <v>45848</v>
      </c>
      <c r="D614">
        <f t="shared" si="28"/>
        <v>2025</v>
      </c>
      <c r="E614">
        <f t="shared" si="29"/>
        <v>7</v>
      </c>
      <c r="F614" s="13" t="s">
        <v>1226</v>
      </c>
      <c r="G614" s="13" t="s">
        <v>11</v>
      </c>
      <c r="H614" s="13" t="s">
        <v>2792</v>
      </c>
    </row>
    <row r="615" spans="1:8" x14ac:dyDescent="0.25">
      <c r="A615" t="s">
        <v>1227</v>
      </c>
      <c r="B615" s="15" cm="1">
        <f t="array" ref="B615">_xll.GetPrice("FP-LBR-1503",,"Low",_SPECIFIEDvarPubDate,)</f>
        <v>710</v>
      </c>
      <c r="C615" s="1">
        <f t="shared" si="27"/>
        <v>45848</v>
      </c>
      <c r="D615">
        <f t="shared" si="28"/>
        <v>2025</v>
      </c>
      <c r="E615">
        <f t="shared" si="29"/>
        <v>7</v>
      </c>
      <c r="F615" s="13" t="s">
        <v>1228</v>
      </c>
      <c r="G615" s="13" t="s">
        <v>11</v>
      </c>
      <c r="H615" s="13" t="s">
        <v>2792</v>
      </c>
    </row>
    <row r="616" spans="1:8" x14ac:dyDescent="0.25">
      <c r="A616" t="s">
        <v>1229</v>
      </c>
      <c r="B616" s="15" cm="1">
        <f t="array" ref="B616">_xll.GetPrice("FP-LBR-1504",,"Low",_SPECIFIEDvarPubDate,)</f>
        <v>635</v>
      </c>
      <c r="C616" s="1">
        <f t="shared" si="27"/>
        <v>45848</v>
      </c>
      <c r="D616">
        <f t="shared" si="28"/>
        <v>2025</v>
      </c>
      <c r="E616">
        <f t="shared" si="29"/>
        <v>7</v>
      </c>
      <c r="F616" s="13" t="s">
        <v>1230</v>
      </c>
      <c r="G616" s="13" t="s">
        <v>11</v>
      </c>
      <c r="H616" s="13" t="s">
        <v>2792</v>
      </c>
    </row>
    <row r="617" spans="1:8" x14ac:dyDescent="0.25">
      <c r="A617" t="s">
        <v>1231</v>
      </c>
      <c r="B617" s="15" cm="1">
        <f t="array" ref="B617">_xll.GetPrice("FP-LBR-1505",,"Low",_SPECIFIEDvarPubDate,)</f>
        <v>645</v>
      </c>
      <c r="C617" s="1">
        <f t="shared" si="27"/>
        <v>45848</v>
      </c>
      <c r="D617">
        <f t="shared" si="28"/>
        <v>2025</v>
      </c>
      <c r="E617">
        <f t="shared" si="29"/>
        <v>7</v>
      </c>
      <c r="F617" s="13" t="s">
        <v>1232</v>
      </c>
      <c r="G617" s="13" t="s">
        <v>11</v>
      </c>
      <c r="H617" s="13" t="s">
        <v>2792</v>
      </c>
    </row>
    <row r="618" spans="1:8" x14ac:dyDescent="0.25">
      <c r="A618" t="s">
        <v>1233</v>
      </c>
      <c r="B618" s="15" cm="1">
        <f t="array" ref="B618">_xll.GetPrice("FP-LBR-1506",,"Low",_SPECIFIEDvarPubDate,)</f>
        <v>740</v>
      </c>
      <c r="C618" s="1">
        <f t="shared" si="27"/>
        <v>45848</v>
      </c>
      <c r="D618">
        <f t="shared" si="28"/>
        <v>2025</v>
      </c>
      <c r="E618">
        <f t="shared" si="29"/>
        <v>7</v>
      </c>
      <c r="F618" s="13" t="s">
        <v>1234</v>
      </c>
      <c r="G618" s="13" t="s">
        <v>11</v>
      </c>
      <c r="H618" s="13" t="s">
        <v>2792</v>
      </c>
    </row>
    <row r="619" spans="1:8" x14ac:dyDescent="0.25">
      <c r="A619" t="s">
        <v>1235</v>
      </c>
      <c r="B619" s="15" cm="1">
        <f t="array" ref="B619">_xll.GetPrice("FP-LBR-1807",,"Low",_SPECIFIEDvarPubDate,)</f>
        <v>2695</v>
      </c>
      <c r="C619" s="1">
        <f t="shared" si="27"/>
        <v>45848</v>
      </c>
      <c r="D619">
        <f t="shared" si="28"/>
        <v>2025</v>
      </c>
      <c r="E619">
        <f t="shared" si="29"/>
        <v>7</v>
      </c>
      <c r="F619" s="13" t="s">
        <v>1236</v>
      </c>
      <c r="G619" s="13" t="s">
        <v>11</v>
      </c>
      <c r="H619" s="13" t="s">
        <v>2792</v>
      </c>
    </row>
    <row r="620" spans="1:8" x14ac:dyDescent="0.25">
      <c r="A620" t="s">
        <v>1237</v>
      </c>
      <c r="B620" s="15" cm="1">
        <f t="array" ref="B620">_xll.GetPrice("FP-LBR-1301",,"Low",_SPECIFIEDvarPubDate,)</f>
        <v>435</v>
      </c>
      <c r="C620" s="1">
        <f t="shared" si="27"/>
        <v>45848</v>
      </c>
      <c r="D620">
        <f t="shared" si="28"/>
        <v>2025</v>
      </c>
      <c r="E620">
        <f t="shared" si="29"/>
        <v>7</v>
      </c>
      <c r="F620" s="13" t="s">
        <v>1238</v>
      </c>
      <c r="G620" s="13" t="s">
        <v>11</v>
      </c>
      <c r="H620" s="13" t="s">
        <v>2792</v>
      </c>
    </row>
    <row r="621" spans="1:8" x14ac:dyDescent="0.25">
      <c r="A621" t="s">
        <v>1239</v>
      </c>
      <c r="B621" s="15" cm="1">
        <f t="array" ref="B621">_xll.GetPrice("FP-LBR-1302",,"Low",_SPECIFIEDvarPubDate,)</f>
        <v>440</v>
      </c>
      <c r="C621" s="1">
        <f t="shared" si="27"/>
        <v>45848</v>
      </c>
      <c r="D621">
        <f t="shared" si="28"/>
        <v>2025</v>
      </c>
      <c r="E621">
        <f t="shared" si="29"/>
        <v>7</v>
      </c>
      <c r="F621" s="13" t="s">
        <v>1240</v>
      </c>
      <c r="G621" s="13" t="s">
        <v>11</v>
      </c>
      <c r="H621" s="13" t="s">
        <v>2792</v>
      </c>
    </row>
    <row r="622" spans="1:8" x14ac:dyDescent="0.25">
      <c r="A622" t="s">
        <v>1241</v>
      </c>
      <c r="B622" s="15" cm="1">
        <f t="array" ref="B622">_xll.GetPrice("FP-LBR-1432",,"Low",_SPECIFIEDvarPubDate,)</f>
        <v>550</v>
      </c>
      <c r="C622" s="1">
        <f t="shared" si="27"/>
        <v>45848</v>
      </c>
      <c r="D622">
        <f t="shared" si="28"/>
        <v>2025</v>
      </c>
      <c r="E622">
        <f t="shared" si="29"/>
        <v>7</v>
      </c>
      <c r="F622" s="13" t="s">
        <v>1242</v>
      </c>
      <c r="G622" s="13" t="s">
        <v>11</v>
      </c>
      <c r="H622" s="13" t="s">
        <v>2792</v>
      </c>
    </row>
    <row r="623" spans="1:8" x14ac:dyDescent="0.25">
      <c r="A623" t="s">
        <v>1243</v>
      </c>
      <c r="B623" s="15" cm="1">
        <f t="array" ref="B623">_xll.GetPrice("FP-LBR-1433",,"Low",_SPECIFIEDvarPubDate,)</f>
        <v>515</v>
      </c>
      <c r="C623" s="1">
        <f t="shared" si="27"/>
        <v>45848</v>
      </c>
      <c r="D623">
        <f t="shared" si="28"/>
        <v>2025</v>
      </c>
      <c r="E623">
        <f t="shared" si="29"/>
        <v>7</v>
      </c>
      <c r="F623" s="13" t="s">
        <v>1244</v>
      </c>
      <c r="G623" s="13" t="s">
        <v>11</v>
      </c>
      <c r="H623" s="13" t="s">
        <v>2792</v>
      </c>
    </row>
    <row r="624" spans="1:8" x14ac:dyDescent="0.25">
      <c r="A624" t="s">
        <v>1245</v>
      </c>
      <c r="B624" s="15" cm="1">
        <f t="array" ref="B624">_xll.GetPrice("FP-LBR-1434",,"Low",_SPECIFIEDvarPubDate,)</f>
        <v>450</v>
      </c>
      <c r="C624" s="1">
        <f t="shared" si="27"/>
        <v>45848</v>
      </c>
      <c r="D624">
        <f t="shared" si="28"/>
        <v>2025</v>
      </c>
      <c r="E624">
        <f t="shared" si="29"/>
        <v>7</v>
      </c>
      <c r="F624" s="13" t="s">
        <v>1246</v>
      </c>
      <c r="G624" s="13" t="s">
        <v>11</v>
      </c>
      <c r="H624" s="13" t="s">
        <v>2792</v>
      </c>
    </row>
    <row r="625" spans="1:8" x14ac:dyDescent="0.25">
      <c r="A625" t="s">
        <v>1247</v>
      </c>
      <c r="B625" s="15" cm="1">
        <f t="array" ref="B625">_xll.GetPrice("FP-LBR-1435",,"Low",_SPECIFIEDvarPubDate,)</f>
        <v>410</v>
      </c>
      <c r="C625" s="1">
        <f t="shared" si="27"/>
        <v>45848</v>
      </c>
      <c r="D625">
        <f t="shared" si="28"/>
        <v>2025</v>
      </c>
      <c r="E625">
        <f t="shared" si="29"/>
        <v>7</v>
      </c>
      <c r="F625" s="13" t="s">
        <v>1248</v>
      </c>
      <c r="G625" s="13" t="s">
        <v>11</v>
      </c>
      <c r="H625" s="13" t="s">
        <v>2792</v>
      </c>
    </row>
    <row r="626" spans="1:8" x14ac:dyDescent="0.25">
      <c r="A626" t="s">
        <v>1249</v>
      </c>
      <c r="B626" s="15" cm="1">
        <f t="array" ref="B626">_xll.GetPrice("FP-LBR-1436",,"Low",_SPECIFIEDvarPubDate,)</f>
        <v>645</v>
      </c>
      <c r="C626" s="1">
        <f t="shared" si="27"/>
        <v>45848</v>
      </c>
      <c r="D626">
        <f t="shared" si="28"/>
        <v>2025</v>
      </c>
      <c r="E626">
        <f t="shared" si="29"/>
        <v>7</v>
      </c>
      <c r="F626" s="13" t="s">
        <v>1250</v>
      </c>
      <c r="G626" s="13" t="s">
        <v>11</v>
      </c>
      <c r="H626" s="13" t="s">
        <v>2792</v>
      </c>
    </row>
    <row r="627" spans="1:8" x14ac:dyDescent="0.25">
      <c r="A627" t="s">
        <v>1251</v>
      </c>
      <c r="B627" s="15" cm="1">
        <f t="array" ref="B627">_xll.GetPrice("FP-LBR-1482",,"Low",_SPECIFIEDvarPubDate,)</f>
        <v>510</v>
      </c>
      <c r="C627" s="1">
        <f t="shared" si="27"/>
        <v>45848</v>
      </c>
      <c r="D627">
        <f t="shared" si="28"/>
        <v>2025</v>
      </c>
      <c r="E627">
        <f t="shared" si="29"/>
        <v>7</v>
      </c>
      <c r="F627" s="13" t="s">
        <v>1252</v>
      </c>
      <c r="G627" s="13" t="s">
        <v>11</v>
      </c>
      <c r="H627" s="13" t="s">
        <v>2792</v>
      </c>
    </row>
    <row r="628" spans="1:8" x14ac:dyDescent="0.25">
      <c r="A628" t="s">
        <v>1253</v>
      </c>
      <c r="B628" s="15" cm="1">
        <f t="array" ref="B628">_xll.GetPrice("FP-LBR-1483",,"Low",_SPECIFIEDvarPubDate,)</f>
        <v>315</v>
      </c>
      <c r="C628" s="1">
        <f t="shared" si="27"/>
        <v>45848</v>
      </c>
      <c r="D628">
        <f t="shared" si="28"/>
        <v>2025</v>
      </c>
      <c r="E628">
        <f t="shared" si="29"/>
        <v>7</v>
      </c>
      <c r="F628" s="13" t="s">
        <v>1254</v>
      </c>
      <c r="G628" s="13" t="s">
        <v>11</v>
      </c>
      <c r="H628" s="13" t="s">
        <v>2792</v>
      </c>
    </row>
    <row r="629" spans="1:8" x14ac:dyDescent="0.25">
      <c r="A629" t="s">
        <v>1255</v>
      </c>
      <c r="B629" s="15" cm="1">
        <f t="array" ref="B629">_xll.GetPrice("FP-LBR-1484",,"Low",_SPECIFIEDvarPubDate,)</f>
        <v>310</v>
      </c>
      <c r="C629" s="1">
        <f t="shared" si="27"/>
        <v>45848</v>
      </c>
      <c r="D629">
        <f t="shared" si="28"/>
        <v>2025</v>
      </c>
      <c r="E629">
        <f t="shared" si="29"/>
        <v>7</v>
      </c>
      <c r="F629" s="13" t="s">
        <v>1256</v>
      </c>
      <c r="G629" s="13" t="s">
        <v>11</v>
      </c>
      <c r="H629" s="13" t="s">
        <v>2792</v>
      </c>
    </row>
    <row r="630" spans="1:8" x14ac:dyDescent="0.25">
      <c r="A630" t="s">
        <v>1257</v>
      </c>
      <c r="B630" s="15" cm="1">
        <f t="array" ref="B630">_xll.GetPrice("FP-LBR-1485",,"Low",_SPECIFIEDvarPubDate,)</f>
        <v>300</v>
      </c>
      <c r="C630" s="1">
        <f t="shared" si="27"/>
        <v>45848</v>
      </c>
      <c r="D630">
        <f t="shared" si="28"/>
        <v>2025</v>
      </c>
      <c r="E630">
        <f t="shared" si="29"/>
        <v>7</v>
      </c>
      <c r="F630" s="13" t="s">
        <v>1258</v>
      </c>
      <c r="G630" s="13" t="s">
        <v>11</v>
      </c>
      <c r="H630" s="13" t="s">
        <v>2792</v>
      </c>
    </row>
    <row r="631" spans="1:8" x14ac:dyDescent="0.25">
      <c r="A631" t="s">
        <v>1259</v>
      </c>
      <c r="B631" s="15" cm="1">
        <f t="array" ref="B631">_xll.GetPrice("FP-LBR-1486",,"Low",_SPECIFIEDvarPubDate,)</f>
        <v>425</v>
      </c>
      <c r="C631" s="1">
        <f t="shared" si="27"/>
        <v>45848</v>
      </c>
      <c r="D631">
        <f t="shared" si="28"/>
        <v>2025</v>
      </c>
      <c r="E631">
        <f t="shared" si="29"/>
        <v>7</v>
      </c>
      <c r="F631" s="13" t="s">
        <v>1260</v>
      </c>
      <c r="G631" s="13" t="s">
        <v>11</v>
      </c>
      <c r="H631" s="13" t="s">
        <v>2792</v>
      </c>
    </row>
    <row r="632" spans="1:8" x14ac:dyDescent="0.25">
      <c r="A632" t="s">
        <v>1261</v>
      </c>
      <c r="B632" s="15" cm="1">
        <f t="array" ref="B632">_xll.GetPrice("FP-LBR-1517",,"Low",_SPECIFIEDvarPubDate,)</f>
        <v>530</v>
      </c>
      <c r="C632" s="1">
        <f t="shared" si="27"/>
        <v>45848</v>
      </c>
      <c r="D632">
        <f t="shared" si="28"/>
        <v>2025</v>
      </c>
      <c r="E632">
        <f t="shared" si="29"/>
        <v>7</v>
      </c>
      <c r="F632" s="13" t="s">
        <v>1262</v>
      </c>
      <c r="G632" s="13" t="s">
        <v>11</v>
      </c>
      <c r="H632" s="13" t="s">
        <v>2792</v>
      </c>
    </row>
    <row r="633" spans="1:8" x14ac:dyDescent="0.25">
      <c r="A633" t="s">
        <v>1263</v>
      </c>
      <c r="B633" s="15" cm="1">
        <f t="array" ref="B633">_xll.GetPrice("FP-LBR-1518",,"Low",_SPECIFIEDvarPubDate,)</f>
        <v>615</v>
      </c>
      <c r="C633" s="1">
        <f t="shared" si="27"/>
        <v>45848</v>
      </c>
      <c r="D633">
        <f t="shared" si="28"/>
        <v>2025</v>
      </c>
      <c r="E633">
        <f t="shared" si="29"/>
        <v>7</v>
      </c>
      <c r="F633" s="13" t="s">
        <v>1264</v>
      </c>
      <c r="G633" s="13" t="s">
        <v>11</v>
      </c>
      <c r="H633" s="13" t="s">
        <v>2792</v>
      </c>
    </row>
    <row r="634" spans="1:8" x14ac:dyDescent="0.25">
      <c r="A634" t="s">
        <v>1265</v>
      </c>
      <c r="B634" s="15" cm="1">
        <f t="array" ref="B634">_xll.GetPrice("FP-LBR-1519",,"Low",_SPECIFIEDvarPubDate,)</f>
        <v>580</v>
      </c>
      <c r="C634" s="1">
        <f t="shared" si="27"/>
        <v>45848</v>
      </c>
      <c r="D634">
        <f t="shared" si="28"/>
        <v>2025</v>
      </c>
      <c r="E634">
        <f t="shared" si="29"/>
        <v>7</v>
      </c>
      <c r="F634" s="13" t="s">
        <v>1266</v>
      </c>
      <c r="G634" s="13" t="s">
        <v>11</v>
      </c>
      <c r="H634" s="13" t="s">
        <v>2792</v>
      </c>
    </row>
    <row r="635" spans="1:8" x14ac:dyDescent="0.25">
      <c r="A635" t="s">
        <v>1267</v>
      </c>
      <c r="B635" s="15" cm="1">
        <f t="array" ref="B635">_xll.GetPrice("FP-LBR-1520",,"Low",_SPECIFIEDvarPubDate,)</f>
        <v>550</v>
      </c>
      <c r="C635" s="1">
        <f t="shared" si="27"/>
        <v>45848</v>
      </c>
      <c r="D635">
        <f t="shared" si="28"/>
        <v>2025</v>
      </c>
      <c r="E635">
        <f t="shared" si="29"/>
        <v>7</v>
      </c>
      <c r="F635" s="13" t="s">
        <v>1268</v>
      </c>
      <c r="G635" s="13" t="s">
        <v>11</v>
      </c>
      <c r="H635" s="13" t="s">
        <v>2792</v>
      </c>
    </row>
    <row r="636" spans="1:8" x14ac:dyDescent="0.25">
      <c r="A636" t="s">
        <v>1269</v>
      </c>
      <c r="B636" s="15" cm="1">
        <f t="array" ref="B636">_xll.GetPrice("FP-LBR-1521",,"Low",_SPECIFIEDvarPubDate,)</f>
        <v>775</v>
      </c>
      <c r="C636" s="1">
        <f t="shared" si="27"/>
        <v>45848</v>
      </c>
      <c r="D636">
        <f t="shared" si="28"/>
        <v>2025</v>
      </c>
      <c r="E636">
        <f t="shared" si="29"/>
        <v>7</v>
      </c>
      <c r="F636" s="13" t="s">
        <v>1270</v>
      </c>
      <c r="G636" s="13" t="s">
        <v>11</v>
      </c>
      <c r="H636" s="13" t="s">
        <v>2792</v>
      </c>
    </row>
    <row r="637" spans="1:8" x14ac:dyDescent="0.25">
      <c r="A637" t="s">
        <v>1271</v>
      </c>
      <c r="B637" s="15" cm="1">
        <f t="array" ref="B637">_xll.GetPrice("FP-LBR-1507",,"Low",_SPECIFIEDvarPubDate,)</f>
        <v>405</v>
      </c>
      <c r="C637" s="1">
        <f t="shared" si="27"/>
        <v>45848</v>
      </c>
      <c r="D637">
        <f t="shared" si="28"/>
        <v>2025</v>
      </c>
      <c r="E637">
        <f t="shared" si="29"/>
        <v>7</v>
      </c>
      <c r="F637" s="13" t="s">
        <v>1272</v>
      </c>
      <c r="G637" s="13" t="s">
        <v>11</v>
      </c>
      <c r="H637" s="13" t="s">
        <v>2792</v>
      </c>
    </row>
    <row r="638" spans="1:8" x14ac:dyDescent="0.25">
      <c r="A638" t="s">
        <v>1273</v>
      </c>
      <c r="B638" s="15" cm="1">
        <f t="array" ref="B638">_xll.GetPrice("FP-LBR-1508",,"Low",_SPECIFIEDvarPubDate,)</f>
        <v>345</v>
      </c>
      <c r="C638" s="1">
        <f t="shared" si="27"/>
        <v>45848</v>
      </c>
      <c r="D638">
        <f t="shared" si="28"/>
        <v>2025</v>
      </c>
      <c r="E638">
        <f t="shared" si="29"/>
        <v>7</v>
      </c>
      <c r="F638" s="13" t="s">
        <v>1274</v>
      </c>
      <c r="G638" s="13" t="s">
        <v>11</v>
      </c>
      <c r="H638" s="13" t="s">
        <v>2792</v>
      </c>
    </row>
    <row r="639" spans="1:8" x14ac:dyDescent="0.25">
      <c r="A639" t="s">
        <v>1275</v>
      </c>
      <c r="B639" s="15" cm="1">
        <f t="array" ref="B639">_xll.GetPrice("FP-LBR-1509",,"Low",_SPECIFIEDvarPubDate,)</f>
        <v>290</v>
      </c>
      <c r="C639" s="1">
        <f t="shared" si="27"/>
        <v>45848</v>
      </c>
      <c r="D639">
        <f t="shared" si="28"/>
        <v>2025</v>
      </c>
      <c r="E639">
        <f t="shared" si="29"/>
        <v>7</v>
      </c>
      <c r="F639" s="13" t="s">
        <v>1276</v>
      </c>
      <c r="G639" s="13" t="s">
        <v>11</v>
      </c>
      <c r="H639" s="13" t="s">
        <v>2792</v>
      </c>
    </row>
    <row r="640" spans="1:8" x14ac:dyDescent="0.25">
      <c r="A640" t="s">
        <v>1277</v>
      </c>
      <c r="B640" s="15" cm="1">
        <f t="array" ref="B640">_xll.GetPrice("FP-LBR-1510",,"Low",_SPECIFIEDvarPubDate,)</f>
        <v>405</v>
      </c>
      <c r="C640" s="1">
        <f t="shared" si="27"/>
        <v>45848</v>
      </c>
      <c r="D640">
        <f t="shared" si="28"/>
        <v>2025</v>
      </c>
      <c r="E640">
        <f t="shared" si="29"/>
        <v>7</v>
      </c>
      <c r="F640" s="13" t="s">
        <v>1278</v>
      </c>
      <c r="G640" s="13" t="s">
        <v>11</v>
      </c>
      <c r="H640" s="13" t="s">
        <v>2792</v>
      </c>
    </row>
    <row r="641" spans="1:8" x14ac:dyDescent="0.25">
      <c r="A641" t="s">
        <v>1279</v>
      </c>
      <c r="B641" s="15" cm="1">
        <f t="array" ref="B641">_xll.GetPrice("FP-LBR-1511",,"Low",_SPECIFIEDvarPubDate,)</f>
        <v>335</v>
      </c>
      <c r="C641" s="1">
        <f t="shared" si="27"/>
        <v>45848</v>
      </c>
      <c r="D641">
        <f t="shared" si="28"/>
        <v>2025</v>
      </c>
      <c r="E641">
        <f t="shared" si="29"/>
        <v>7</v>
      </c>
      <c r="F641" s="13" t="s">
        <v>1280</v>
      </c>
      <c r="G641" s="13" t="s">
        <v>11</v>
      </c>
      <c r="H641" s="13" t="s">
        <v>2792</v>
      </c>
    </row>
    <row r="642" spans="1:8" x14ac:dyDescent="0.25">
      <c r="A642" t="s">
        <v>1281</v>
      </c>
      <c r="B642" s="15" cm="1">
        <f t="array" ref="B642">_xll.GetPrice("FP-LBR-1808",,"Low",_SPECIFIEDvarPubDate,)</f>
        <v>2195</v>
      </c>
      <c r="C642" s="1">
        <f t="shared" ref="C642:C705" si="30">_SPECIFIEDvarPubDate</f>
        <v>45848</v>
      </c>
      <c r="D642">
        <f t="shared" ref="D642:D705" si="31">_SPECIFIEDvarYear</f>
        <v>2025</v>
      </c>
      <c r="E642">
        <f t="shared" ref="E642:E705" si="32">_SPECIFIEDvarMonth</f>
        <v>7</v>
      </c>
      <c r="F642" s="13" t="s">
        <v>1282</v>
      </c>
      <c r="G642" s="13" t="s">
        <v>11</v>
      </c>
      <c r="H642" s="13" t="s">
        <v>2792</v>
      </c>
    </row>
    <row r="643" spans="1:8" x14ac:dyDescent="0.25">
      <c r="A643" t="s">
        <v>1283</v>
      </c>
      <c r="B643" s="15" cm="1">
        <f t="array" ref="B643">_xll.GetPrice("FP-LBR-1809",,"Low",_SPECIFIEDvarPubDate,)</f>
        <v>2300</v>
      </c>
      <c r="C643" s="1">
        <f t="shared" si="30"/>
        <v>45848</v>
      </c>
      <c r="D643">
        <f t="shared" si="31"/>
        <v>2025</v>
      </c>
      <c r="E643">
        <f t="shared" si="32"/>
        <v>7</v>
      </c>
      <c r="F643" s="13" t="s">
        <v>1284</v>
      </c>
      <c r="G643" s="13" t="s">
        <v>11</v>
      </c>
      <c r="H643" s="13" t="s">
        <v>2792</v>
      </c>
    </row>
    <row r="644" spans="1:8" x14ac:dyDescent="0.25">
      <c r="A644" t="s">
        <v>1285</v>
      </c>
      <c r="B644" s="15" cm="1">
        <f t="array" ref="B644">_xll.GetPrice("FP-LBR-1437",,"Low",_SPECIFIEDvarPubDate,)</f>
        <v>355</v>
      </c>
      <c r="C644" s="1">
        <f t="shared" si="30"/>
        <v>45848</v>
      </c>
      <c r="D644">
        <f t="shared" si="31"/>
        <v>2025</v>
      </c>
      <c r="E644">
        <f t="shared" si="32"/>
        <v>7</v>
      </c>
      <c r="F644" s="13" t="s">
        <v>1286</v>
      </c>
      <c r="G644" s="13" t="s">
        <v>11</v>
      </c>
      <c r="H644" s="13" t="s">
        <v>2792</v>
      </c>
    </row>
    <row r="645" spans="1:8" x14ac:dyDescent="0.25">
      <c r="A645" t="s">
        <v>1287</v>
      </c>
      <c r="B645" s="15" cm="1">
        <f t="array" ref="B645">_xll.GetPrice("FP-LBR-1438",,"Low",_SPECIFIEDvarPubDate,)</f>
        <v>335</v>
      </c>
      <c r="C645" s="1">
        <f t="shared" si="30"/>
        <v>45848</v>
      </c>
      <c r="D645">
        <f t="shared" si="31"/>
        <v>2025</v>
      </c>
      <c r="E645">
        <f t="shared" si="32"/>
        <v>7</v>
      </c>
      <c r="F645" s="13" t="s">
        <v>1288</v>
      </c>
      <c r="G645" s="13" t="s">
        <v>11</v>
      </c>
      <c r="H645" s="13" t="s">
        <v>2792</v>
      </c>
    </row>
    <row r="646" spans="1:8" x14ac:dyDescent="0.25">
      <c r="A646" t="s">
        <v>1289</v>
      </c>
      <c r="B646" s="15" cm="1">
        <f t="array" ref="B646">_xll.GetPrice("FP-LBR-1439",,"Low",_SPECIFIEDvarPubDate,)</f>
        <v>275</v>
      </c>
      <c r="C646" s="1">
        <f t="shared" si="30"/>
        <v>45848</v>
      </c>
      <c r="D646">
        <f t="shared" si="31"/>
        <v>2025</v>
      </c>
      <c r="E646">
        <f t="shared" si="32"/>
        <v>7</v>
      </c>
      <c r="F646" s="13" t="s">
        <v>1290</v>
      </c>
      <c r="G646" s="13" t="s">
        <v>11</v>
      </c>
      <c r="H646" s="13" t="s">
        <v>2792</v>
      </c>
    </row>
    <row r="647" spans="1:8" x14ac:dyDescent="0.25">
      <c r="A647" t="s">
        <v>1291</v>
      </c>
      <c r="B647" s="15" cm="1">
        <f t="array" ref="B647">_xll.GetPrice("FP-LBR-1440",,"Low",_SPECIFIEDvarPubDate,)</f>
        <v>260</v>
      </c>
      <c r="C647" s="1">
        <f t="shared" si="30"/>
        <v>45848</v>
      </c>
      <c r="D647">
        <f t="shared" si="31"/>
        <v>2025</v>
      </c>
      <c r="E647">
        <f t="shared" si="32"/>
        <v>7</v>
      </c>
      <c r="F647" s="13" t="s">
        <v>1292</v>
      </c>
      <c r="G647" s="13" t="s">
        <v>11</v>
      </c>
      <c r="H647" s="13" t="s">
        <v>2792</v>
      </c>
    </row>
    <row r="648" spans="1:8" x14ac:dyDescent="0.25">
      <c r="A648" t="s">
        <v>1293</v>
      </c>
      <c r="B648" s="15" cm="1">
        <f t="array" ref="B648">_xll.GetPrice("FP-LBR-1441",,"Low",_SPECIFIEDvarPubDate,)</f>
        <v>330</v>
      </c>
      <c r="C648" s="1">
        <f t="shared" si="30"/>
        <v>45848</v>
      </c>
      <c r="D648">
        <f t="shared" si="31"/>
        <v>2025</v>
      </c>
      <c r="E648">
        <f t="shared" si="32"/>
        <v>7</v>
      </c>
      <c r="F648" s="13" t="s">
        <v>1294</v>
      </c>
      <c r="G648" s="13" t="s">
        <v>11</v>
      </c>
      <c r="H648" s="13" t="s">
        <v>2792</v>
      </c>
    </row>
    <row r="649" spans="1:8" x14ac:dyDescent="0.25">
      <c r="A649" t="s">
        <v>1295</v>
      </c>
      <c r="B649" s="15" cm="1">
        <f t="array" ref="B649">_xll.GetPrice("FP-LBR-1487",,"Low",_SPECIFIEDvarPubDate,)</f>
        <v>305</v>
      </c>
      <c r="C649" s="1">
        <f t="shared" si="30"/>
        <v>45848</v>
      </c>
      <c r="D649">
        <f t="shared" si="31"/>
        <v>2025</v>
      </c>
      <c r="E649">
        <f t="shared" si="32"/>
        <v>7</v>
      </c>
      <c r="F649" s="13" t="s">
        <v>1296</v>
      </c>
      <c r="G649" s="13" t="s">
        <v>11</v>
      </c>
      <c r="H649" s="13" t="s">
        <v>2792</v>
      </c>
    </row>
    <row r="650" spans="1:8" x14ac:dyDescent="0.25">
      <c r="A650" t="s">
        <v>1297</v>
      </c>
      <c r="B650" s="15" cm="1">
        <f t="array" ref="B650">_xll.GetPrice("FP-LBR-1488",,"Low",_SPECIFIEDvarPubDate,)</f>
        <v>185</v>
      </c>
      <c r="C650" s="1">
        <f t="shared" si="30"/>
        <v>45848</v>
      </c>
      <c r="D650">
        <f t="shared" si="31"/>
        <v>2025</v>
      </c>
      <c r="E650">
        <f t="shared" si="32"/>
        <v>7</v>
      </c>
      <c r="F650" s="13" t="s">
        <v>1298</v>
      </c>
      <c r="G650" s="13" t="s">
        <v>11</v>
      </c>
      <c r="H650" s="13" t="s">
        <v>2792</v>
      </c>
    </row>
    <row r="651" spans="1:8" x14ac:dyDescent="0.25">
      <c r="A651" t="s">
        <v>1299</v>
      </c>
      <c r="B651" s="15" cm="1">
        <f t="array" ref="B651">_xll.GetPrice("FP-LBR-1489",,"Low",_SPECIFIEDvarPubDate,)</f>
        <v>200</v>
      </c>
      <c r="C651" s="1">
        <f t="shared" si="30"/>
        <v>45848</v>
      </c>
      <c r="D651">
        <f t="shared" si="31"/>
        <v>2025</v>
      </c>
      <c r="E651">
        <f t="shared" si="32"/>
        <v>7</v>
      </c>
      <c r="F651" s="13" t="s">
        <v>1300</v>
      </c>
      <c r="G651" s="13" t="s">
        <v>11</v>
      </c>
      <c r="H651" s="13" t="s">
        <v>2792</v>
      </c>
    </row>
    <row r="652" spans="1:8" x14ac:dyDescent="0.25">
      <c r="A652" t="s">
        <v>1301</v>
      </c>
      <c r="B652" s="15" cm="1">
        <f t="array" ref="B652">_xll.GetPrice("FP-LBR-1490",,"Low",_SPECIFIEDvarPubDate,)</f>
        <v>200</v>
      </c>
      <c r="C652" s="1">
        <f t="shared" si="30"/>
        <v>45848</v>
      </c>
      <c r="D652">
        <f t="shared" si="31"/>
        <v>2025</v>
      </c>
      <c r="E652">
        <f t="shared" si="32"/>
        <v>7</v>
      </c>
      <c r="F652" s="13" t="s">
        <v>1302</v>
      </c>
      <c r="G652" s="13" t="s">
        <v>11</v>
      </c>
      <c r="H652" s="13" t="s">
        <v>2792</v>
      </c>
    </row>
    <row r="653" spans="1:8" x14ac:dyDescent="0.25">
      <c r="A653" t="s">
        <v>1303</v>
      </c>
      <c r="B653" s="15" cm="1">
        <f t="array" ref="B653">_xll.GetPrice("FP-LBR-1491",,"Low",_SPECIFIEDvarPubDate,)</f>
        <v>225</v>
      </c>
      <c r="C653" s="1">
        <f t="shared" si="30"/>
        <v>45848</v>
      </c>
      <c r="D653">
        <f t="shared" si="31"/>
        <v>2025</v>
      </c>
      <c r="E653">
        <f t="shared" si="32"/>
        <v>7</v>
      </c>
      <c r="F653" s="13" t="s">
        <v>1304</v>
      </c>
      <c r="G653" s="13" t="s">
        <v>11</v>
      </c>
      <c r="H653" s="13" t="s">
        <v>2792</v>
      </c>
    </row>
    <row r="654" spans="1:8" x14ac:dyDescent="0.25">
      <c r="A654" t="s">
        <v>1305</v>
      </c>
      <c r="B654" s="15" cm="1">
        <f t="array" ref="B654">_xll.GetPrice("FP-LBR-1522",,"Low",_SPECIFIEDvarPubDate,)</f>
        <v>345</v>
      </c>
      <c r="C654" s="1">
        <f t="shared" si="30"/>
        <v>45848</v>
      </c>
      <c r="D654">
        <f t="shared" si="31"/>
        <v>2025</v>
      </c>
      <c r="E654">
        <f t="shared" si="32"/>
        <v>7</v>
      </c>
      <c r="F654" s="13" t="s">
        <v>1306</v>
      </c>
      <c r="G654" s="13" t="s">
        <v>11</v>
      </c>
      <c r="H654" s="13" t="s">
        <v>2792</v>
      </c>
    </row>
    <row r="655" spans="1:8" x14ac:dyDescent="0.25">
      <c r="A655" t="s">
        <v>1307</v>
      </c>
      <c r="B655" s="15" cm="1">
        <f t="array" ref="B655">_xll.GetPrice("FP-LBR-1523",,"Low",_SPECIFIEDvarPubDate,)</f>
        <v>340</v>
      </c>
      <c r="C655" s="1">
        <f t="shared" si="30"/>
        <v>45848</v>
      </c>
      <c r="D655">
        <f t="shared" si="31"/>
        <v>2025</v>
      </c>
      <c r="E655">
        <f t="shared" si="32"/>
        <v>7</v>
      </c>
      <c r="F655" s="13" t="s">
        <v>1308</v>
      </c>
      <c r="G655" s="13" t="s">
        <v>11</v>
      </c>
      <c r="H655" s="13" t="s">
        <v>2792</v>
      </c>
    </row>
    <row r="656" spans="1:8" x14ac:dyDescent="0.25">
      <c r="A656" t="s">
        <v>1309</v>
      </c>
      <c r="B656" s="15" cm="1">
        <f t="array" ref="B656">_xll.GetPrice("FP-LBR-1524",,"Low",_SPECIFIEDvarPubDate,)</f>
        <v>275</v>
      </c>
      <c r="C656" s="1">
        <f t="shared" si="30"/>
        <v>45848</v>
      </c>
      <c r="D656">
        <f t="shared" si="31"/>
        <v>2025</v>
      </c>
      <c r="E656">
        <f t="shared" si="32"/>
        <v>7</v>
      </c>
      <c r="F656" s="13" t="s">
        <v>1310</v>
      </c>
      <c r="G656" s="13" t="s">
        <v>11</v>
      </c>
      <c r="H656" s="13" t="s">
        <v>2792</v>
      </c>
    </row>
    <row r="657" spans="1:8" x14ac:dyDescent="0.25">
      <c r="A657" t="s">
        <v>1311</v>
      </c>
      <c r="B657" s="15" cm="1">
        <f t="array" ref="B657">_xll.GetPrice("FP-LBR-1525",,"Low",_SPECIFIEDvarPubDate,)</f>
        <v>260</v>
      </c>
      <c r="C657" s="1">
        <f t="shared" si="30"/>
        <v>45848</v>
      </c>
      <c r="D657">
        <f t="shared" si="31"/>
        <v>2025</v>
      </c>
      <c r="E657">
        <f t="shared" si="32"/>
        <v>7</v>
      </c>
      <c r="F657" s="13" t="s">
        <v>1312</v>
      </c>
      <c r="G657" s="13" t="s">
        <v>11</v>
      </c>
      <c r="H657" s="13" t="s">
        <v>2792</v>
      </c>
    </row>
    <row r="658" spans="1:8" x14ac:dyDescent="0.25">
      <c r="A658" t="s">
        <v>1313</v>
      </c>
      <c r="B658" s="15" cm="1">
        <f t="array" ref="B658">_xll.GetPrice("FP-LBR-1526",,"Low",_SPECIFIEDvarPubDate,)</f>
        <v>330</v>
      </c>
      <c r="C658" s="1">
        <f t="shared" si="30"/>
        <v>45848</v>
      </c>
      <c r="D658">
        <f t="shared" si="31"/>
        <v>2025</v>
      </c>
      <c r="E658">
        <f t="shared" si="32"/>
        <v>7</v>
      </c>
      <c r="F658" s="13" t="s">
        <v>1314</v>
      </c>
      <c r="G658" s="13" t="s">
        <v>11</v>
      </c>
      <c r="H658" s="13" t="s">
        <v>2792</v>
      </c>
    </row>
    <row r="659" spans="1:8" x14ac:dyDescent="0.25">
      <c r="A659" t="s">
        <v>1315</v>
      </c>
      <c r="B659" s="15" cm="1">
        <f t="array" ref="B659">_xll.GetPrice("FP-LBR-1812",,"Low",_SPECIFIEDvarPubDate,)</f>
        <v>2565</v>
      </c>
      <c r="C659" s="1">
        <f t="shared" si="30"/>
        <v>45848</v>
      </c>
      <c r="D659">
        <f t="shared" si="31"/>
        <v>2025</v>
      </c>
      <c r="E659">
        <f t="shared" si="32"/>
        <v>7</v>
      </c>
      <c r="F659" s="13" t="s">
        <v>1316</v>
      </c>
      <c r="G659" s="13" t="s">
        <v>11</v>
      </c>
      <c r="H659" s="13" t="s">
        <v>2792</v>
      </c>
    </row>
    <row r="660" spans="1:8" x14ac:dyDescent="0.25">
      <c r="A660" t="s">
        <v>1317</v>
      </c>
      <c r="B660" s="15" cm="1">
        <f t="array" ref="B660">_xll.GetPrice("FP-LBR-1527",,"Low",_SPECIFIEDvarPubDate,)</f>
        <v>3090</v>
      </c>
      <c r="C660" s="1">
        <f t="shared" si="30"/>
        <v>45848</v>
      </c>
      <c r="D660">
        <f t="shared" si="31"/>
        <v>2025</v>
      </c>
      <c r="E660">
        <f t="shared" si="32"/>
        <v>7</v>
      </c>
      <c r="F660" s="13" t="s">
        <v>1318</v>
      </c>
      <c r="G660" s="13" t="s">
        <v>11</v>
      </c>
      <c r="H660" s="13" t="s">
        <v>2792</v>
      </c>
    </row>
    <row r="661" spans="1:8" x14ac:dyDescent="0.25">
      <c r="A661" t="s">
        <v>1319</v>
      </c>
      <c r="B661" s="15" cm="1">
        <f t="array" ref="B661">_xll.GetPrice("FP-LBR-1528",,"Low",_SPECIFIEDvarPubDate,)</f>
        <v>4210</v>
      </c>
      <c r="C661" s="1">
        <f t="shared" si="30"/>
        <v>45848</v>
      </c>
      <c r="D661">
        <f t="shared" si="31"/>
        <v>2025</v>
      </c>
      <c r="E661">
        <f t="shared" si="32"/>
        <v>7</v>
      </c>
      <c r="F661" s="13" t="s">
        <v>1320</v>
      </c>
      <c r="G661" s="13" t="s">
        <v>11</v>
      </c>
      <c r="H661" s="13" t="s">
        <v>2792</v>
      </c>
    </row>
    <row r="662" spans="1:8" x14ac:dyDescent="0.25">
      <c r="A662" t="s">
        <v>1321</v>
      </c>
      <c r="B662" s="15" cm="1">
        <f t="array" ref="B662">_xll.GetPrice("FP-LBR-1529",,"Low",_SPECIFIEDvarPubDate,)</f>
        <v>4160</v>
      </c>
      <c r="C662" s="1">
        <f t="shared" si="30"/>
        <v>45848</v>
      </c>
      <c r="D662">
        <f t="shared" si="31"/>
        <v>2025</v>
      </c>
      <c r="E662">
        <f t="shared" si="32"/>
        <v>7</v>
      </c>
      <c r="F662" s="13" t="s">
        <v>1322</v>
      </c>
      <c r="G662" s="13" t="s">
        <v>11</v>
      </c>
      <c r="H662" s="13" t="s">
        <v>2792</v>
      </c>
    </row>
    <row r="663" spans="1:8" x14ac:dyDescent="0.25">
      <c r="A663" t="s">
        <v>1323</v>
      </c>
      <c r="B663" s="15" cm="1">
        <f t="array" ref="B663">_xll.GetPrice("FP-LBR-1530",,"Low",_SPECIFIEDvarPubDate,)</f>
        <v>4385</v>
      </c>
      <c r="C663" s="1">
        <f t="shared" si="30"/>
        <v>45848</v>
      </c>
      <c r="D663">
        <f t="shared" si="31"/>
        <v>2025</v>
      </c>
      <c r="E663">
        <f t="shared" si="32"/>
        <v>7</v>
      </c>
      <c r="F663" s="13" t="s">
        <v>1324</v>
      </c>
      <c r="G663" s="13" t="s">
        <v>11</v>
      </c>
      <c r="H663" s="13" t="s">
        <v>2792</v>
      </c>
    </row>
    <row r="664" spans="1:8" x14ac:dyDescent="0.25">
      <c r="A664" t="s">
        <v>1325</v>
      </c>
      <c r="B664" s="15" cm="1">
        <f t="array" ref="B664">_xll.GetPrice("FP-LBR-1531",,"Low",_SPECIFIEDvarPubDate,)</f>
        <v>4885</v>
      </c>
      <c r="C664" s="1">
        <f t="shared" si="30"/>
        <v>45848</v>
      </c>
      <c r="D664">
        <f t="shared" si="31"/>
        <v>2025</v>
      </c>
      <c r="E664">
        <f t="shared" si="32"/>
        <v>7</v>
      </c>
      <c r="F664" s="13" t="s">
        <v>1326</v>
      </c>
      <c r="G664" s="13" t="s">
        <v>11</v>
      </c>
      <c r="H664" s="13" t="s">
        <v>2792</v>
      </c>
    </row>
    <row r="665" spans="1:8" x14ac:dyDescent="0.25">
      <c r="A665" t="s">
        <v>1327</v>
      </c>
      <c r="B665" s="15" cm="1">
        <f t="array" ref="B665">_xll.GetPrice("FP-LBR-1537",,"Low",_SPECIFIEDvarPubDate,)</f>
        <v>580</v>
      </c>
      <c r="C665" s="1">
        <f t="shared" si="30"/>
        <v>45848</v>
      </c>
      <c r="D665">
        <f t="shared" si="31"/>
        <v>2025</v>
      </c>
      <c r="E665">
        <f t="shared" si="32"/>
        <v>7</v>
      </c>
      <c r="F665" s="13" t="s">
        <v>1328</v>
      </c>
      <c r="G665" s="13" t="s">
        <v>11</v>
      </c>
      <c r="H665" s="13" t="s">
        <v>2792</v>
      </c>
    </row>
    <row r="666" spans="1:8" x14ac:dyDescent="0.25">
      <c r="A666" t="s">
        <v>1329</v>
      </c>
      <c r="B666" s="15" cm="1">
        <f t="array" ref="B666">_xll.GetPrice("FP-LBR-1538",,"Low",_SPECIFIEDvarPubDate,)</f>
        <v>1655</v>
      </c>
      <c r="C666" s="1">
        <f t="shared" si="30"/>
        <v>45848</v>
      </c>
      <c r="D666">
        <f t="shared" si="31"/>
        <v>2025</v>
      </c>
      <c r="E666">
        <f t="shared" si="32"/>
        <v>7</v>
      </c>
      <c r="F666" s="13" t="s">
        <v>1330</v>
      </c>
      <c r="G666" s="13" t="s">
        <v>11</v>
      </c>
      <c r="H666" s="13" t="s">
        <v>2792</v>
      </c>
    </row>
    <row r="667" spans="1:8" x14ac:dyDescent="0.25">
      <c r="A667" t="s">
        <v>1331</v>
      </c>
      <c r="B667" s="15" cm="1">
        <f t="array" ref="B667">_xll.GetPrice("FP-LBR-1539",,"Low",_SPECIFIEDvarPubDate,)</f>
        <v>1950</v>
      </c>
      <c r="C667" s="1">
        <f t="shared" si="30"/>
        <v>45848</v>
      </c>
      <c r="D667">
        <f t="shared" si="31"/>
        <v>2025</v>
      </c>
      <c r="E667">
        <f t="shared" si="32"/>
        <v>7</v>
      </c>
      <c r="F667" s="13" t="s">
        <v>1332</v>
      </c>
      <c r="G667" s="13" t="s">
        <v>11</v>
      </c>
      <c r="H667" s="13" t="s">
        <v>2792</v>
      </c>
    </row>
    <row r="668" spans="1:8" x14ac:dyDescent="0.25">
      <c r="A668" t="s">
        <v>1333</v>
      </c>
      <c r="B668" s="15" cm="1">
        <f t="array" ref="B668">_xll.GetPrice("FP-LBR-1540",,"Low",_SPECIFIEDvarPubDate,)</f>
        <v>2285</v>
      </c>
      <c r="C668" s="1">
        <f t="shared" si="30"/>
        <v>45848</v>
      </c>
      <c r="D668">
        <f t="shared" si="31"/>
        <v>2025</v>
      </c>
      <c r="E668">
        <f t="shared" si="32"/>
        <v>7</v>
      </c>
      <c r="F668" s="13" t="s">
        <v>1334</v>
      </c>
      <c r="G668" s="13" t="s">
        <v>11</v>
      </c>
      <c r="H668" s="13" t="s">
        <v>2792</v>
      </c>
    </row>
    <row r="669" spans="1:8" x14ac:dyDescent="0.25">
      <c r="A669" t="s">
        <v>1335</v>
      </c>
      <c r="B669" s="15" cm="1">
        <f t="array" ref="B669">_xll.GetPrice("FP-LBR-1541",,"Low",_SPECIFIEDvarPubDate,)</f>
        <v>2730</v>
      </c>
      <c r="C669" s="1">
        <f t="shared" si="30"/>
        <v>45848</v>
      </c>
      <c r="D669">
        <f t="shared" si="31"/>
        <v>2025</v>
      </c>
      <c r="E669">
        <f t="shared" si="32"/>
        <v>7</v>
      </c>
      <c r="F669" s="13" t="s">
        <v>1336</v>
      </c>
      <c r="G669" s="13" t="s">
        <v>11</v>
      </c>
      <c r="H669" s="13" t="s">
        <v>2792</v>
      </c>
    </row>
    <row r="670" spans="1:8" x14ac:dyDescent="0.25">
      <c r="A670" t="s">
        <v>1337</v>
      </c>
      <c r="B670" s="15" cm="1">
        <f t="array" ref="B670">_xll.GetPrice("FP-LBR-1542",,"Low",_SPECIFIEDvarPubDate,)</f>
        <v>155</v>
      </c>
      <c r="C670" s="1">
        <f t="shared" si="30"/>
        <v>45848</v>
      </c>
      <c r="D670">
        <f t="shared" si="31"/>
        <v>2025</v>
      </c>
      <c r="E670">
        <f t="shared" si="32"/>
        <v>7</v>
      </c>
      <c r="F670" s="13" t="s">
        <v>1338</v>
      </c>
      <c r="G670" s="13" t="s">
        <v>11</v>
      </c>
      <c r="H670" s="13" t="s">
        <v>2792</v>
      </c>
    </row>
    <row r="671" spans="1:8" x14ac:dyDescent="0.25">
      <c r="A671" t="s">
        <v>1339</v>
      </c>
      <c r="B671" s="15" cm="1">
        <f t="array" ref="B671">_xll.GetPrice("FP-LBR-1543",,"Low",_SPECIFIEDvarPubDate,)</f>
        <v>350</v>
      </c>
      <c r="C671" s="1">
        <f t="shared" si="30"/>
        <v>45848</v>
      </c>
      <c r="D671">
        <f t="shared" si="31"/>
        <v>2025</v>
      </c>
      <c r="E671">
        <f t="shared" si="32"/>
        <v>7</v>
      </c>
      <c r="F671" s="13" t="s">
        <v>1340</v>
      </c>
      <c r="G671" s="13" t="s">
        <v>11</v>
      </c>
      <c r="H671" s="13" t="s">
        <v>2792</v>
      </c>
    </row>
    <row r="672" spans="1:8" x14ac:dyDescent="0.25">
      <c r="A672" t="s">
        <v>1341</v>
      </c>
      <c r="B672" s="15" cm="1">
        <f t="array" ref="B672">_xll.GetPrice("FP-LBR-1544",,"Low",_SPECIFIEDvarPubDate,)</f>
        <v>320</v>
      </c>
      <c r="C672" s="1">
        <f t="shared" si="30"/>
        <v>45848</v>
      </c>
      <c r="D672">
        <f t="shared" si="31"/>
        <v>2025</v>
      </c>
      <c r="E672">
        <f t="shared" si="32"/>
        <v>7</v>
      </c>
      <c r="F672" s="13" t="s">
        <v>1342</v>
      </c>
      <c r="G672" s="13" t="s">
        <v>11</v>
      </c>
      <c r="H672" s="13" t="s">
        <v>2792</v>
      </c>
    </row>
    <row r="673" spans="1:8" x14ac:dyDescent="0.25">
      <c r="A673" t="s">
        <v>1343</v>
      </c>
      <c r="B673" s="15" cm="1">
        <f t="array" ref="B673">_xll.GetPrice("FP-LBR-1545",,"Low",_SPECIFIEDvarPubDate,)</f>
        <v>340</v>
      </c>
      <c r="C673" s="1">
        <f t="shared" si="30"/>
        <v>45848</v>
      </c>
      <c r="D673">
        <f t="shared" si="31"/>
        <v>2025</v>
      </c>
      <c r="E673">
        <f t="shared" si="32"/>
        <v>7</v>
      </c>
      <c r="F673" s="13" t="s">
        <v>1344</v>
      </c>
      <c r="G673" s="13" t="s">
        <v>11</v>
      </c>
      <c r="H673" s="13" t="s">
        <v>2792</v>
      </c>
    </row>
    <row r="674" spans="1:8" x14ac:dyDescent="0.25">
      <c r="A674" t="s">
        <v>1345</v>
      </c>
      <c r="B674" s="15" cm="1">
        <f t="array" ref="B674">_xll.GetPrice("FP-LBR-1546",,"Low",_SPECIFIEDvarPubDate,)</f>
        <v>435</v>
      </c>
      <c r="C674" s="1">
        <f t="shared" si="30"/>
        <v>45848</v>
      </c>
      <c r="D674">
        <f t="shared" si="31"/>
        <v>2025</v>
      </c>
      <c r="E674">
        <f t="shared" si="32"/>
        <v>7</v>
      </c>
      <c r="F674" s="13" t="s">
        <v>1346</v>
      </c>
      <c r="G674" s="13" t="s">
        <v>11</v>
      </c>
      <c r="H674" s="13" t="s">
        <v>2792</v>
      </c>
    </row>
    <row r="675" spans="1:8" x14ac:dyDescent="0.25">
      <c r="A675" t="s">
        <v>1347</v>
      </c>
      <c r="B675" s="15" cm="1">
        <f t="array" ref="B675">_xll.GetPrice("FP-LBR-1452",,"Low",_SPECIFIEDvarPubDate,)</f>
        <v>700</v>
      </c>
      <c r="C675" s="1">
        <f t="shared" si="30"/>
        <v>45848</v>
      </c>
      <c r="D675">
        <f t="shared" si="31"/>
        <v>2025</v>
      </c>
      <c r="E675">
        <f t="shared" si="32"/>
        <v>7</v>
      </c>
      <c r="F675" s="13" t="s">
        <v>1348</v>
      </c>
      <c r="G675" s="13" t="s">
        <v>11</v>
      </c>
      <c r="H675" s="13" t="s">
        <v>2792</v>
      </c>
    </row>
    <row r="676" spans="1:8" x14ac:dyDescent="0.25">
      <c r="A676" t="s">
        <v>1349</v>
      </c>
      <c r="B676" s="15" cm="1">
        <f t="array" ref="B676">_xll.GetPrice("FP-LBR-1453",,"Low",_SPECIFIEDvarPubDate,)</f>
        <v>950</v>
      </c>
      <c r="C676" s="1">
        <f t="shared" si="30"/>
        <v>45848</v>
      </c>
      <c r="D676">
        <f t="shared" si="31"/>
        <v>2025</v>
      </c>
      <c r="E676">
        <f t="shared" si="32"/>
        <v>7</v>
      </c>
      <c r="F676" s="13" t="s">
        <v>1350</v>
      </c>
      <c r="G676" s="13" t="s">
        <v>11</v>
      </c>
      <c r="H676" s="13" t="s">
        <v>2792</v>
      </c>
    </row>
    <row r="677" spans="1:8" x14ac:dyDescent="0.25">
      <c r="A677" t="s">
        <v>1351</v>
      </c>
      <c r="B677" s="15" cm="1">
        <f t="array" ref="B677">_xll.GetPrice("FP-LBR-1454",,"Low",_SPECIFIEDvarPubDate,)</f>
        <v>630</v>
      </c>
      <c r="C677" s="1">
        <f t="shared" si="30"/>
        <v>45848</v>
      </c>
      <c r="D677">
        <f t="shared" si="31"/>
        <v>2025</v>
      </c>
      <c r="E677">
        <f t="shared" si="32"/>
        <v>7</v>
      </c>
      <c r="F677" s="13" t="s">
        <v>1352</v>
      </c>
      <c r="G677" s="13" t="s">
        <v>11</v>
      </c>
      <c r="H677" s="13" t="s">
        <v>2792</v>
      </c>
    </row>
    <row r="678" spans="1:8" x14ac:dyDescent="0.25">
      <c r="A678" t="s">
        <v>1353</v>
      </c>
      <c r="B678" s="15" cm="1">
        <f t="array" ref="B678">_xll.GetPrice("FP-LBR-1455",,"Low",_SPECIFIEDvarPubDate,)</f>
        <v>375</v>
      </c>
      <c r="C678" s="1">
        <f t="shared" si="30"/>
        <v>45848</v>
      </c>
      <c r="D678">
        <f t="shared" si="31"/>
        <v>2025</v>
      </c>
      <c r="E678">
        <f t="shared" si="32"/>
        <v>7</v>
      </c>
      <c r="F678" s="13" t="s">
        <v>1354</v>
      </c>
      <c r="G678" s="13" t="s">
        <v>11</v>
      </c>
      <c r="H678" s="13" t="s">
        <v>2792</v>
      </c>
    </row>
    <row r="679" spans="1:8" x14ac:dyDescent="0.25">
      <c r="A679" t="s">
        <v>1355</v>
      </c>
      <c r="B679" s="15" cm="1">
        <f t="array" ref="B679">_xll.GetPrice("FP-LBR-1456",,"Low",_SPECIFIEDvarPubDate,)</f>
        <v>700</v>
      </c>
      <c r="C679" s="1">
        <f t="shared" si="30"/>
        <v>45848</v>
      </c>
      <c r="D679">
        <f t="shared" si="31"/>
        <v>2025</v>
      </c>
      <c r="E679">
        <f t="shared" si="32"/>
        <v>7</v>
      </c>
      <c r="F679" s="13" t="s">
        <v>1356</v>
      </c>
      <c r="G679" s="13" t="s">
        <v>11</v>
      </c>
      <c r="H679" s="13" t="s">
        <v>2792</v>
      </c>
    </row>
    <row r="680" spans="1:8" x14ac:dyDescent="0.25">
      <c r="A680" t="s">
        <v>1357</v>
      </c>
      <c r="B680" s="15" cm="1">
        <f t="array" ref="B680">_xll.GetPrice("FP-LBR-1587",,"Low",_SPECIFIEDvarPubDate,)</f>
        <v>1790</v>
      </c>
      <c r="C680" s="1">
        <f t="shared" si="30"/>
        <v>45848</v>
      </c>
      <c r="D680">
        <f t="shared" si="31"/>
        <v>2025</v>
      </c>
      <c r="E680">
        <f t="shared" si="32"/>
        <v>7</v>
      </c>
      <c r="F680" s="13" t="s">
        <v>1358</v>
      </c>
      <c r="G680" s="13" t="s">
        <v>11</v>
      </c>
      <c r="H680" s="13" t="s">
        <v>2792</v>
      </c>
    </row>
    <row r="681" spans="1:8" x14ac:dyDescent="0.25">
      <c r="A681" t="s">
        <v>1359</v>
      </c>
      <c r="B681" s="15" cm="1">
        <f t="array" ref="B681">_xll.GetPrice("FP-LBR-1588",,"Low",_SPECIFIEDvarPubDate,)</f>
        <v>2000</v>
      </c>
      <c r="C681" s="1">
        <f t="shared" si="30"/>
        <v>45848</v>
      </c>
      <c r="D681">
        <f t="shared" si="31"/>
        <v>2025</v>
      </c>
      <c r="E681">
        <f t="shared" si="32"/>
        <v>7</v>
      </c>
      <c r="F681" s="13" t="s">
        <v>1360</v>
      </c>
      <c r="G681" s="13" t="s">
        <v>11</v>
      </c>
      <c r="H681" s="13" t="s">
        <v>2792</v>
      </c>
    </row>
    <row r="682" spans="1:8" x14ac:dyDescent="0.25">
      <c r="A682" t="s">
        <v>1361</v>
      </c>
      <c r="B682" s="15" cm="1">
        <f t="array" ref="B682">_xll.GetPrice("FP-LBR-1589",,"Low",_SPECIFIEDvarPubDate,)</f>
        <v>1935</v>
      </c>
      <c r="C682" s="1">
        <f t="shared" si="30"/>
        <v>45848</v>
      </c>
      <c r="D682">
        <f t="shared" si="31"/>
        <v>2025</v>
      </c>
      <c r="E682">
        <f t="shared" si="32"/>
        <v>7</v>
      </c>
      <c r="F682" s="13" t="s">
        <v>1362</v>
      </c>
      <c r="G682" s="13" t="s">
        <v>11</v>
      </c>
      <c r="H682" s="13" t="s">
        <v>2792</v>
      </c>
    </row>
    <row r="683" spans="1:8" x14ac:dyDescent="0.25">
      <c r="A683" t="s">
        <v>1363</v>
      </c>
      <c r="B683" s="15" cm="1">
        <f t="array" ref="B683">_xll.GetPrice("FP-LBR-1590",,"Low",_SPECIFIEDvarPubDate,)</f>
        <v>2000</v>
      </c>
      <c r="C683" s="1">
        <f t="shared" si="30"/>
        <v>45848</v>
      </c>
      <c r="D683">
        <f t="shared" si="31"/>
        <v>2025</v>
      </c>
      <c r="E683">
        <f t="shared" si="32"/>
        <v>7</v>
      </c>
      <c r="F683" s="13" t="s">
        <v>1364</v>
      </c>
      <c r="G683" s="13" t="s">
        <v>11</v>
      </c>
      <c r="H683" s="13" t="s">
        <v>2792</v>
      </c>
    </row>
    <row r="684" spans="1:8" x14ac:dyDescent="0.25">
      <c r="A684" t="s">
        <v>1365</v>
      </c>
      <c r="B684" s="15" cm="1">
        <f t="array" ref="B684">_xll.GetPrice("FP-LBR-1591",,"Low",_SPECIFIEDvarPubDate,)</f>
        <v>2225</v>
      </c>
      <c r="C684" s="1">
        <f t="shared" si="30"/>
        <v>45848</v>
      </c>
      <c r="D684">
        <f t="shared" si="31"/>
        <v>2025</v>
      </c>
      <c r="E684">
        <f t="shared" si="32"/>
        <v>7</v>
      </c>
      <c r="F684" s="13" t="s">
        <v>1366</v>
      </c>
      <c r="G684" s="13" t="s">
        <v>11</v>
      </c>
      <c r="H684" s="13" t="s">
        <v>2792</v>
      </c>
    </row>
    <row r="685" spans="1:8" x14ac:dyDescent="0.25">
      <c r="A685" t="s">
        <v>1367</v>
      </c>
      <c r="B685" s="15" cm="1">
        <f t="array" ref="B685">_xll.GetPrice("FP-LBR-1547",,"Low",_SPECIFIEDvarPubDate,)</f>
        <v>1070</v>
      </c>
      <c r="C685" s="1">
        <f t="shared" si="30"/>
        <v>45848</v>
      </c>
      <c r="D685">
        <f t="shared" si="31"/>
        <v>2025</v>
      </c>
      <c r="E685">
        <f t="shared" si="32"/>
        <v>7</v>
      </c>
      <c r="F685" s="13" t="s">
        <v>1368</v>
      </c>
      <c r="G685" s="13" t="s">
        <v>11</v>
      </c>
      <c r="H685" s="13" t="s">
        <v>2792</v>
      </c>
    </row>
    <row r="686" spans="1:8" x14ac:dyDescent="0.25">
      <c r="A686" t="s">
        <v>1369</v>
      </c>
      <c r="B686" s="15" cm="1">
        <f t="array" ref="B686">_xll.GetPrice("FP-LBR-1548",,"Low",_SPECIFIEDvarPubDate,)</f>
        <v>1725</v>
      </c>
      <c r="C686" s="1">
        <f t="shared" si="30"/>
        <v>45848</v>
      </c>
      <c r="D686">
        <f t="shared" si="31"/>
        <v>2025</v>
      </c>
      <c r="E686">
        <f t="shared" si="32"/>
        <v>7</v>
      </c>
      <c r="F686" s="13" t="s">
        <v>1370</v>
      </c>
      <c r="G686" s="13" t="s">
        <v>11</v>
      </c>
      <c r="H686" s="13" t="s">
        <v>2792</v>
      </c>
    </row>
    <row r="687" spans="1:8" x14ac:dyDescent="0.25">
      <c r="A687" t="s">
        <v>1371</v>
      </c>
      <c r="B687" s="15" cm="1">
        <f t="array" ref="B687">_xll.GetPrice("FP-LBR-1549",,"Low",_SPECIFIEDvarPubDate,)</f>
        <v>1505</v>
      </c>
      <c r="C687" s="1">
        <f t="shared" si="30"/>
        <v>45848</v>
      </c>
      <c r="D687">
        <f t="shared" si="31"/>
        <v>2025</v>
      </c>
      <c r="E687">
        <f t="shared" si="32"/>
        <v>7</v>
      </c>
      <c r="F687" s="13" t="s">
        <v>1372</v>
      </c>
      <c r="G687" s="13" t="s">
        <v>11</v>
      </c>
      <c r="H687" s="13" t="s">
        <v>2792</v>
      </c>
    </row>
    <row r="688" spans="1:8" x14ac:dyDescent="0.25">
      <c r="A688" t="s">
        <v>1373</v>
      </c>
      <c r="B688" s="15" cm="1">
        <f t="array" ref="B688">_xll.GetPrice("FP-LBR-1550",,"Low",_SPECIFIEDvarPubDate,)</f>
        <v>1540</v>
      </c>
      <c r="C688" s="1">
        <f t="shared" si="30"/>
        <v>45848</v>
      </c>
      <c r="D688">
        <f t="shared" si="31"/>
        <v>2025</v>
      </c>
      <c r="E688">
        <f t="shared" si="32"/>
        <v>7</v>
      </c>
      <c r="F688" s="13" t="s">
        <v>1374</v>
      </c>
      <c r="G688" s="13" t="s">
        <v>11</v>
      </c>
      <c r="H688" s="13" t="s">
        <v>2792</v>
      </c>
    </row>
    <row r="689" spans="1:8" x14ac:dyDescent="0.25">
      <c r="A689" t="s">
        <v>1375</v>
      </c>
      <c r="B689" s="15" cm="1">
        <f t="array" ref="B689">_xll.GetPrice("FP-LBR-1551",,"Low",_SPECIFIEDvarPubDate,)</f>
        <v>1930</v>
      </c>
      <c r="C689" s="1">
        <f t="shared" si="30"/>
        <v>45848</v>
      </c>
      <c r="D689">
        <f t="shared" si="31"/>
        <v>2025</v>
      </c>
      <c r="E689">
        <f t="shared" si="32"/>
        <v>7</v>
      </c>
      <c r="F689" s="13" t="s">
        <v>1376</v>
      </c>
      <c r="G689" s="13" t="s">
        <v>11</v>
      </c>
      <c r="H689" s="13" t="s">
        <v>2792</v>
      </c>
    </row>
    <row r="690" spans="1:8" x14ac:dyDescent="0.25">
      <c r="A690" t="s">
        <v>1377</v>
      </c>
      <c r="B690" s="15" cm="1">
        <f t="array" ref="B690">_xll.GetPrice("FP-LBR-1457",,"Low",_SPECIFIEDvarPubDate,)</f>
        <v>500</v>
      </c>
      <c r="C690" s="1">
        <f t="shared" si="30"/>
        <v>45848</v>
      </c>
      <c r="D690">
        <f t="shared" si="31"/>
        <v>2025</v>
      </c>
      <c r="E690">
        <f t="shared" si="32"/>
        <v>7</v>
      </c>
      <c r="F690" s="13" t="s">
        <v>1378</v>
      </c>
      <c r="G690" s="13" t="s">
        <v>11</v>
      </c>
      <c r="H690" s="13" t="s">
        <v>2792</v>
      </c>
    </row>
    <row r="691" spans="1:8" x14ac:dyDescent="0.25">
      <c r="A691" t="s">
        <v>1379</v>
      </c>
      <c r="B691" s="15" cm="1">
        <f t="array" ref="B691">_xll.GetPrice("FP-LBR-1458",,"Low",_SPECIFIEDvarPubDate,)</f>
        <v>300</v>
      </c>
      <c r="C691" s="1">
        <f t="shared" si="30"/>
        <v>45848</v>
      </c>
      <c r="D691">
        <f t="shared" si="31"/>
        <v>2025</v>
      </c>
      <c r="E691">
        <f t="shared" si="32"/>
        <v>7</v>
      </c>
      <c r="F691" s="13" t="s">
        <v>1380</v>
      </c>
      <c r="G691" s="13" t="s">
        <v>11</v>
      </c>
      <c r="H691" s="13" t="s">
        <v>2792</v>
      </c>
    </row>
    <row r="692" spans="1:8" x14ac:dyDescent="0.25">
      <c r="A692" t="s">
        <v>1381</v>
      </c>
      <c r="B692" s="15" cm="1">
        <f t="array" ref="B692">_xll.GetPrice("FP-LBR-1459",,"Low",_SPECIFIEDvarPubDate,)</f>
        <v>300</v>
      </c>
      <c r="C692" s="1">
        <f t="shared" si="30"/>
        <v>45848</v>
      </c>
      <c r="D692">
        <f t="shared" si="31"/>
        <v>2025</v>
      </c>
      <c r="E692">
        <f t="shared" si="32"/>
        <v>7</v>
      </c>
      <c r="F692" s="13" t="s">
        <v>1382</v>
      </c>
      <c r="G692" s="13" t="s">
        <v>11</v>
      </c>
      <c r="H692" s="13" t="s">
        <v>2792</v>
      </c>
    </row>
    <row r="693" spans="1:8" x14ac:dyDescent="0.25">
      <c r="A693" t="s">
        <v>1383</v>
      </c>
      <c r="B693" s="15" cm="1">
        <f t="array" ref="B693">_xll.GetPrice("FP-LBR-1460",,"Low",_SPECIFIEDvarPubDate,)</f>
        <v>290</v>
      </c>
      <c r="C693" s="1">
        <f t="shared" si="30"/>
        <v>45848</v>
      </c>
      <c r="D693">
        <f t="shared" si="31"/>
        <v>2025</v>
      </c>
      <c r="E693">
        <f t="shared" si="32"/>
        <v>7</v>
      </c>
      <c r="F693" s="13" t="s">
        <v>1384</v>
      </c>
      <c r="G693" s="13" t="s">
        <v>11</v>
      </c>
      <c r="H693" s="13" t="s">
        <v>2792</v>
      </c>
    </row>
    <row r="694" spans="1:8" x14ac:dyDescent="0.25">
      <c r="A694" t="s">
        <v>1385</v>
      </c>
      <c r="B694" s="15" cm="1">
        <f t="array" ref="B694">_xll.GetPrice("FP-LBR-1461",,"Low",_SPECIFIEDvarPubDate,)</f>
        <v>400</v>
      </c>
      <c r="C694" s="1">
        <f t="shared" si="30"/>
        <v>45848</v>
      </c>
      <c r="D694">
        <f t="shared" si="31"/>
        <v>2025</v>
      </c>
      <c r="E694">
        <f t="shared" si="32"/>
        <v>7</v>
      </c>
      <c r="F694" s="13" t="s">
        <v>1386</v>
      </c>
      <c r="G694" s="13" t="s">
        <v>11</v>
      </c>
      <c r="H694" s="13" t="s">
        <v>2792</v>
      </c>
    </row>
    <row r="695" spans="1:8" x14ac:dyDescent="0.25">
      <c r="A695" t="s">
        <v>1387</v>
      </c>
      <c r="B695" s="15" cm="1">
        <f t="array" ref="B695">_xll.GetPrice("FP-LBR-1592",,"Low",_SPECIFIEDvarPubDate,)</f>
        <v>1500</v>
      </c>
      <c r="C695" s="1">
        <f t="shared" si="30"/>
        <v>45848</v>
      </c>
      <c r="D695">
        <f t="shared" si="31"/>
        <v>2025</v>
      </c>
      <c r="E695">
        <f t="shared" si="32"/>
        <v>7</v>
      </c>
      <c r="F695" s="13" t="s">
        <v>1388</v>
      </c>
      <c r="G695" s="13" t="s">
        <v>11</v>
      </c>
      <c r="H695" s="13" t="s">
        <v>2792</v>
      </c>
    </row>
    <row r="696" spans="1:8" x14ac:dyDescent="0.25">
      <c r="A696" t="s">
        <v>1389</v>
      </c>
      <c r="B696" s="15" cm="1">
        <f t="array" ref="B696">_xll.GetPrice("FP-LBR-1593",,"Low",_SPECIFIEDvarPubDate,)</f>
        <v>1600</v>
      </c>
      <c r="C696" s="1">
        <f t="shared" si="30"/>
        <v>45848</v>
      </c>
      <c r="D696">
        <f t="shared" si="31"/>
        <v>2025</v>
      </c>
      <c r="E696">
        <f t="shared" si="32"/>
        <v>7</v>
      </c>
      <c r="F696" s="13" t="s">
        <v>1390</v>
      </c>
      <c r="G696" s="13" t="s">
        <v>11</v>
      </c>
      <c r="H696" s="13" t="s">
        <v>2792</v>
      </c>
    </row>
    <row r="697" spans="1:8" x14ac:dyDescent="0.25">
      <c r="A697" t="s">
        <v>1391</v>
      </c>
      <c r="B697" s="15" cm="1">
        <f t="array" ref="B697">_xll.GetPrice("FP-LBR-1594",,"Low",_SPECIFIEDvarPubDate,)</f>
        <v>1585</v>
      </c>
      <c r="C697" s="1">
        <f t="shared" si="30"/>
        <v>45848</v>
      </c>
      <c r="D697">
        <f t="shared" si="31"/>
        <v>2025</v>
      </c>
      <c r="E697">
        <f t="shared" si="32"/>
        <v>7</v>
      </c>
      <c r="F697" s="13" t="s">
        <v>1392</v>
      </c>
      <c r="G697" s="13" t="s">
        <v>11</v>
      </c>
      <c r="H697" s="13" t="s">
        <v>2792</v>
      </c>
    </row>
    <row r="698" spans="1:8" x14ac:dyDescent="0.25">
      <c r="A698" t="s">
        <v>1393</v>
      </c>
      <c r="B698" s="15" cm="1">
        <f t="array" ref="B698">_xll.GetPrice("FP-LBR-1595",,"Low",_SPECIFIEDvarPubDate,)</f>
        <v>1400</v>
      </c>
      <c r="C698" s="1">
        <f t="shared" si="30"/>
        <v>45848</v>
      </c>
      <c r="D698">
        <f t="shared" si="31"/>
        <v>2025</v>
      </c>
      <c r="E698">
        <f t="shared" si="32"/>
        <v>7</v>
      </c>
      <c r="F698" s="13" t="s">
        <v>1394</v>
      </c>
      <c r="G698" s="13" t="s">
        <v>11</v>
      </c>
      <c r="H698" s="13" t="s">
        <v>2792</v>
      </c>
    </row>
    <row r="699" spans="1:8" x14ac:dyDescent="0.25">
      <c r="A699" t="s">
        <v>1395</v>
      </c>
      <c r="B699" s="15" cm="1">
        <f t="array" ref="B699">_xll.GetPrice("FP-LBR-1596",,"Low",_SPECIFIEDvarPubDate,)</f>
        <v>1465</v>
      </c>
      <c r="C699" s="1">
        <f t="shared" si="30"/>
        <v>45848</v>
      </c>
      <c r="D699">
        <f t="shared" si="31"/>
        <v>2025</v>
      </c>
      <c r="E699">
        <f t="shared" si="32"/>
        <v>7</v>
      </c>
      <c r="F699" s="13" t="s">
        <v>1396</v>
      </c>
      <c r="G699" s="13" t="s">
        <v>11</v>
      </c>
      <c r="H699" s="13" t="s">
        <v>2792</v>
      </c>
    </row>
    <row r="700" spans="1:8" x14ac:dyDescent="0.25">
      <c r="A700" t="s">
        <v>1397</v>
      </c>
      <c r="B700" s="15" cm="1">
        <f t="array" ref="B700">_xll.GetPrice("FP-LBR-1552",,"Low",_SPECIFIEDvarPubDate,)</f>
        <v>850</v>
      </c>
      <c r="C700" s="1">
        <f t="shared" si="30"/>
        <v>45848</v>
      </c>
      <c r="D700">
        <f t="shared" si="31"/>
        <v>2025</v>
      </c>
      <c r="E700">
        <f t="shared" si="32"/>
        <v>7</v>
      </c>
      <c r="F700" s="13" t="s">
        <v>1398</v>
      </c>
      <c r="G700" s="13" t="s">
        <v>11</v>
      </c>
      <c r="H700" s="13" t="s">
        <v>2792</v>
      </c>
    </row>
    <row r="701" spans="1:8" x14ac:dyDescent="0.25">
      <c r="A701" t="s">
        <v>1399</v>
      </c>
      <c r="B701" s="15" cm="1">
        <f t="array" ref="B701">_xll.GetPrice("FP-LBR-1553",,"Low",_SPECIFIEDvarPubDate,)</f>
        <v>1165</v>
      </c>
      <c r="C701" s="1">
        <f t="shared" si="30"/>
        <v>45848</v>
      </c>
      <c r="D701">
        <f t="shared" si="31"/>
        <v>2025</v>
      </c>
      <c r="E701">
        <f t="shared" si="32"/>
        <v>7</v>
      </c>
      <c r="F701" s="13" t="s">
        <v>1400</v>
      </c>
      <c r="G701" s="13" t="s">
        <v>11</v>
      </c>
      <c r="H701" s="13" t="s">
        <v>2792</v>
      </c>
    </row>
    <row r="702" spans="1:8" x14ac:dyDescent="0.25">
      <c r="A702" t="s">
        <v>1401</v>
      </c>
      <c r="B702" s="15" cm="1">
        <f t="array" ref="B702">_xll.GetPrice("FP-LBR-1554",,"Low",_SPECIFIEDvarPubDate,)</f>
        <v>1080</v>
      </c>
      <c r="C702" s="1">
        <f t="shared" si="30"/>
        <v>45848</v>
      </c>
      <c r="D702">
        <f t="shared" si="31"/>
        <v>2025</v>
      </c>
      <c r="E702">
        <f t="shared" si="32"/>
        <v>7</v>
      </c>
      <c r="F702" s="13" t="s">
        <v>1402</v>
      </c>
      <c r="G702" s="13" t="s">
        <v>11</v>
      </c>
      <c r="H702" s="13" t="s">
        <v>2792</v>
      </c>
    </row>
    <row r="703" spans="1:8" x14ac:dyDescent="0.25">
      <c r="A703" t="s">
        <v>1403</v>
      </c>
      <c r="B703" s="15" cm="1">
        <f t="array" ref="B703">_xll.GetPrice("FP-LBR-1555",,"Low",_SPECIFIEDvarPubDate,)</f>
        <v>1350</v>
      </c>
      <c r="C703" s="1">
        <f t="shared" si="30"/>
        <v>45848</v>
      </c>
      <c r="D703">
        <f t="shared" si="31"/>
        <v>2025</v>
      </c>
      <c r="E703">
        <f t="shared" si="32"/>
        <v>7</v>
      </c>
      <c r="F703" s="13" t="s">
        <v>1404</v>
      </c>
      <c r="G703" s="13" t="s">
        <v>11</v>
      </c>
      <c r="H703" s="13" t="s">
        <v>2792</v>
      </c>
    </row>
    <row r="704" spans="1:8" x14ac:dyDescent="0.25">
      <c r="A704" t="s">
        <v>1405</v>
      </c>
      <c r="B704" s="15" cm="1">
        <f t="array" ref="B704">_xll.GetPrice("FP-LBR-1556",,"Low",_SPECIFIEDvarPubDate,)</f>
        <v>1420</v>
      </c>
      <c r="C704" s="1">
        <f t="shared" si="30"/>
        <v>45848</v>
      </c>
      <c r="D704">
        <f t="shared" si="31"/>
        <v>2025</v>
      </c>
      <c r="E704">
        <f t="shared" si="32"/>
        <v>7</v>
      </c>
      <c r="F704" s="13" t="s">
        <v>1406</v>
      </c>
      <c r="G704" s="13" t="s">
        <v>11</v>
      </c>
      <c r="H704" s="13" t="s">
        <v>2792</v>
      </c>
    </row>
    <row r="705" spans="1:8" x14ac:dyDescent="0.25">
      <c r="A705" t="s">
        <v>1407</v>
      </c>
      <c r="B705" s="15" cm="1">
        <f t="array" ref="B705">_xll.GetPrice("FP-LBR-1597",,"Low",_SPECIFIEDvarPubDate,)</f>
        <v>850</v>
      </c>
      <c r="C705" s="1">
        <f t="shared" si="30"/>
        <v>45848</v>
      </c>
      <c r="D705">
        <f t="shared" si="31"/>
        <v>2025</v>
      </c>
      <c r="E705">
        <f t="shared" si="32"/>
        <v>7</v>
      </c>
      <c r="F705" s="13" t="s">
        <v>1408</v>
      </c>
      <c r="G705" s="13" t="s">
        <v>11</v>
      </c>
      <c r="H705" s="13" t="s">
        <v>2792</v>
      </c>
    </row>
    <row r="706" spans="1:8" x14ac:dyDescent="0.25">
      <c r="A706" t="s">
        <v>1409</v>
      </c>
      <c r="B706" s="15" cm="1">
        <f t="array" ref="B706">_xll.GetPrice("FP-LBR-1598",,"Low",_SPECIFIEDvarPubDate,)</f>
        <v>1060</v>
      </c>
      <c r="C706" s="1">
        <f t="shared" ref="C706:C768" si="33">_SPECIFIEDvarPubDate</f>
        <v>45848</v>
      </c>
      <c r="D706">
        <f t="shared" ref="D706:D768" si="34">_SPECIFIEDvarYear</f>
        <v>2025</v>
      </c>
      <c r="E706">
        <f t="shared" ref="E706:E768" si="35">_SPECIFIEDvarMonth</f>
        <v>7</v>
      </c>
      <c r="F706" s="13" t="s">
        <v>1410</v>
      </c>
      <c r="G706" s="13" t="s">
        <v>11</v>
      </c>
      <c r="H706" s="13" t="s">
        <v>2792</v>
      </c>
    </row>
    <row r="707" spans="1:8" x14ac:dyDescent="0.25">
      <c r="A707" t="s">
        <v>1411</v>
      </c>
      <c r="B707" s="15" cm="1">
        <f t="array" ref="B707">_xll.GetPrice("FP-LBR-1599",,"Low",_SPECIFIEDvarPubDate,)</f>
        <v>1210</v>
      </c>
      <c r="C707" s="1">
        <f t="shared" si="33"/>
        <v>45848</v>
      </c>
      <c r="D707">
        <f t="shared" si="34"/>
        <v>2025</v>
      </c>
      <c r="E707">
        <f t="shared" si="35"/>
        <v>7</v>
      </c>
      <c r="F707" s="13" t="s">
        <v>1412</v>
      </c>
      <c r="G707" s="13" t="s">
        <v>11</v>
      </c>
      <c r="H707" s="13" t="s">
        <v>2792</v>
      </c>
    </row>
    <row r="708" spans="1:8" x14ac:dyDescent="0.25">
      <c r="A708" t="s">
        <v>1413</v>
      </c>
      <c r="B708" s="15" cm="1">
        <f t="array" ref="B708">_xll.GetPrice("FP-LBR-1600",,"Low",_SPECIFIEDvarPubDate,)</f>
        <v>1060</v>
      </c>
      <c r="C708" s="1">
        <f t="shared" si="33"/>
        <v>45848</v>
      </c>
      <c r="D708">
        <f t="shared" si="34"/>
        <v>2025</v>
      </c>
      <c r="E708">
        <f t="shared" si="35"/>
        <v>7</v>
      </c>
      <c r="F708" s="13" t="s">
        <v>1414</v>
      </c>
      <c r="G708" s="13" t="s">
        <v>11</v>
      </c>
      <c r="H708" s="13" t="s">
        <v>2792</v>
      </c>
    </row>
    <row r="709" spans="1:8" x14ac:dyDescent="0.25">
      <c r="A709" t="s">
        <v>1415</v>
      </c>
      <c r="B709" s="15" cm="1">
        <f t="array" ref="B709">_xll.GetPrice("FP-LBR-1601",,"Low",_SPECIFIEDvarPubDate,)</f>
        <v>1180</v>
      </c>
      <c r="C709" s="1">
        <f t="shared" si="33"/>
        <v>45848</v>
      </c>
      <c r="D709">
        <f t="shared" si="34"/>
        <v>2025</v>
      </c>
      <c r="E709">
        <f t="shared" si="35"/>
        <v>7</v>
      </c>
      <c r="F709" s="13" t="s">
        <v>1416</v>
      </c>
      <c r="G709" s="13" t="s">
        <v>11</v>
      </c>
      <c r="H709" s="13" t="s">
        <v>2792</v>
      </c>
    </row>
    <row r="710" spans="1:8" x14ac:dyDescent="0.25">
      <c r="A710" t="s">
        <v>1417</v>
      </c>
      <c r="B710" s="15" cm="1">
        <f t="array" ref="B710">_xll.GetPrice("FP-LBR-1557",,"Low",_SPECIFIEDvarPubDate,)</f>
        <v>675</v>
      </c>
      <c r="C710" s="1">
        <f t="shared" si="33"/>
        <v>45848</v>
      </c>
      <c r="D710">
        <f t="shared" si="34"/>
        <v>2025</v>
      </c>
      <c r="E710">
        <f t="shared" si="35"/>
        <v>7</v>
      </c>
      <c r="F710" s="13" t="s">
        <v>1418</v>
      </c>
      <c r="G710" s="13" t="s">
        <v>11</v>
      </c>
      <c r="H710" s="13" t="s">
        <v>2792</v>
      </c>
    </row>
    <row r="711" spans="1:8" x14ac:dyDescent="0.25">
      <c r="A711" t="s">
        <v>1419</v>
      </c>
      <c r="B711" s="15" cm="1">
        <f t="array" ref="B711">_xll.GetPrice("FP-LBR-1558",,"Low",_SPECIFIEDvarPubDate,)</f>
        <v>740</v>
      </c>
      <c r="C711" s="1">
        <f t="shared" si="33"/>
        <v>45848</v>
      </c>
      <c r="D711">
        <f t="shared" si="34"/>
        <v>2025</v>
      </c>
      <c r="E711">
        <f t="shared" si="35"/>
        <v>7</v>
      </c>
      <c r="F711" s="13" t="s">
        <v>1420</v>
      </c>
      <c r="G711" s="13" t="s">
        <v>11</v>
      </c>
      <c r="H711" s="13" t="s">
        <v>2792</v>
      </c>
    </row>
    <row r="712" spans="1:8" x14ac:dyDescent="0.25">
      <c r="A712" t="s">
        <v>1421</v>
      </c>
      <c r="B712" s="15" cm="1">
        <f t="array" ref="B712">_xll.GetPrice("FP-LBR-1559",,"Low",_SPECIFIEDvarPubDate,)</f>
        <v>615</v>
      </c>
      <c r="C712" s="1">
        <f t="shared" si="33"/>
        <v>45848</v>
      </c>
      <c r="D712">
        <f t="shared" si="34"/>
        <v>2025</v>
      </c>
      <c r="E712">
        <f t="shared" si="35"/>
        <v>7</v>
      </c>
      <c r="F712" s="13" t="s">
        <v>1422</v>
      </c>
      <c r="G712" s="13" t="s">
        <v>11</v>
      </c>
      <c r="H712" s="13" t="s">
        <v>2792</v>
      </c>
    </row>
    <row r="713" spans="1:8" x14ac:dyDescent="0.25">
      <c r="A713" t="s">
        <v>1423</v>
      </c>
      <c r="B713" s="15" cm="1">
        <f t="array" ref="B713">_xll.GetPrice("FP-LBR-1560",,"Low",_SPECIFIEDvarPubDate,)</f>
        <v>540</v>
      </c>
      <c r="C713" s="1">
        <f t="shared" si="33"/>
        <v>45848</v>
      </c>
      <c r="D713">
        <f t="shared" si="34"/>
        <v>2025</v>
      </c>
      <c r="E713">
        <f t="shared" si="35"/>
        <v>7</v>
      </c>
      <c r="F713" s="13" t="s">
        <v>1424</v>
      </c>
      <c r="G713" s="13" t="s">
        <v>11</v>
      </c>
      <c r="H713" s="13" t="s">
        <v>2792</v>
      </c>
    </row>
    <row r="714" spans="1:8" x14ac:dyDescent="0.25">
      <c r="A714" t="s">
        <v>1425</v>
      </c>
      <c r="B714" s="15" cm="1">
        <f t="array" ref="B714">_xll.GetPrice("FP-LBR-1561",,"Low",_SPECIFIEDvarPubDate,)</f>
        <v>605</v>
      </c>
      <c r="C714" s="1">
        <f t="shared" si="33"/>
        <v>45848</v>
      </c>
      <c r="D714">
        <f t="shared" si="34"/>
        <v>2025</v>
      </c>
      <c r="E714">
        <f t="shared" si="35"/>
        <v>7</v>
      </c>
      <c r="F714" s="13" t="s">
        <v>1426</v>
      </c>
      <c r="G714" s="13" t="s">
        <v>11</v>
      </c>
      <c r="H714" s="13" t="s">
        <v>2792</v>
      </c>
    </row>
    <row r="715" spans="1:8" x14ac:dyDescent="0.25">
      <c r="A715" t="s">
        <v>1427</v>
      </c>
      <c r="B715" s="15" cm="1">
        <f t="array" ref="B715">_xll.GetPrice("FP-LBR-1602",,"Low",_SPECIFIEDvarPubDate,)</f>
        <v>530</v>
      </c>
      <c r="C715" s="1">
        <f t="shared" si="33"/>
        <v>45848</v>
      </c>
      <c r="D715">
        <f t="shared" si="34"/>
        <v>2025</v>
      </c>
      <c r="E715">
        <f t="shared" si="35"/>
        <v>7</v>
      </c>
      <c r="F715" s="13" t="s">
        <v>1428</v>
      </c>
      <c r="G715" s="13" t="s">
        <v>11</v>
      </c>
      <c r="H715" s="13" t="s">
        <v>2792</v>
      </c>
    </row>
    <row r="716" spans="1:8" x14ac:dyDescent="0.25">
      <c r="A716" t="s">
        <v>1429</v>
      </c>
      <c r="B716" s="15" cm="1">
        <f t="array" ref="B716">_xll.GetPrice("FP-LBR-1603",,"Low",_SPECIFIEDvarPubDate,)</f>
        <v>540</v>
      </c>
      <c r="C716" s="1">
        <f t="shared" si="33"/>
        <v>45848</v>
      </c>
      <c r="D716">
        <f t="shared" si="34"/>
        <v>2025</v>
      </c>
      <c r="E716">
        <f t="shared" si="35"/>
        <v>7</v>
      </c>
      <c r="F716" s="13" t="s">
        <v>1430</v>
      </c>
      <c r="G716" s="13" t="s">
        <v>11</v>
      </c>
      <c r="H716" s="13" t="s">
        <v>2792</v>
      </c>
    </row>
    <row r="717" spans="1:8" x14ac:dyDescent="0.25">
      <c r="A717" t="s">
        <v>1431</v>
      </c>
      <c r="B717" s="15" cm="1">
        <f t="array" ref="B717">_xll.GetPrice("FP-LBR-1604",,"Low",_SPECIFIEDvarPubDate,)</f>
        <v>500</v>
      </c>
      <c r="C717" s="1">
        <f t="shared" si="33"/>
        <v>45848</v>
      </c>
      <c r="D717">
        <f t="shared" si="34"/>
        <v>2025</v>
      </c>
      <c r="E717">
        <f t="shared" si="35"/>
        <v>7</v>
      </c>
      <c r="F717" s="13" t="s">
        <v>1432</v>
      </c>
      <c r="G717" s="13" t="s">
        <v>11</v>
      </c>
      <c r="H717" s="13" t="s">
        <v>2792</v>
      </c>
    </row>
    <row r="718" spans="1:8" x14ac:dyDescent="0.25">
      <c r="A718" t="s">
        <v>1433</v>
      </c>
      <c r="B718" s="15" cm="1">
        <f t="array" ref="B718">_xll.GetPrice("FP-LBR-1605",,"Low",_SPECIFIEDvarPubDate,)</f>
        <v>495</v>
      </c>
      <c r="C718" s="1">
        <f t="shared" si="33"/>
        <v>45848</v>
      </c>
      <c r="D718">
        <f t="shared" si="34"/>
        <v>2025</v>
      </c>
      <c r="E718">
        <f t="shared" si="35"/>
        <v>7</v>
      </c>
      <c r="F718" s="13" t="s">
        <v>1434</v>
      </c>
      <c r="G718" s="13" t="s">
        <v>11</v>
      </c>
      <c r="H718" s="13" t="s">
        <v>2792</v>
      </c>
    </row>
    <row r="719" spans="1:8" x14ac:dyDescent="0.25">
      <c r="A719" t="s">
        <v>1435</v>
      </c>
      <c r="B719" s="15" cm="1">
        <f t="array" ref="B719">_xll.GetPrice("FP-LBR-1606",,"Low",_SPECIFIEDvarPubDate,)</f>
        <v>530</v>
      </c>
      <c r="C719" s="1">
        <f t="shared" si="33"/>
        <v>45848</v>
      </c>
      <c r="D719">
        <f t="shared" si="34"/>
        <v>2025</v>
      </c>
      <c r="E719">
        <f t="shared" si="35"/>
        <v>7</v>
      </c>
      <c r="F719" s="13" t="s">
        <v>1436</v>
      </c>
      <c r="G719" s="13" t="s">
        <v>11</v>
      </c>
      <c r="H719" s="13" t="s">
        <v>2792</v>
      </c>
    </row>
    <row r="720" spans="1:8" x14ac:dyDescent="0.25">
      <c r="A720" t="s">
        <v>1437</v>
      </c>
      <c r="B720" s="15" cm="1">
        <f t="array" ref="B720">_xll.GetPrice("FP-LBR-1562",,"Low",_SPECIFIEDvarPubDate,)</f>
        <v>590</v>
      </c>
      <c r="C720" s="1">
        <f t="shared" si="33"/>
        <v>45848</v>
      </c>
      <c r="D720">
        <f t="shared" si="34"/>
        <v>2025</v>
      </c>
      <c r="E720">
        <f t="shared" si="35"/>
        <v>7</v>
      </c>
      <c r="F720" s="13" t="s">
        <v>1438</v>
      </c>
      <c r="G720" s="13" t="s">
        <v>11</v>
      </c>
      <c r="H720" s="13" t="s">
        <v>2792</v>
      </c>
    </row>
    <row r="721" spans="1:8" x14ac:dyDescent="0.25">
      <c r="A721" t="s">
        <v>1439</v>
      </c>
      <c r="B721" s="15" cm="1">
        <f t="array" ref="B721">_xll.GetPrice("FP-LBR-1563",,"Low",_SPECIFIEDvarPubDate,)</f>
        <v>500</v>
      </c>
      <c r="C721" s="1">
        <f t="shared" si="33"/>
        <v>45848</v>
      </c>
      <c r="D721">
        <f t="shared" si="34"/>
        <v>2025</v>
      </c>
      <c r="E721">
        <f t="shared" si="35"/>
        <v>7</v>
      </c>
      <c r="F721" s="13" t="s">
        <v>1440</v>
      </c>
      <c r="G721" s="13" t="s">
        <v>11</v>
      </c>
      <c r="H721" s="13" t="s">
        <v>2792</v>
      </c>
    </row>
    <row r="722" spans="1:8" x14ac:dyDescent="0.25">
      <c r="A722" t="s">
        <v>1441</v>
      </c>
      <c r="B722" s="15" cm="1">
        <f t="array" ref="B722">_xll.GetPrice("FP-LBR-1564",,"Low",_SPECIFIEDvarPubDate,)</f>
        <v>415</v>
      </c>
      <c r="C722" s="1">
        <f t="shared" si="33"/>
        <v>45848</v>
      </c>
      <c r="D722">
        <f t="shared" si="34"/>
        <v>2025</v>
      </c>
      <c r="E722">
        <f t="shared" si="35"/>
        <v>7</v>
      </c>
      <c r="F722" s="13" t="s">
        <v>1442</v>
      </c>
      <c r="G722" s="13" t="s">
        <v>11</v>
      </c>
      <c r="H722" s="13" t="s">
        <v>2792</v>
      </c>
    </row>
    <row r="723" spans="1:8" x14ac:dyDescent="0.25">
      <c r="A723" t="s">
        <v>1443</v>
      </c>
      <c r="B723" s="15" cm="1">
        <f t="array" ref="B723">_xll.GetPrice("FP-LBR-1565",,"Low",_SPECIFIEDvarPubDate,)</f>
        <v>370</v>
      </c>
      <c r="C723" s="1">
        <f t="shared" si="33"/>
        <v>45848</v>
      </c>
      <c r="D723">
        <f t="shared" si="34"/>
        <v>2025</v>
      </c>
      <c r="E723">
        <f t="shared" si="35"/>
        <v>7</v>
      </c>
      <c r="F723" s="13" t="s">
        <v>1444</v>
      </c>
      <c r="G723" s="13" t="s">
        <v>11</v>
      </c>
      <c r="H723" s="13" t="s">
        <v>2792</v>
      </c>
    </row>
    <row r="724" spans="1:8" x14ac:dyDescent="0.25">
      <c r="A724" t="s">
        <v>1445</v>
      </c>
      <c r="B724" s="15" cm="1">
        <f t="array" ref="B724">_xll.GetPrice("FP-LBR-1566",,"Low",_SPECIFIEDvarPubDate,)</f>
        <v>390</v>
      </c>
      <c r="C724" s="1">
        <f t="shared" si="33"/>
        <v>45848</v>
      </c>
      <c r="D724">
        <f t="shared" si="34"/>
        <v>2025</v>
      </c>
      <c r="E724">
        <f t="shared" si="35"/>
        <v>7</v>
      </c>
      <c r="F724" s="13" t="s">
        <v>1446</v>
      </c>
      <c r="G724" s="13" t="s">
        <v>11</v>
      </c>
      <c r="H724" s="13" t="s">
        <v>2792</v>
      </c>
    </row>
    <row r="725" spans="1:8" x14ac:dyDescent="0.25">
      <c r="A725" t="s">
        <v>1447</v>
      </c>
      <c r="B725" s="15" cm="1">
        <f t="array" ref="B725">_xll.GetPrice("FP-LBR-0159",,"Low",_SPECIFIEDvarPubDate,)</f>
        <v>200</v>
      </c>
      <c r="C725" s="1">
        <f t="shared" si="33"/>
        <v>45848</v>
      </c>
      <c r="D725">
        <f t="shared" si="34"/>
        <v>2025</v>
      </c>
      <c r="E725">
        <f t="shared" si="35"/>
        <v>7</v>
      </c>
      <c r="F725" s="13" t="s">
        <v>1448</v>
      </c>
      <c r="G725" s="13" t="s">
        <v>11</v>
      </c>
      <c r="H725" s="13" t="s">
        <v>2792</v>
      </c>
    </row>
    <row r="726" spans="1:8" x14ac:dyDescent="0.25">
      <c r="A726" t="s">
        <v>1449</v>
      </c>
      <c r="B726" s="15" cm="1">
        <f t="array" ref="B726">_xll.GetPrice("FP-LBR-0160",,"Low",_SPECIFIEDvarPubDate,)</f>
        <v>160</v>
      </c>
      <c r="C726" s="1">
        <f t="shared" si="33"/>
        <v>45848</v>
      </c>
      <c r="D726">
        <f t="shared" si="34"/>
        <v>2025</v>
      </c>
      <c r="E726">
        <f t="shared" si="35"/>
        <v>7</v>
      </c>
      <c r="F726" s="13" t="s">
        <v>1450</v>
      </c>
      <c r="G726" s="13" t="s">
        <v>11</v>
      </c>
      <c r="H726" s="13" t="s">
        <v>2792</v>
      </c>
    </row>
    <row r="727" spans="1:8" x14ac:dyDescent="0.25">
      <c r="A727" t="s">
        <v>1451</v>
      </c>
      <c r="B727" s="15" cm="1">
        <f t="array" ref="B727">_xll.GetPrice("FP-LBR-0933",,"Low",_SPECIFIEDvarPubDate,)</f>
        <v>1735</v>
      </c>
      <c r="C727" s="1">
        <f t="shared" si="33"/>
        <v>45848</v>
      </c>
      <c r="D727">
        <f t="shared" si="34"/>
        <v>2025</v>
      </c>
      <c r="E727">
        <f t="shared" si="35"/>
        <v>7</v>
      </c>
      <c r="F727" s="13" t="s">
        <v>1452</v>
      </c>
      <c r="G727" s="13" t="s">
        <v>11</v>
      </c>
      <c r="H727" s="13" t="s">
        <v>2792</v>
      </c>
    </row>
    <row r="728" spans="1:8" x14ac:dyDescent="0.25">
      <c r="A728" t="s">
        <v>1453</v>
      </c>
      <c r="B728" s="15" cm="1">
        <f t="array" ref="B728">_xll.GetPrice("FP-LBR-0934",,"Low",_SPECIFIEDvarPubDate,)</f>
        <v>1770</v>
      </c>
      <c r="C728" s="1">
        <f t="shared" si="33"/>
        <v>45848</v>
      </c>
      <c r="D728">
        <f t="shared" si="34"/>
        <v>2025</v>
      </c>
      <c r="E728">
        <f t="shared" si="35"/>
        <v>7</v>
      </c>
      <c r="F728" s="13" t="s">
        <v>1454</v>
      </c>
      <c r="G728" s="13" t="s">
        <v>11</v>
      </c>
      <c r="H728" s="13" t="s">
        <v>2792</v>
      </c>
    </row>
    <row r="729" spans="1:8" x14ac:dyDescent="0.25">
      <c r="A729" t="s">
        <v>1455</v>
      </c>
      <c r="B729" s="15" cm="1">
        <f t="array" ref="B729">_xll.GetPrice("FP-LBR-0239",,"Low",_SPECIFIEDvarPubDate,)</f>
        <v>210</v>
      </c>
      <c r="C729" s="1">
        <f t="shared" si="33"/>
        <v>45848</v>
      </c>
      <c r="D729">
        <f t="shared" si="34"/>
        <v>2025</v>
      </c>
      <c r="E729">
        <f t="shared" si="35"/>
        <v>7</v>
      </c>
      <c r="F729" s="13" t="s">
        <v>1456</v>
      </c>
      <c r="G729" s="13" t="s">
        <v>11</v>
      </c>
      <c r="H729" s="13" t="s">
        <v>2792</v>
      </c>
    </row>
    <row r="730" spans="1:8" x14ac:dyDescent="0.25">
      <c r="A730" t="s">
        <v>1457</v>
      </c>
      <c r="B730" s="15" cm="1">
        <f t="array" ref="B730">_xll.GetPrice("FP-LBR-0240",,"Low",_SPECIFIEDvarPubDate,)</f>
        <v>170</v>
      </c>
      <c r="C730" s="1">
        <f t="shared" si="33"/>
        <v>45848</v>
      </c>
      <c r="D730">
        <f t="shared" si="34"/>
        <v>2025</v>
      </c>
      <c r="E730">
        <f t="shared" si="35"/>
        <v>7</v>
      </c>
      <c r="F730" s="13" t="s">
        <v>1458</v>
      </c>
      <c r="G730" s="13" t="s">
        <v>11</v>
      </c>
      <c r="H730" s="13" t="s">
        <v>2792</v>
      </c>
    </row>
    <row r="731" spans="1:8" x14ac:dyDescent="0.25">
      <c r="A731" t="s">
        <v>1459</v>
      </c>
      <c r="B731" s="15" cm="1">
        <f t="array" ref="B731">_xll.GetPrice("FP-LBR-1400",,"Low",_SPECIFIEDvarPubDate,)</f>
        <v>505</v>
      </c>
      <c r="C731" s="1">
        <f t="shared" si="33"/>
        <v>45848</v>
      </c>
      <c r="D731">
        <f t="shared" si="34"/>
        <v>2025</v>
      </c>
      <c r="E731">
        <f t="shared" si="35"/>
        <v>7</v>
      </c>
      <c r="F731" s="13" t="s">
        <v>1460</v>
      </c>
      <c r="G731" s="13" t="s">
        <v>11</v>
      </c>
      <c r="H731" s="13" t="s">
        <v>2792</v>
      </c>
    </row>
    <row r="732" spans="1:8" x14ac:dyDescent="0.25">
      <c r="A732" t="s">
        <v>1461</v>
      </c>
      <c r="B732" s="15" cm="1">
        <f t="array" ref="B732">_xll.GetPrice("FP-LBR-1401",,"Low",_SPECIFIEDvarPubDate,)</f>
        <v>635</v>
      </c>
      <c r="C732" s="1">
        <f t="shared" si="33"/>
        <v>45848</v>
      </c>
      <c r="D732">
        <f t="shared" si="34"/>
        <v>2025</v>
      </c>
      <c r="E732">
        <f t="shared" si="35"/>
        <v>7</v>
      </c>
      <c r="F732" s="13" t="s">
        <v>1462</v>
      </c>
      <c r="G732" s="13" t="s">
        <v>11</v>
      </c>
      <c r="H732" s="13" t="s">
        <v>2792</v>
      </c>
    </row>
    <row r="733" spans="1:8" x14ac:dyDescent="0.25">
      <c r="A733" t="s">
        <v>1463</v>
      </c>
      <c r="B733" s="15" cm="1">
        <f t="array" ref="B733">_xll.GetPrice("FP-LBR-1402",,"Low",_SPECIFIEDvarPubDate,)</f>
        <v>635</v>
      </c>
      <c r="C733" s="1">
        <f t="shared" si="33"/>
        <v>45848</v>
      </c>
      <c r="D733">
        <f t="shared" si="34"/>
        <v>2025</v>
      </c>
      <c r="E733">
        <f t="shared" si="35"/>
        <v>7</v>
      </c>
      <c r="F733" s="13" t="s">
        <v>1464</v>
      </c>
      <c r="G733" s="13" t="s">
        <v>11</v>
      </c>
      <c r="H733" s="13" t="s">
        <v>2792</v>
      </c>
    </row>
    <row r="734" spans="1:8" x14ac:dyDescent="0.25">
      <c r="A734" t="s">
        <v>1465</v>
      </c>
      <c r="B734" s="15" cm="1">
        <f t="array" ref="B734">_xll.GetPrice("FP-LBR-1403",,"Low",_SPECIFIEDvarPubDate,)</f>
        <v>680</v>
      </c>
      <c r="C734" s="1">
        <f t="shared" si="33"/>
        <v>45848</v>
      </c>
      <c r="D734">
        <f t="shared" si="34"/>
        <v>2025</v>
      </c>
      <c r="E734">
        <f t="shared" si="35"/>
        <v>7</v>
      </c>
      <c r="F734" s="13" t="s">
        <v>1466</v>
      </c>
      <c r="G734" s="13" t="s">
        <v>11</v>
      </c>
      <c r="H734" s="13" t="s">
        <v>2792</v>
      </c>
    </row>
    <row r="735" spans="1:8" x14ac:dyDescent="0.25">
      <c r="A735" t="s">
        <v>1467</v>
      </c>
      <c r="B735" s="15" cm="1">
        <f t="array" ref="B735">_xll.GetPrice("FP-LBR-0908",,"Low",_SPECIFIEDvarPubDate,)</f>
        <v>1960</v>
      </c>
      <c r="C735" s="1">
        <f t="shared" si="33"/>
        <v>45848</v>
      </c>
      <c r="D735">
        <f t="shared" si="34"/>
        <v>2025</v>
      </c>
      <c r="E735">
        <f t="shared" si="35"/>
        <v>7</v>
      </c>
      <c r="F735" s="13" t="s">
        <v>1468</v>
      </c>
      <c r="G735" s="13" t="s">
        <v>11</v>
      </c>
      <c r="H735" s="13" t="s">
        <v>2792</v>
      </c>
    </row>
    <row r="736" spans="1:8" x14ac:dyDescent="0.25">
      <c r="A736" t="s">
        <v>1469</v>
      </c>
      <c r="B736" s="15" cm="1">
        <f t="array" ref="B736">_xll.GetPrice("FP-LBR-0909",,"Low",_SPECIFIEDvarPubDate,)</f>
        <v>2105</v>
      </c>
      <c r="C736" s="1">
        <f t="shared" si="33"/>
        <v>45848</v>
      </c>
      <c r="D736">
        <f t="shared" si="34"/>
        <v>2025</v>
      </c>
      <c r="E736">
        <f t="shared" si="35"/>
        <v>7</v>
      </c>
      <c r="F736" s="13" t="s">
        <v>1470</v>
      </c>
      <c r="G736" s="13" t="s">
        <v>11</v>
      </c>
      <c r="H736" s="13" t="s">
        <v>2792</v>
      </c>
    </row>
    <row r="737" spans="1:8" x14ac:dyDescent="0.25">
      <c r="A737" t="s">
        <v>1471</v>
      </c>
      <c r="B737" s="15" cm="1">
        <f t="array" ref="B737">_xll.GetPrice("FP-LBR-0910",,"Low",_SPECIFIEDvarPubDate,)</f>
        <v>2130</v>
      </c>
      <c r="C737" s="1">
        <f t="shared" si="33"/>
        <v>45848</v>
      </c>
      <c r="D737">
        <f t="shared" si="34"/>
        <v>2025</v>
      </c>
      <c r="E737">
        <f t="shared" si="35"/>
        <v>7</v>
      </c>
      <c r="F737" s="13" t="s">
        <v>1472</v>
      </c>
      <c r="G737" s="13" t="s">
        <v>11</v>
      </c>
      <c r="H737" s="13" t="s">
        <v>2792</v>
      </c>
    </row>
    <row r="738" spans="1:8" x14ac:dyDescent="0.25">
      <c r="A738" t="s">
        <v>1473</v>
      </c>
      <c r="B738" s="15" cm="1">
        <f t="array" ref="B738">_xll.GetPrice("FP-LBR-0921",,"Low",_SPECIFIEDvarPubDate,)</f>
        <v>1160</v>
      </c>
      <c r="C738" s="1">
        <f t="shared" si="33"/>
        <v>45848</v>
      </c>
      <c r="D738">
        <f t="shared" si="34"/>
        <v>2025</v>
      </c>
      <c r="E738">
        <f t="shared" si="35"/>
        <v>7</v>
      </c>
      <c r="F738" s="13" t="s">
        <v>1474</v>
      </c>
      <c r="G738" s="13" t="s">
        <v>11</v>
      </c>
      <c r="H738" s="13" t="s">
        <v>2792</v>
      </c>
    </row>
    <row r="739" spans="1:8" x14ac:dyDescent="0.25">
      <c r="A739" t="s">
        <v>1475</v>
      </c>
      <c r="B739" s="15" cm="1">
        <f t="array" ref="B739">_xll.GetPrice("FP-LBR-0935",,"Low",_SPECIFIEDvarPubDate,)</f>
        <v>1500</v>
      </c>
      <c r="C739" s="1">
        <f t="shared" si="33"/>
        <v>45848</v>
      </c>
      <c r="D739">
        <f t="shared" si="34"/>
        <v>2025</v>
      </c>
      <c r="E739">
        <f t="shared" si="35"/>
        <v>7</v>
      </c>
      <c r="F739" s="13" t="s">
        <v>1476</v>
      </c>
      <c r="G739" s="13" t="s">
        <v>11</v>
      </c>
      <c r="H739" s="13" t="s">
        <v>2792</v>
      </c>
    </row>
    <row r="740" spans="1:8" x14ac:dyDescent="0.25">
      <c r="A740" t="s">
        <v>1477</v>
      </c>
      <c r="B740" s="15" cm="1">
        <f t="array" ref="B740">_xll.GetPrice("FP-LBR-0252",,"Low",_SPECIFIEDvarPubDate,)</f>
        <v>210</v>
      </c>
      <c r="C740" s="1">
        <f t="shared" si="33"/>
        <v>45848</v>
      </c>
      <c r="D740">
        <f t="shared" si="34"/>
        <v>2025</v>
      </c>
      <c r="E740">
        <f t="shared" si="35"/>
        <v>7</v>
      </c>
      <c r="F740" s="13" t="s">
        <v>1478</v>
      </c>
      <c r="G740" s="13" t="s">
        <v>11</v>
      </c>
      <c r="H740" s="13" t="s">
        <v>2792</v>
      </c>
    </row>
    <row r="741" spans="1:8" x14ac:dyDescent="0.25">
      <c r="A741" t="s">
        <v>1479</v>
      </c>
      <c r="B741" s="15" cm="1">
        <f t="array" ref="B741">_xll.GetPrice("FP-LBR-0253",,"Low",_SPECIFIEDvarPubDate,)</f>
        <v>170</v>
      </c>
      <c r="C741" s="1">
        <f t="shared" si="33"/>
        <v>45848</v>
      </c>
      <c r="D741">
        <f t="shared" si="34"/>
        <v>2025</v>
      </c>
      <c r="E741">
        <f t="shared" si="35"/>
        <v>7</v>
      </c>
      <c r="F741" s="13" t="s">
        <v>1480</v>
      </c>
      <c r="G741" s="13" t="s">
        <v>11</v>
      </c>
      <c r="H741" s="13" t="s">
        <v>2792</v>
      </c>
    </row>
    <row r="742" spans="1:8" x14ac:dyDescent="0.25">
      <c r="A742" t="s">
        <v>1481</v>
      </c>
      <c r="B742" s="15" cm="1">
        <f t="array" ref="B742">_xll.GetPrice("FP-LBR-1405",,"Low",_SPECIFIEDvarPubDate,)</f>
        <v>540</v>
      </c>
      <c r="C742" s="1">
        <f t="shared" si="33"/>
        <v>45848</v>
      </c>
      <c r="D742">
        <f t="shared" si="34"/>
        <v>2025</v>
      </c>
      <c r="E742">
        <f t="shared" si="35"/>
        <v>7</v>
      </c>
      <c r="F742" s="13" t="s">
        <v>1482</v>
      </c>
      <c r="G742" s="13" t="s">
        <v>11</v>
      </c>
      <c r="H742" s="13" t="s">
        <v>2792</v>
      </c>
    </row>
    <row r="743" spans="1:8" x14ac:dyDescent="0.25">
      <c r="A743" t="s">
        <v>1483</v>
      </c>
      <c r="B743" s="15" cm="1">
        <f t="array" ref="B743">_xll.GetPrice("FP-LBR-1406",,"Low",_SPECIFIEDvarPubDate,)</f>
        <v>640</v>
      </c>
      <c r="C743" s="1">
        <f t="shared" si="33"/>
        <v>45848</v>
      </c>
      <c r="D743">
        <f t="shared" si="34"/>
        <v>2025</v>
      </c>
      <c r="E743">
        <f t="shared" si="35"/>
        <v>7</v>
      </c>
      <c r="F743" s="13" t="s">
        <v>1484</v>
      </c>
      <c r="G743" s="13" t="s">
        <v>11</v>
      </c>
      <c r="H743" s="13" t="s">
        <v>2792</v>
      </c>
    </row>
    <row r="744" spans="1:8" x14ac:dyDescent="0.25">
      <c r="A744" t="s">
        <v>1485</v>
      </c>
      <c r="B744" s="15" cm="1">
        <f t="array" ref="B744">_xll.GetPrice("FP-LBR-1407",,"Low",_SPECIFIEDvarPubDate,)</f>
        <v>600</v>
      </c>
      <c r="C744" s="1">
        <f t="shared" si="33"/>
        <v>45848</v>
      </c>
      <c r="D744">
        <f t="shared" si="34"/>
        <v>2025</v>
      </c>
      <c r="E744">
        <f t="shared" si="35"/>
        <v>7</v>
      </c>
      <c r="F744" s="13" t="s">
        <v>1486</v>
      </c>
      <c r="G744" s="13" t="s">
        <v>11</v>
      </c>
      <c r="H744" s="13" t="s">
        <v>2792</v>
      </c>
    </row>
    <row r="745" spans="1:8" x14ac:dyDescent="0.25">
      <c r="A745" t="s">
        <v>1487</v>
      </c>
      <c r="B745" s="15" cm="1">
        <f t="array" ref="B745">_xll.GetPrice("FP-LBR-1408",,"Low",_SPECIFIEDvarPubDate,)</f>
        <v>620</v>
      </c>
      <c r="C745" s="1">
        <f t="shared" si="33"/>
        <v>45848</v>
      </c>
      <c r="D745">
        <f t="shared" si="34"/>
        <v>2025</v>
      </c>
      <c r="E745">
        <f t="shared" si="35"/>
        <v>7</v>
      </c>
      <c r="F745" s="13" t="s">
        <v>1488</v>
      </c>
      <c r="G745" s="13" t="s">
        <v>11</v>
      </c>
      <c r="H745" s="13" t="s">
        <v>2792</v>
      </c>
    </row>
    <row r="746" spans="1:8" x14ac:dyDescent="0.25">
      <c r="A746" t="s">
        <v>1489</v>
      </c>
      <c r="B746" s="15" cm="1">
        <f t="array" ref="B746">_xll.GetPrice("FP-LBR-0911",,"Low",_SPECIFIEDvarPubDate,)</f>
        <v>1255</v>
      </c>
      <c r="C746" s="1">
        <f t="shared" si="33"/>
        <v>45848</v>
      </c>
      <c r="D746">
        <f t="shared" si="34"/>
        <v>2025</v>
      </c>
      <c r="E746">
        <f t="shared" si="35"/>
        <v>7</v>
      </c>
      <c r="F746" s="13" t="s">
        <v>1490</v>
      </c>
      <c r="G746" s="13" t="s">
        <v>11</v>
      </c>
      <c r="H746" s="13" t="s">
        <v>2792</v>
      </c>
    </row>
    <row r="747" spans="1:8" x14ac:dyDescent="0.25">
      <c r="A747" t="s">
        <v>1491</v>
      </c>
      <c r="B747" s="15" cm="1">
        <f t="array" ref="B747">_xll.GetPrice("FP-LBR-0912",,"Low",_SPECIFIEDvarPubDate,)</f>
        <v>1210</v>
      </c>
      <c r="C747" s="1">
        <f t="shared" si="33"/>
        <v>45848</v>
      </c>
      <c r="D747">
        <f t="shared" si="34"/>
        <v>2025</v>
      </c>
      <c r="E747">
        <f t="shared" si="35"/>
        <v>7</v>
      </c>
      <c r="F747" s="13" t="s">
        <v>1492</v>
      </c>
      <c r="G747" s="13" t="s">
        <v>11</v>
      </c>
      <c r="H747" s="13" t="s">
        <v>2792</v>
      </c>
    </row>
    <row r="748" spans="1:8" x14ac:dyDescent="0.25">
      <c r="A748" t="s">
        <v>1493</v>
      </c>
      <c r="B748" s="15" cm="1">
        <f t="array" ref="B748">_xll.GetPrice("FP-LBR-0913",,"Low",_SPECIFIEDvarPubDate,)</f>
        <v>1310</v>
      </c>
      <c r="C748" s="1">
        <f t="shared" si="33"/>
        <v>45848</v>
      </c>
      <c r="D748">
        <f t="shared" si="34"/>
        <v>2025</v>
      </c>
      <c r="E748">
        <f t="shared" si="35"/>
        <v>7</v>
      </c>
      <c r="F748" s="13" t="s">
        <v>1494</v>
      </c>
      <c r="G748" s="13" t="s">
        <v>11</v>
      </c>
      <c r="H748" s="13" t="s">
        <v>2792</v>
      </c>
    </row>
    <row r="749" spans="1:8" x14ac:dyDescent="0.25">
      <c r="A749" t="s">
        <v>1495</v>
      </c>
      <c r="B749" s="15" cm="1">
        <f t="array" ref="B749">_xll.GetPrice("FP-LBR-0922",,"Low",_SPECIFIEDvarPubDate,)</f>
        <v>690</v>
      </c>
      <c r="C749" s="1">
        <f t="shared" si="33"/>
        <v>45848</v>
      </c>
      <c r="D749">
        <f t="shared" si="34"/>
        <v>2025</v>
      </c>
      <c r="E749">
        <f t="shared" si="35"/>
        <v>7</v>
      </c>
      <c r="F749" s="13" t="s">
        <v>1496</v>
      </c>
      <c r="G749" s="13" t="s">
        <v>11</v>
      </c>
      <c r="H749" s="13" t="s">
        <v>2792</v>
      </c>
    </row>
    <row r="750" spans="1:8" x14ac:dyDescent="0.25">
      <c r="A750" t="s">
        <v>1497</v>
      </c>
      <c r="B750" s="15" cm="1">
        <f t="array" ref="B750">_xll.GetPrice("FP-LBR-0320",,"Low",_SPECIFIEDvarPubDate,)</f>
        <v>220</v>
      </c>
      <c r="C750" s="1">
        <f t="shared" si="33"/>
        <v>45848</v>
      </c>
      <c r="D750">
        <f t="shared" si="34"/>
        <v>2025</v>
      </c>
      <c r="E750">
        <f t="shared" si="35"/>
        <v>7</v>
      </c>
      <c r="F750" s="13" t="s">
        <v>1498</v>
      </c>
      <c r="G750" s="13" t="s">
        <v>11</v>
      </c>
      <c r="H750" s="13" t="s">
        <v>2792</v>
      </c>
    </row>
    <row r="751" spans="1:8" x14ac:dyDescent="0.25">
      <c r="A751" t="s">
        <v>1499</v>
      </c>
      <c r="B751" s="15" cm="1">
        <f t="array" ref="B751">_xll.GetPrice("FP-LBR-0321",,"Low",_SPECIFIEDvarPubDate,)</f>
        <v>180</v>
      </c>
      <c r="C751" s="1">
        <f t="shared" si="33"/>
        <v>45848</v>
      </c>
      <c r="D751">
        <f t="shared" si="34"/>
        <v>2025</v>
      </c>
      <c r="E751">
        <f t="shared" si="35"/>
        <v>7</v>
      </c>
      <c r="F751" s="13" t="s">
        <v>1500</v>
      </c>
      <c r="G751" s="13" t="s">
        <v>11</v>
      </c>
      <c r="H751" s="13" t="s">
        <v>2792</v>
      </c>
    </row>
    <row r="752" spans="1:8" x14ac:dyDescent="0.25">
      <c r="A752" t="s">
        <v>1501</v>
      </c>
      <c r="B752" s="15" cm="1">
        <f t="array" ref="B752">_xll.GetPrice("FP-LBR-0322",,"Low",_SPECIFIEDvarPubDate,)</f>
        <v>205</v>
      </c>
      <c r="C752" s="1">
        <f t="shared" si="33"/>
        <v>45848</v>
      </c>
      <c r="D752">
        <f t="shared" si="34"/>
        <v>2025</v>
      </c>
      <c r="E752">
        <f t="shared" si="35"/>
        <v>7</v>
      </c>
      <c r="F752" s="13" t="s">
        <v>1502</v>
      </c>
      <c r="G752" s="13" t="s">
        <v>11</v>
      </c>
      <c r="H752" s="13" t="s">
        <v>2792</v>
      </c>
    </row>
    <row r="753" spans="1:8" x14ac:dyDescent="0.25">
      <c r="A753" t="s">
        <v>1503</v>
      </c>
      <c r="B753" s="15" cm="1">
        <f t="array" ref="B753">_xll.GetPrice("FP-LBR-0323",,"Low",_SPECIFIEDvarPubDate,)</f>
        <v>195</v>
      </c>
      <c r="C753" s="1">
        <f t="shared" si="33"/>
        <v>45848</v>
      </c>
      <c r="D753">
        <f t="shared" si="34"/>
        <v>2025</v>
      </c>
      <c r="E753">
        <f t="shared" si="35"/>
        <v>7</v>
      </c>
      <c r="F753" s="13" t="s">
        <v>1504</v>
      </c>
      <c r="G753" s="13" t="s">
        <v>11</v>
      </c>
      <c r="H753" s="13" t="s">
        <v>2792</v>
      </c>
    </row>
    <row r="754" spans="1:8" x14ac:dyDescent="0.25">
      <c r="A754" t="s">
        <v>1505</v>
      </c>
      <c r="B754" s="15" cm="1">
        <f t="array" ref="B754">_xll.GetPrice("FP-LBR-0324",,"Low",_SPECIFIEDvarPubDate,)</f>
        <v>205</v>
      </c>
      <c r="C754" s="1">
        <f t="shared" si="33"/>
        <v>45848</v>
      </c>
      <c r="D754">
        <f t="shared" si="34"/>
        <v>2025</v>
      </c>
      <c r="E754">
        <f t="shared" si="35"/>
        <v>7</v>
      </c>
      <c r="F754" s="13" t="s">
        <v>1506</v>
      </c>
      <c r="G754" s="13" t="s">
        <v>11</v>
      </c>
      <c r="H754" s="13" t="s">
        <v>2792</v>
      </c>
    </row>
    <row r="755" spans="1:8" x14ac:dyDescent="0.25">
      <c r="A755" t="s">
        <v>1507</v>
      </c>
      <c r="B755" s="15" cm="1">
        <f t="array" ref="B755">_xll.GetPrice("FP-LBR-0914",,"Low",_SPECIFIEDvarPubDate,)</f>
        <v>1065</v>
      </c>
      <c r="C755" s="1">
        <f t="shared" si="33"/>
        <v>45848</v>
      </c>
      <c r="D755">
        <f t="shared" si="34"/>
        <v>2025</v>
      </c>
      <c r="E755">
        <f t="shared" si="35"/>
        <v>7</v>
      </c>
      <c r="F755" s="13" t="s">
        <v>1508</v>
      </c>
      <c r="G755" s="13" t="s">
        <v>11</v>
      </c>
      <c r="H755" s="13" t="s">
        <v>2792</v>
      </c>
    </row>
    <row r="756" spans="1:8" x14ac:dyDescent="0.25">
      <c r="A756" t="s">
        <v>1509</v>
      </c>
      <c r="B756" s="15" cm="1">
        <f t="array" ref="B756">_xll.GetPrice("FP-LBR-0915",,"Low",_SPECIFIEDvarPubDate,)</f>
        <v>980</v>
      </c>
      <c r="C756" s="1">
        <f t="shared" si="33"/>
        <v>45848</v>
      </c>
      <c r="D756">
        <f t="shared" si="34"/>
        <v>2025</v>
      </c>
      <c r="E756">
        <f t="shared" si="35"/>
        <v>7</v>
      </c>
      <c r="F756" s="13" t="s">
        <v>1510</v>
      </c>
      <c r="G756" s="13" t="s">
        <v>11</v>
      </c>
      <c r="H756" s="13" t="s">
        <v>2792</v>
      </c>
    </row>
    <row r="757" spans="1:8" x14ac:dyDescent="0.25">
      <c r="A757" t="s">
        <v>1511</v>
      </c>
      <c r="B757" s="15" cm="1">
        <f t="array" ref="B757">_xll.GetPrice("FP-LBR-0916",,"Low",_SPECIFIEDvarPubDate,)</f>
        <v>1110</v>
      </c>
      <c r="C757" s="1">
        <f t="shared" si="33"/>
        <v>45848</v>
      </c>
      <c r="D757">
        <f t="shared" si="34"/>
        <v>2025</v>
      </c>
      <c r="E757">
        <f t="shared" si="35"/>
        <v>7</v>
      </c>
      <c r="F757" s="13" t="s">
        <v>1512</v>
      </c>
      <c r="G757" s="13" t="s">
        <v>11</v>
      </c>
      <c r="H757" s="13" t="s">
        <v>2792</v>
      </c>
    </row>
    <row r="758" spans="1:8" x14ac:dyDescent="0.25">
      <c r="A758" t="s">
        <v>1513</v>
      </c>
      <c r="B758" s="15" cm="1">
        <f t="array" ref="B758">_xll.GetPrice("FP-LBR-0923",,"Low",_SPECIFIEDvarPubDate,)</f>
        <v>600</v>
      </c>
      <c r="C758" s="1">
        <f t="shared" si="33"/>
        <v>45848</v>
      </c>
      <c r="D758">
        <f t="shared" si="34"/>
        <v>2025</v>
      </c>
      <c r="E758">
        <f t="shared" si="35"/>
        <v>7</v>
      </c>
      <c r="F758" s="13" t="s">
        <v>1514</v>
      </c>
      <c r="G758" s="13" t="s">
        <v>11</v>
      </c>
      <c r="H758" s="13" t="s">
        <v>2792</v>
      </c>
    </row>
    <row r="759" spans="1:8" x14ac:dyDescent="0.25">
      <c r="A759" t="s">
        <v>1515</v>
      </c>
      <c r="B759" s="15" cm="1">
        <f t="array" ref="B759">_xll.GetPrice("FP-LBR-2011",,"Low",_SPECIFIEDvarPubDate,)</f>
        <v>205</v>
      </c>
      <c r="C759" s="1">
        <f t="shared" si="33"/>
        <v>45848</v>
      </c>
      <c r="D759">
        <f t="shared" si="34"/>
        <v>2025</v>
      </c>
      <c r="E759">
        <f t="shared" si="35"/>
        <v>7</v>
      </c>
      <c r="F759" s="13" t="s">
        <v>1516</v>
      </c>
      <c r="G759" s="13" t="s">
        <v>11</v>
      </c>
      <c r="H759" s="13" t="s">
        <v>2792</v>
      </c>
    </row>
    <row r="760" spans="1:8" x14ac:dyDescent="0.25">
      <c r="A760" t="s">
        <v>1517</v>
      </c>
      <c r="B760" s="15" cm="1">
        <f t="array" ref="B760">_xll.GetPrice("FP-LBR-2012",,"Low",_SPECIFIEDvarPubDate,)</f>
        <v>190</v>
      </c>
      <c r="C760" s="1">
        <f t="shared" si="33"/>
        <v>45848</v>
      </c>
      <c r="D760">
        <f t="shared" si="34"/>
        <v>2025</v>
      </c>
      <c r="E760">
        <f t="shared" si="35"/>
        <v>7</v>
      </c>
      <c r="F760" s="13" t="s">
        <v>1518</v>
      </c>
      <c r="G760" s="13" t="s">
        <v>11</v>
      </c>
      <c r="H760" s="13" t="s">
        <v>2792</v>
      </c>
    </row>
    <row r="761" spans="1:8" x14ac:dyDescent="0.25">
      <c r="A761" t="s">
        <v>1519</v>
      </c>
      <c r="B761" s="15" cm="1">
        <f t="array" ref="B761">_xll.GetPrice("FP-LBR-2013",,"Low",_SPECIFIEDvarPubDate,)</f>
        <v>225</v>
      </c>
      <c r="C761" s="1">
        <f t="shared" si="33"/>
        <v>45848</v>
      </c>
      <c r="D761">
        <f t="shared" si="34"/>
        <v>2025</v>
      </c>
      <c r="E761">
        <f t="shared" si="35"/>
        <v>7</v>
      </c>
      <c r="F761" s="13" t="s">
        <v>1520</v>
      </c>
      <c r="G761" s="13" t="s">
        <v>11</v>
      </c>
      <c r="H761" s="13" t="s">
        <v>2792</v>
      </c>
    </row>
    <row r="762" spans="1:8" x14ac:dyDescent="0.25">
      <c r="A762" t="s">
        <v>1521</v>
      </c>
      <c r="B762" s="15" cm="1">
        <f t="array" ref="B762">_xll.GetPrice("FP-LBR-2014",,"Low",_SPECIFIEDvarPubDate,)</f>
        <v>210</v>
      </c>
      <c r="C762" s="1">
        <f t="shared" si="33"/>
        <v>45848</v>
      </c>
      <c r="D762">
        <f t="shared" si="34"/>
        <v>2025</v>
      </c>
      <c r="E762">
        <f t="shared" si="35"/>
        <v>7</v>
      </c>
      <c r="F762" s="13" t="s">
        <v>1522</v>
      </c>
      <c r="G762" s="13" t="s">
        <v>11</v>
      </c>
      <c r="H762" s="13" t="s">
        <v>2792</v>
      </c>
    </row>
    <row r="763" spans="1:8" x14ac:dyDescent="0.25">
      <c r="A763" t="s">
        <v>1523</v>
      </c>
      <c r="B763" s="15" cm="1">
        <f t="array" ref="B763">_xll.GetPrice("FP-LBR-2015",,"Low",_SPECIFIEDvarPubDate,)</f>
        <v>240</v>
      </c>
      <c r="C763" s="1">
        <f t="shared" si="33"/>
        <v>45848</v>
      </c>
      <c r="D763">
        <f t="shared" si="34"/>
        <v>2025</v>
      </c>
      <c r="E763">
        <f t="shared" si="35"/>
        <v>7</v>
      </c>
      <c r="F763" s="13" t="s">
        <v>1524</v>
      </c>
      <c r="G763" s="13" t="s">
        <v>11</v>
      </c>
      <c r="H763" s="13" t="s">
        <v>2792</v>
      </c>
    </row>
    <row r="764" spans="1:8" x14ac:dyDescent="0.25">
      <c r="A764" t="s">
        <v>1525</v>
      </c>
      <c r="B764" s="15" cm="1">
        <f t="array" ref="B764">_xll.GetPrice("FP-LBR-0917",,"Low",_SPECIFIEDvarPubDate,)</f>
        <v>730</v>
      </c>
      <c r="C764" s="1">
        <f t="shared" si="33"/>
        <v>45848</v>
      </c>
      <c r="D764">
        <f t="shared" si="34"/>
        <v>2025</v>
      </c>
      <c r="E764">
        <f t="shared" si="35"/>
        <v>7</v>
      </c>
      <c r="F764" s="13" t="s">
        <v>1526</v>
      </c>
      <c r="G764" s="13" t="s">
        <v>11</v>
      </c>
      <c r="H764" s="13" t="s">
        <v>2792</v>
      </c>
    </row>
    <row r="765" spans="1:8" x14ac:dyDescent="0.25">
      <c r="A765" t="s">
        <v>1527</v>
      </c>
      <c r="B765" s="15" cm="1">
        <f t="array" ref="B765">_xll.GetPrice("FP-LBR-0918",,"Low",_SPECIFIEDvarPubDate,)</f>
        <v>745</v>
      </c>
      <c r="C765" s="1">
        <f t="shared" si="33"/>
        <v>45848</v>
      </c>
      <c r="D765">
        <f t="shared" si="34"/>
        <v>2025</v>
      </c>
      <c r="E765">
        <f t="shared" si="35"/>
        <v>7</v>
      </c>
      <c r="F765" s="13" t="s">
        <v>1528</v>
      </c>
      <c r="G765" s="13" t="s">
        <v>11</v>
      </c>
      <c r="H765" s="13" t="s">
        <v>2792</v>
      </c>
    </row>
    <row r="766" spans="1:8" x14ac:dyDescent="0.25">
      <c r="A766" t="s">
        <v>1529</v>
      </c>
      <c r="B766" s="15" cm="1">
        <f t="array" ref="B766">_xll.GetPrice("FP-LBR-0924",,"Low",_SPECIFIEDvarPubDate,)</f>
        <v>530</v>
      </c>
      <c r="C766" s="1">
        <f t="shared" si="33"/>
        <v>45848</v>
      </c>
      <c r="D766">
        <f t="shared" si="34"/>
        <v>2025</v>
      </c>
      <c r="E766">
        <f t="shared" si="35"/>
        <v>7</v>
      </c>
      <c r="F766" s="13" t="s">
        <v>1530</v>
      </c>
      <c r="G766" s="13" t="s">
        <v>11</v>
      </c>
      <c r="H766" s="13" t="s">
        <v>2792</v>
      </c>
    </row>
    <row r="767" spans="1:8" x14ac:dyDescent="0.25">
      <c r="A767" t="s">
        <v>1531</v>
      </c>
      <c r="B767" s="15" cm="1">
        <f t="array" ref="B767">_xll.GetPrice("FP-LBR-1991",,"Low",_SPECIFIEDvarPubDate,)</f>
        <v>205</v>
      </c>
      <c r="C767" s="1">
        <f t="shared" si="33"/>
        <v>45848</v>
      </c>
      <c r="D767">
        <f t="shared" si="34"/>
        <v>2025</v>
      </c>
      <c r="E767">
        <f t="shared" si="35"/>
        <v>7</v>
      </c>
      <c r="F767" s="13" t="s">
        <v>1532</v>
      </c>
      <c r="G767" s="13" t="s">
        <v>11</v>
      </c>
      <c r="H767" s="13" t="s">
        <v>2792</v>
      </c>
    </row>
    <row r="768" spans="1:8" x14ac:dyDescent="0.25">
      <c r="A768" t="s">
        <v>1533</v>
      </c>
      <c r="B768" s="15" cm="1">
        <f t="array" ref="B768">_xll.GetPrice("FP-LBR-1992",,"Low",_SPECIFIEDvarPubDate,)</f>
        <v>200</v>
      </c>
      <c r="C768" s="1">
        <f t="shared" si="33"/>
        <v>45848</v>
      </c>
      <c r="D768">
        <f t="shared" si="34"/>
        <v>2025</v>
      </c>
      <c r="E768">
        <f t="shared" si="35"/>
        <v>7</v>
      </c>
      <c r="F768" s="13" t="s">
        <v>1534</v>
      </c>
      <c r="G768" s="13" t="s">
        <v>11</v>
      </c>
      <c r="H768" s="13" t="s">
        <v>2792</v>
      </c>
    </row>
    <row r="769" spans="1:8" x14ac:dyDescent="0.25">
      <c r="A769" t="s">
        <v>1535</v>
      </c>
      <c r="B769" s="15" cm="1">
        <f t="array" ref="B769">_xll.GetPrice("FP-LBR-1993",,"Low",_SPECIFIEDvarPubDate,)</f>
        <v>225</v>
      </c>
      <c r="C769" s="1">
        <f t="shared" ref="C769:C832" si="36">_SPECIFIEDvarPubDate</f>
        <v>45848</v>
      </c>
      <c r="D769">
        <f t="shared" ref="D769:D832" si="37">_SPECIFIEDvarYear</f>
        <v>2025</v>
      </c>
      <c r="E769">
        <f t="shared" ref="E769:E832" si="38">_SPECIFIEDvarMonth</f>
        <v>7</v>
      </c>
      <c r="F769" s="13" t="s">
        <v>1536</v>
      </c>
      <c r="G769" s="13" t="s">
        <v>11</v>
      </c>
      <c r="H769" s="13" t="s">
        <v>2792</v>
      </c>
    </row>
    <row r="770" spans="1:8" x14ac:dyDescent="0.25">
      <c r="A770" t="s">
        <v>1537</v>
      </c>
      <c r="B770" s="15" cm="1">
        <f t="array" ref="B770">_xll.GetPrice("FP-LBR-1994",,"Low",_SPECIFIEDvarPubDate,)</f>
        <v>190</v>
      </c>
      <c r="C770" s="1">
        <f t="shared" si="36"/>
        <v>45848</v>
      </c>
      <c r="D770">
        <f t="shared" si="37"/>
        <v>2025</v>
      </c>
      <c r="E770">
        <f t="shared" si="38"/>
        <v>7</v>
      </c>
      <c r="F770" s="13" t="s">
        <v>1538</v>
      </c>
      <c r="G770" s="13" t="s">
        <v>11</v>
      </c>
      <c r="H770" s="13" t="s">
        <v>2792</v>
      </c>
    </row>
    <row r="771" spans="1:8" x14ac:dyDescent="0.25">
      <c r="A771" t="s">
        <v>1539</v>
      </c>
      <c r="B771" s="15" cm="1">
        <f t="array" ref="B771">_xll.GetPrice("FP-LBR-1995",,"Low",_SPECIFIEDvarPubDate,)</f>
        <v>245</v>
      </c>
      <c r="C771" s="1">
        <f t="shared" si="36"/>
        <v>45848</v>
      </c>
      <c r="D771">
        <f t="shared" si="37"/>
        <v>2025</v>
      </c>
      <c r="E771">
        <f t="shared" si="38"/>
        <v>7</v>
      </c>
      <c r="F771" s="13" t="s">
        <v>1540</v>
      </c>
      <c r="G771" s="13" t="s">
        <v>11</v>
      </c>
      <c r="H771" s="13" t="s">
        <v>2792</v>
      </c>
    </row>
    <row r="772" spans="1:8" x14ac:dyDescent="0.25">
      <c r="A772" t="s">
        <v>1541</v>
      </c>
      <c r="B772" s="15" cm="1">
        <f t="array" ref="B772">_xll.GetPrice("FP-LBR-0919",,"Low",_SPECIFIEDvarPubDate,)</f>
        <v>535</v>
      </c>
      <c r="C772" s="1">
        <f t="shared" si="36"/>
        <v>45848</v>
      </c>
      <c r="D772">
        <f t="shared" si="37"/>
        <v>2025</v>
      </c>
      <c r="E772">
        <f t="shared" si="38"/>
        <v>7</v>
      </c>
      <c r="F772" s="13" t="s">
        <v>1542</v>
      </c>
      <c r="G772" s="13" t="s">
        <v>11</v>
      </c>
      <c r="H772" s="13" t="s">
        <v>2792</v>
      </c>
    </row>
    <row r="773" spans="1:8" x14ac:dyDescent="0.25">
      <c r="A773" t="s">
        <v>1543</v>
      </c>
      <c r="B773" s="15" cm="1">
        <f t="array" ref="B773">_xll.GetPrice("FP-LBR-0920",,"Low",_SPECIFIEDvarPubDate,)</f>
        <v>530</v>
      </c>
      <c r="C773" s="1">
        <f t="shared" si="36"/>
        <v>45848</v>
      </c>
      <c r="D773">
        <f t="shared" si="37"/>
        <v>2025</v>
      </c>
      <c r="E773">
        <f t="shared" si="38"/>
        <v>7</v>
      </c>
      <c r="F773" s="13" t="s">
        <v>1544</v>
      </c>
      <c r="G773" s="13" t="s">
        <v>11</v>
      </c>
      <c r="H773" s="13" t="s">
        <v>2792</v>
      </c>
    </row>
    <row r="774" spans="1:8" x14ac:dyDescent="0.25">
      <c r="A774" t="s">
        <v>1545</v>
      </c>
      <c r="B774" s="15" cm="1">
        <f t="array" ref="B774">_xll.GetPrice("FP-LBR-1409",,"Low",_SPECIFIEDvarPubDate,)</f>
        <v>1600</v>
      </c>
      <c r="C774" s="1">
        <f t="shared" si="36"/>
        <v>45848</v>
      </c>
      <c r="D774">
        <f t="shared" si="37"/>
        <v>2025</v>
      </c>
      <c r="E774">
        <f t="shared" si="38"/>
        <v>7</v>
      </c>
      <c r="F774" s="13" t="s">
        <v>1546</v>
      </c>
      <c r="G774" s="13" t="s">
        <v>11</v>
      </c>
      <c r="H774" s="13" t="s">
        <v>2792</v>
      </c>
    </row>
    <row r="775" spans="1:8" x14ac:dyDescent="0.25">
      <c r="A775" t="s">
        <v>1547</v>
      </c>
      <c r="B775" s="15" cm="1">
        <f t="array" ref="B775">_xll.GetPrice("FP-LBR-1410",,"Low",_SPECIFIEDvarPubDate,)</f>
        <v>1510</v>
      </c>
      <c r="C775" s="1">
        <f t="shared" si="36"/>
        <v>45848</v>
      </c>
      <c r="D775">
        <f t="shared" si="37"/>
        <v>2025</v>
      </c>
      <c r="E775">
        <f t="shared" si="38"/>
        <v>7</v>
      </c>
      <c r="F775" s="13" t="s">
        <v>1548</v>
      </c>
      <c r="G775" s="13" t="s">
        <v>11</v>
      </c>
      <c r="H775" s="13" t="s">
        <v>2792</v>
      </c>
    </row>
    <row r="776" spans="1:8" x14ac:dyDescent="0.25">
      <c r="A776" t="s">
        <v>1549</v>
      </c>
      <c r="B776" s="15" cm="1">
        <f t="array" ref="B776">_xll.GetPrice("FP-LBR-1411",,"Low",_SPECIFIEDvarPubDate,)</f>
        <v>1685</v>
      </c>
      <c r="C776" s="1">
        <f t="shared" si="36"/>
        <v>45848</v>
      </c>
      <c r="D776">
        <f t="shared" si="37"/>
        <v>2025</v>
      </c>
      <c r="E776">
        <f t="shared" si="38"/>
        <v>7</v>
      </c>
      <c r="F776" s="13" t="s">
        <v>1550</v>
      </c>
      <c r="G776" s="13" t="s">
        <v>11</v>
      </c>
      <c r="H776" s="13" t="s">
        <v>2792</v>
      </c>
    </row>
    <row r="777" spans="1:8" x14ac:dyDescent="0.25">
      <c r="A777" t="s">
        <v>1551</v>
      </c>
      <c r="B777" s="15" cm="1">
        <f t="array" ref="B777">_xll.GetPrice("FP-LBR-1204",,"Low",_SPECIFIEDvarPubDate,)</f>
        <v>90</v>
      </c>
      <c r="C777" s="1">
        <f t="shared" si="36"/>
        <v>45848</v>
      </c>
      <c r="D777">
        <f t="shared" si="37"/>
        <v>2025</v>
      </c>
      <c r="E777">
        <f t="shared" si="38"/>
        <v>7</v>
      </c>
      <c r="F777" s="13" t="s">
        <v>1552</v>
      </c>
      <c r="G777" s="13" t="s">
        <v>11</v>
      </c>
      <c r="H777" s="13" t="s">
        <v>2792</v>
      </c>
    </row>
    <row r="778" spans="1:8" x14ac:dyDescent="0.25">
      <c r="A778" t="s">
        <v>1553</v>
      </c>
      <c r="B778" s="15" cm="1">
        <f t="array" ref="B778">_xll.GetPrice("FP-LBR-1303",,"Low",_SPECIFIEDvarPubDate,)</f>
        <v>335</v>
      </c>
      <c r="C778" s="1">
        <f t="shared" si="36"/>
        <v>45848</v>
      </c>
      <c r="D778">
        <f t="shared" si="37"/>
        <v>2025</v>
      </c>
      <c r="E778">
        <f t="shared" si="38"/>
        <v>7</v>
      </c>
      <c r="F778" s="13" t="s">
        <v>1554</v>
      </c>
      <c r="G778" s="13" t="s">
        <v>11</v>
      </c>
      <c r="H778" s="13" t="s">
        <v>2792</v>
      </c>
    </row>
    <row r="779" spans="1:8" x14ac:dyDescent="0.25">
      <c r="A779" t="s">
        <v>1555</v>
      </c>
      <c r="B779" s="15" cm="1">
        <f t="array" ref="B779">_xll.GetPrice("FP-LBR-1304",,"Low",_SPECIFIEDvarPubDate,)</f>
        <v>295</v>
      </c>
      <c r="C779" s="1">
        <f t="shared" si="36"/>
        <v>45848</v>
      </c>
      <c r="D779">
        <f t="shared" si="37"/>
        <v>2025</v>
      </c>
      <c r="E779">
        <f t="shared" si="38"/>
        <v>7</v>
      </c>
      <c r="F779" s="13" t="s">
        <v>1556</v>
      </c>
      <c r="G779" s="13" t="s">
        <v>11</v>
      </c>
      <c r="H779" s="13" t="s">
        <v>2792</v>
      </c>
    </row>
    <row r="780" spans="1:8" x14ac:dyDescent="0.25">
      <c r="A780" t="s">
        <v>1557</v>
      </c>
      <c r="B780" s="15" cm="1">
        <f t="array" ref="B780">_xll.GetPrice("FP-LBR-1305",,"Low",_SPECIFIEDvarPubDate,)</f>
        <v>325</v>
      </c>
      <c r="C780" s="1">
        <f t="shared" si="36"/>
        <v>45848</v>
      </c>
      <c r="D780">
        <f t="shared" si="37"/>
        <v>2025</v>
      </c>
      <c r="E780">
        <f t="shared" si="38"/>
        <v>7</v>
      </c>
      <c r="F780" s="13" t="s">
        <v>1558</v>
      </c>
      <c r="G780" s="13" t="s">
        <v>11</v>
      </c>
      <c r="H780" s="13" t="s">
        <v>2792</v>
      </c>
    </row>
    <row r="781" spans="1:8" x14ac:dyDescent="0.25">
      <c r="A781" t="s">
        <v>1559</v>
      </c>
      <c r="B781" s="15" cm="1">
        <f t="array" ref="B781">_xll.GetPrice("FP-LBR-1306",,"Low",_SPECIFIEDvarPubDate,)</f>
        <v>325</v>
      </c>
      <c r="C781" s="1">
        <f t="shared" si="36"/>
        <v>45848</v>
      </c>
      <c r="D781">
        <f t="shared" si="37"/>
        <v>2025</v>
      </c>
      <c r="E781">
        <f t="shared" si="38"/>
        <v>7</v>
      </c>
      <c r="F781" s="13" t="s">
        <v>1560</v>
      </c>
      <c r="G781" s="13" t="s">
        <v>11</v>
      </c>
      <c r="H781" s="13" t="s">
        <v>2792</v>
      </c>
    </row>
    <row r="782" spans="1:8" x14ac:dyDescent="0.25">
      <c r="A782" t="s">
        <v>1561</v>
      </c>
      <c r="B782" s="15" cm="1">
        <f t="array" ref="B782">_xll.GetPrice("FP-LBR-1307",,"Low",_SPECIFIEDvarPubDate,)</f>
        <v>305</v>
      </c>
      <c r="C782" s="1">
        <f t="shared" si="36"/>
        <v>45848</v>
      </c>
      <c r="D782">
        <f t="shared" si="37"/>
        <v>2025</v>
      </c>
      <c r="E782">
        <f t="shared" si="38"/>
        <v>7</v>
      </c>
      <c r="F782" s="13" t="s">
        <v>1562</v>
      </c>
      <c r="G782" s="13" t="s">
        <v>11</v>
      </c>
      <c r="H782" s="13" t="s">
        <v>2792</v>
      </c>
    </row>
    <row r="783" spans="1:8" x14ac:dyDescent="0.25">
      <c r="A783" t="s">
        <v>1563</v>
      </c>
      <c r="B783" s="15" cm="1">
        <f t="array" ref="B783">_xll.GetPrice("FP-LBR-1308",,"Low",_SPECIFIEDvarPubDate,)</f>
        <v>330</v>
      </c>
      <c r="C783" s="1">
        <f t="shared" si="36"/>
        <v>45848</v>
      </c>
      <c r="D783">
        <f t="shared" si="37"/>
        <v>2025</v>
      </c>
      <c r="E783">
        <f t="shared" si="38"/>
        <v>7</v>
      </c>
      <c r="F783" s="13" t="s">
        <v>1564</v>
      </c>
      <c r="G783" s="13" t="s">
        <v>11</v>
      </c>
      <c r="H783" s="13" t="s">
        <v>2792</v>
      </c>
    </row>
    <row r="784" spans="1:8" x14ac:dyDescent="0.25">
      <c r="A784" t="s">
        <v>1565</v>
      </c>
      <c r="B784" s="15" cm="1">
        <f t="array" ref="B784">_xll.GetPrice("FP-LBR-1819",,"Low",_SPECIFIEDvarPubDate,)</f>
        <v>1485</v>
      </c>
      <c r="C784" s="1">
        <f t="shared" si="36"/>
        <v>45848</v>
      </c>
      <c r="D784">
        <f t="shared" si="37"/>
        <v>2025</v>
      </c>
      <c r="E784">
        <f t="shared" si="38"/>
        <v>7</v>
      </c>
      <c r="F784" s="13" t="s">
        <v>1566</v>
      </c>
      <c r="G784" s="13" t="s">
        <v>11</v>
      </c>
      <c r="H784" s="13" t="s">
        <v>2792</v>
      </c>
    </row>
    <row r="785" spans="1:8" x14ac:dyDescent="0.25">
      <c r="A785" t="s">
        <v>1567</v>
      </c>
      <c r="B785" s="15" cm="1">
        <f t="array" ref="B785">_xll.GetPrice("FP-LBR-1820",,"Low",_SPECIFIEDvarPubDate,)</f>
        <v>1535</v>
      </c>
      <c r="C785" s="1">
        <f t="shared" si="36"/>
        <v>45848</v>
      </c>
      <c r="D785">
        <f t="shared" si="37"/>
        <v>2025</v>
      </c>
      <c r="E785">
        <f t="shared" si="38"/>
        <v>7</v>
      </c>
      <c r="F785" s="13" t="s">
        <v>1568</v>
      </c>
      <c r="G785" s="13" t="s">
        <v>11</v>
      </c>
      <c r="H785" s="13" t="s">
        <v>2792</v>
      </c>
    </row>
    <row r="786" spans="1:8" x14ac:dyDescent="0.25">
      <c r="A786" t="s">
        <v>1569</v>
      </c>
      <c r="B786" s="15" cm="1">
        <f t="array" ref="B786">_xll.GetPrice("FP-LBR-1821",,"Low",_SPECIFIEDvarPubDate,)</f>
        <v>2285</v>
      </c>
      <c r="C786" s="1">
        <f t="shared" si="36"/>
        <v>45848</v>
      </c>
      <c r="D786">
        <f t="shared" si="37"/>
        <v>2025</v>
      </c>
      <c r="E786">
        <f t="shared" si="38"/>
        <v>7</v>
      </c>
      <c r="F786" s="13" t="s">
        <v>1570</v>
      </c>
      <c r="G786" s="13" t="s">
        <v>11</v>
      </c>
      <c r="H786" s="13" t="s">
        <v>2792</v>
      </c>
    </row>
    <row r="787" spans="1:8" x14ac:dyDescent="0.25">
      <c r="A787" t="s">
        <v>1571</v>
      </c>
      <c r="B787" s="15" cm="1">
        <f t="array" ref="B787">_xll.GetPrice("FP-LBR-1822",,"Low",_SPECIFIEDvarPubDate,)</f>
        <v>2350</v>
      </c>
      <c r="C787" s="1">
        <f t="shared" si="36"/>
        <v>45848</v>
      </c>
      <c r="D787">
        <f t="shared" si="37"/>
        <v>2025</v>
      </c>
      <c r="E787">
        <f t="shared" si="38"/>
        <v>7</v>
      </c>
      <c r="F787" s="13" t="s">
        <v>1572</v>
      </c>
      <c r="G787" s="13" t="s">
        <v>11</v>
      </c>
      <c r="H787" s="13" t="s">
        <v>2792</v>
      </c>
    </row>
    <row r="788" spans="1:8" x14ac:dyDescent="0.25">
      <c r="A788" t="s">
        <v>1573</v>
      </c>
      <c r="B788" s="15" cm="1">
        <f t="array" ref="B788">_xll.GetPrice("FP-LBR-1823",,"Low",_SPECIFIEDvarPubDate,)</f>
        <v>2625</v>
      </c>
      <c r="C788" s="1">
        <f t="shared" si="36"/>
        <v>45848</v>
      </c>
      <c r="D788">
        <f t="shared" si="37"/>
        <v>2025</v>
      </c>
      <c r="E788">
        <f t="shared" si="38"/>
        <v>7</v>
      </c>
      <c r="F788" s="13" t="s">
        <v>1574</v>
      </c>
      <c r="G788" s="13" t="s">
        <v>11</v>
      </c>
      <c r="H788" s="13" t="s">
        <v>2792</v>
      </c>
    </row>
    <row r="789" spans="1:8" x14ac:dyDescent="0.25">
      <c r="A789" t="s">
        <v>1575</v>
      </c>
      <c r="B789" s="15" cm="1">
        <f t="array" ref="B789">_xll.GetPrice("FP-LBR-0891",,"Low",_SPECIFIEDvarPubDate,)</f>
        <v>368</v>
      </c>
      <c r="C789" s="1">
        <f t="shared" si="36"/>
        <v>45848</v>
      </c>
      <c r="D789">
        <f t="shared" si="37"/>
        <v>2025</v>
      </c>
      <c r="E789">
        <f t="shared" si="38"/>
        <v>7</v>
      </c>
      <c r="F789" s="13" t="s">
        <v>1576</v>
      </c>
      <c r="G789" s="13" t="s">
        <v>11</v>
      </c>
      <c r="H789" s="13" t="s">
        <v>2792</v>
      </c>
    </row>
    <row r="790" spans="1:8" x14ac:dyDescent="0.25">
      <c r="A790" t="s">
        <v>1577</v>
      </c>
      <c r="B790" s="15" cm="1">
        <f t="array" ref="B790">_xll.GetPrice("FP-LBR-0892",,"Low",_SPECIFIEDvarPubDate,)</f>
        <v>409</v>
      </c>
      <c r="C790" s="1">
        <f t="shared" si="36"/>
        <v>45848</v>
      </c>
      <c r="D790">
        <f t="shared" si="37"/>
        <v>2025</v>
      </c>
      <c r="E790">
        <f t="shared" si="38"/>
        <v>7</v>
      </c>
      <c r="F790" s="13" t="s">
        <v>1578</v>
      </c>
      <c r="G790" s="13" t="s">
        <v>11</v>
      </c>
      <c r="H790" s="13" t="s">
        <v>2792</v>
      </c>
    </row>
    <row r="791" spans="1:8" x14ac:dyDescent="0.25">
      <c r="A791" t="s">
        <v>1579</v>
      </c>
      <c r="B791" s="15" cm="1">
        <f t="array" ref="B791">_xll.GetPrice("FP-LBR-0893",,"Low",_SPECIFIEDvarPubDate,)</f>
        <v>333</v>
      </c>
      <c r="C791" s="1">
        <f t="shared" si="36"/>
        <v>45848</v>
      </c>
      <c r="D791">
        <f t="shared" si="37"/>
        <v>2025</v>
      </c>
      <c r="E791">
        <f t="shared" si="38"/>
        <v>7</v>
      </c>
      <c r="F791" s="13" t="s">
        <v>1580</v>
      </c>
      <c r="G791" s="13" t="s">
        <v>11</v>
      </c>
      <c r="H791" s="13" t="s">
        <v>2792</v>
      </c>
    </row>
    <row r="792" spans="1:8" x14ac:dyDescent="0.25">
      <c r="A792" t="s">
        <v>1581</v>
      </c>
      <c r="B792" s="15" cm="1">
        <f t="array" ref="B792">_xll.GetPrice("FP-LBR-1334",,"Low",_SPECIFIEDvarPubDate,)</f>
        <v>115</v>
      </c>
      <c r="C792" s="1">
        <f t="shared" si="36"/>
        <v>45848</v>
      </c>
      <c r="D792">
        <f t="shared" si="37"/>
        <v>2025</v>
      </c>
      <c r="E792">
        <f t="shared" si="38"/>
        <v>7</v>
      </c>
      <c r="F792" s="13" t="s">
        <v>1582</v>
      </c>
      <c r="G792" s="13" t="s">
        <v>11</v>
      </c>
      <c r="H792" s="13" t="s">
        <v>2792</v>
      </c>
    </row>
    <row r="793" spans="1:8" x14ac:dyDescent="0.25">
      <c r="A793" t="s">
        <v>1583</v>
      </c>
      <c r="B793" s="15" cm="1">
        <f t="array" ref="B793">_xll.GetPrice("FP-LBR-1335",,"Low",_SPECIFIEDvarPubDate,)</f>
        <v>115</v>
      </c>
      <c r="C793" s="1">
        <f t="shared" si="36"/>
        <v>45848</v>
      </c>
      <c r="D793">
        <f t="shared" si="37"/>
        <v>2025</v>
      </c>
      <c r="E793">
        <f t="shared" si="38"/>
        <v>7</v>
      </c>
      <c r="F793" s="13" t="s">
        <v>1584</v>
      </c>
      <c r="G793" s="13" t="s">
        <v>11</v>
      </c>
      <c r="H793" s="13" t="s">
        <v>2792</v>
      </c>
    </row>
    <row r="794" spans="1:8" x14ac:dyDescent="0.25">
      <c r="A794" t="s">
        <v>1585</v>
      </c>
      <c r="B794" s="15" cm="1">
        <f t="array" ref="B794">_xll.GetPrice("FP-LBR-1336",,"Low",_SPECIFIEDvarPubDate,)</f>
        <v>145</v>
      </c>
      <c r="C794" s="1">
        <f t="shared" si="36"/>
        <v>45848</v>
      </c>
      <c r="D794">
        <f t="shared" si="37"/>
        <v>2025</v>
      </c>
      <c r="E794">
        <f t="shared" si="38"/>
        <v>7</v>
      </c>
      <c r="F794" s="13" t="s">
        <v>1586</v>
      </c>
      <c r="G794" s="13" t="s">
        <v>11</v>
      </c>
      <c r="H794" s="13" t="s">
        <v>2792</v>
      </c>
    </row>
    <row r="795" spans="1:8" x14ac:dyDescent="0.25">
      <c r="A795" t="s">
        <v>1587</v>
      </c>
      <c r="B795" s="15" cm="1">
        <f t="array" ref="B795">_xll.GetPrice("FP-LBR-1337",,"Low",_SPECIFIEDvarPubDate,)</f>
        <v>145</v>
      </c>
      <c r="C795" s="1">
        <f t="shared" si="36"/>
        <v>45848</v>
      </c>
      <c r="D795">
        <f t="shared" si="37"/>
        <v>2025</v>
      </c>
      <c r="E795">
        <f t="shared" si="38"/>
        <v>7</v>
      </c>
      <c r="F795" s="13" t="s">
        <v>1588</v>
      </c>
      <c r="G795" s="13" t="s">
        <v>11</v>
      </c>
      <c r="H795" s="13" t="s">
        <v>2792</v>
      </c>
    </row>
    <row r="796" spans="1:8" x14ac:dyDescent="0.25">
      <c r="A796" t="s">
        <v>1589</v>
      </c>
      <c r="B796" s="15" cm="1">
        <f t="array" ref="B796">_xll.GetPrice("FP-LBR-1315",,"Low",_SPECIFIEDvarPubDate,)</f>
        <v>145</v>
      </c>
      <c r="C796" s="1">
        <f t="shared" si="36"/>
        <v>45848</v>
      </c>
      <c r="D796">
        <f t="shared" si="37"/>
        <v>2025</v>
      </c>
      <c r="E796">
        <f t="shared" si="38"/>
        <v>7</v>
      </c>
      <c r="F796" s="13" t="s">
        <v>1590</v>
      </c>
      <c r="G796" s="13" t="s">
        <v>11</v>
      </c>
      <c r="H796" s="13" t="s">
        <v>2792</v>
      </c>
    </row>
    <row r="797" spans="1:8" x14ac:dyDescent="0.25">
      <c r="A797" t="s">
        <v>1591</v>
      </c>
      <c r="B797" s="15" cm="1">
        <f t="array" ref="B797">_xll.GetPrice("FP-LBR-1824",,"Low",_SPECIFIEDvarPubDate,)</f>
        <v>1390</v>
      </c>
      <c r="C797" s="1">
        <f t="shared" si="36"/>
        <v>45848</v>
      </c>
      <c r="D797">
        <f t="shared" si="37"/>
        <v>2025</v>
      </c>
      <c r="E797">
        <f t="shared" si="38"/>
        <v>7</v>
      </c>
      <c r="F797" s="13" t="s">
        <v>232</v>
      </c>
      <c r="G797" s="13" t="s">
        <v>11</v>
      </c>
      <c r="H797" s="13" t="s">
        <v>2792</v>
      </c>
    </row>
    <row r="798" spans="1:8" x14ac:dyDescent="0.25">
      <c r="A798" t="s">
        <v>1592</v>
      </c>
      <c r="B798" s="15" cm="1">
        <f t="array" ref="B798">_xll.GetPrice("FP-LBR-1825",,"Low",_SPECIFIEDvarPubDate,)</f>
        <v>1435</v>
      </c>
      <c r="C798" s="1">
        <f t="shared" si="36"/>
        <v>45848</v>
      </c>
      <c r="D798">
        <f t="shared" si="37"/>
        <v>2025</v>
      </c>
      <c r="E798">
        <f t="shared" si="38"/>
        <v>7</v>
      </c>
      <c r="F798" s="13" t="s">
        <v>234</v>
      </c>
      <c r="G798" s="13" t="s">
        <v>11</v>
      </c>
      <c r="H798" s="13" t="s">
        <v>2792</v>
      </c>
    </row>
    <row r="799" spans="1:8" x14ac:dyDescent="0.25">
      <c r="A799" t="s">
        <v>1593</v>
      </c>
      <c r="B799" s="15" cm="1">
        <f t="array" ref="B799">_xll.GetPrice("FP-LBR-1826",,"Low",_SPECIFIEDvarPubDate,)</f>
        <v>2165</v>
      </c>
      <c r="C799" s="1">
        <f t="shared" si="36"/>
        <v>45848</v>
      </c>
      <c r="D799">
        <f t="shared" si="37"/>
        <v>2025</v>
      </c>
      <c r="E799">
        <f t="shared" si="38"/>
        <v>7</v>
      </c>
      <c r="F799" s="13" t="s">
        <v>236</v>
      </c>
      <c r="G799" s="13" t="s">
        <v>11</v>
      </c>
      <c r="H799" s="13" t="s">
        <v>2792</v>
      </c>
    </row>
    <row r="800" spans="1:8" x14ac:dyDescent="0.25">
      <c r="A800" t="s">
        <v>1594</v>
      </c>
      <c r="B800" s="15" cm="1">
        <f t="array" ref="B800">_xll.GetPrice("FP-LBR-1827",,"Low",_SPECIFIEDvarPubDate,)</f>
        <v>2175</v>
      </c>
      <c r="C800" s="1">
        <f t="shared" si="36"/>
        <v>45848</v>
      </c>
      <c r="D800">
        <f t="shared" si="37"/>
        <v>2025</v>
      </c>
      <c r="E800">
        <f t="shared" si="38"/>
        <v>7</v>
      </c>
      <c r="F800" s="13" t="s">
        <v>238</v>
      </c>
      <c r="G800" s="13" t="s">
        <v>11</v>
      </c>
      <c r="H800" s="13" t="s">
        <v>2792</v>
      </c>
    </row>
    <row r="801" spans="1:8" x14ac:dyDescent="0.25">
      <c r="A801" t="s">
        <v>1595</v>
      </c>
      <c r="B801" s="15" cm="1">
        <f t="array" ref="B801">_xll.GetPrice("FP-LBR-1828",,"Low",_SPECIFIEDvarPubDate,)</f>
        <v>2410</v>
      </c>
      <c r="C801" s="1">
        <f t="shared" si="36"/>
        <v>45848</v>
      </c>
      <c r="D801">
        <f t="shared" si="37"/>
        <v>2025</v>
      </c>
      <c r="E801">
        <f t="shared" si="38"/>
        <v>7</v>
      </c>
      <c r="F801" s="13" t="s">
        <v>240</v>
      </c>
      <c r="G801" s="13" t="s">
        <v>11</v>
      </c>
      <c r="H801" s="13" t="s">
        <v>2792</v>
      </c>
    </row>
    <row r="802" spans="1:8" x14ac:dyDescent="0.25">
      <c r="A802" t="s">
        <v>1596</v>
      </c>
      <c r="B802" s="15" cm="1">
        <f t="array" ref="B802">_xll.GetPrice("FP-LBR-2204",,"Low",_SPECIFIEDvarPubDate,)</f>
        <v>2655</v>
      </c>
      <c r="C802" s="1">
        <f t="shared" si="36"/>
        <v>45848</v>
      </c>
      <c r="D802">
        <f t="shared" si="37"/>
        <v>2025</v>
      </c>
      <c r="E802">
        <f t="shared" si="38"/>
        <v>7</v>
      </c>
      <c r="F802" s="13" t="s">
        <v>1597</v>
      </c>
      <c r="G802" s="13" t="s">
        <v>11</v>
      </c>
      <c r="H802" s="13" t="s">
        <v>2792</v>
      </c>
    </row>
    <row r="803" spans="1:8" x14ac:dyDescent="0.25">
      <c r="A803" t="s">
        <v>1598</v>
      </c>
      <c r="B803" s="15" cm="1">
        <f t="array" ref="B803">_xll.GetPrice("FP-LBR-2205",,"Low",_SPECIFIEDvarPubDate,)</f>
        <v>2715</v>
      </c>
      <c r="C803" s="1">
        <f t="shared" si="36"/>
        <v>45848</v>
      </c>
      <c r="D803">
        <f t="shared" si="37"/>
        <v>2025</v>
      </c>
      <c r="E803">
        <f t="shared" si="38"/>
        <v>7</v>
      </c>
      <c r="F803" s="13" t="s">
        <v>1599</v>
      </c>
      <c r="G803" s="13" t="s">
        <v>11</v>
      </c>
      <c r="H803" s="13" t="s">
        <v>2792</v>
      </c>
    </row>
    <row r="804" spans="1:8" x14ac:dyDescent="0.25">
      <c r="A804" t="s">
        <v>1600</v>
      </c>
      <c r="B804" s="15" cm="1">
        <f t="array" ref="B804">_xll.GetPrice("FP-LBR-2211",,"Low",_SPECIFIEDvarPubDate,)</f>
        <v>860</v>
      </c>
      <c r="C804" s="1">
        <f t="shared" si="36"/>
        <v>45848</v>
      </c>
      <c r="D804">
        <f t="shared" si="37"/>
        <v>2025</v>
      </c>
      <c r="E804">
        <f t="shared" si="38"/>
        <v>7</v>
      </c>
      <c r="F804" s="13" t="s">
        <v>1601</v>
      </c>
      <c r="G804" s="13" t="s">
        <v>11</v>
      </c>
      <c r="H804" s="13" t="s">
        <v>2792</v>
      </c>
    </row>
    <row r="805" spans="1:8" x14ac:dyDescent="0.25">
      <c r="A805" t="s">
        <v>1602</v>
      </c>
      <c r="B805" s="15" cm="1">
        <f t="array" ref="B805">_xll.GetPrice("FP-LBR-2213",,"Low",_SPECIFIEDvarPubDate,)</f>
        <v>830</v>
      </c>
      <c r="C805" s="1">
        <f t="shared" si="36"/>
        <v>45848</v>
      </c>
      <c r="D805">
        <f t="shared" si="37"/>
        <v>2025</v>
      </c>
      <c r="E805">
        <f t="shared" si="38"/>
        <v>7</v>
      </c>
      <c r="F805" s="13" t="s">
        <v>1603</v>
      </c>
      <c r="G805" s="13" t="s">
        <v>11</v>
      </c>
      <c r="H805" s="13" t="s">
        <v>2792</v>
      </c>
    </row>
    <row r="806" spans="1:8" x14ac:dyDescent="0.25">
      <c r="A806" t="s">
        <v>1604</v>
      </c>
      <c r="B806" s="15" cm="1">
        <f t="array" ref="B806">_xll.GetPrice("FP-LBR-2216",,"Low",_SPECIFIEDvarPubDate,)</f>
        <v>1280</v>
      </c>
      <c r="C806" s="1">
        <f t="shared" si="36"/>
        <v>45848</v>
      </c>
      <c r="D806">
        <f t="shared" si="37"/>
        <v>2025</v>
      </c>
      <c r="E806">
        <f t="shared" si="38"/>
        <v>7</v>
      </c>
      <c r="F806" s="13" t="s">
        <v>1605</v>
      </c>
      <c r="G806" s="13" t="s">
        <v>11</v>
      </c>
      <c r="H806" s="13" t="s">
        <v>2792</v>
      </c>
    </row>
    <row r="807" spans="1:8" x14ac:dyDescent="0.25">
      <c r="A807" t="s">
        <v>1606</v>
      </c>
      <c r="B807" s="15" cm="1">
        <f t="array" ref="B807">_xll.GetPrice("FP-LBR-2218",,"Low",_SPECIFIEDvarPubDate,)</f>
        <v>1290</v>
      </c>
      <c r="C807" s="1">
        <f t="shared" si="36"/>
        <v>45848</v>
      </c>
      <c r="D807">
        <f t="shared" si="37"/>
        <v>2025</v>
      </c>
      <c r="E807">
        <f t="shared" si="38"/>
        <v>7</v>
      </c>
      <c r="F807" s="13" t="s">
        <v>1607</v>
      </c>
      <c r="G807" s="13" t="s">
        <v>11</v>
      </c>
      <c r="H807" s="13" t="s">
        <v>2792</v>
      </c>
    </row>
    <row r="808" spans="1:8" x14ac:dyDescent="0.25">
      <c r="A808" t="s">
        <v>1608</v>
      </c>
      <c r="B808" s="15" cm="1">
        <f t="array" ref="B808">_xll.GetPrice("FP-LBR-0904",,"Low",_SPECIFIEDvarPubDate,)</f>
        <v>10</v>
      </c>
      <c r="C808" s="1">
        <f t="shared" si="36"/>
        <v>45848</v>
      </c>
      <c r="D808">
        <f t="shared" si="37"/>
        <v>2025</v>
      </c>
      <c r="E808">
        <f t="shared" si="38"/>
        <v>7</v>
      </c>
      <c r="F808" s="13" t="s">
        <v>1609</v>
      </c>
      <c r="G808" s="13" t="s">
        <v>11</v>
      </c>
      <c r="H808" s="13" t="s">
        <v>2792</v>
      </c>
    </row>
    <row r="809" spans="1:8" x14ac:dyDescent="0.25">
      <c r="A809" t="s">
        <v>1610</v>
      </c>
      <c r="B809" s="15" cm="1">
        <f t="array" ref="B809">_xll.GetPrice("FP-LBR-0894",,"Low",_SPECIFIEDvarPubDate,)</f>
        <v>147</v>
      </c>
      <c r="C809" s="1">
        <f t="shared" si="36"/>
        <v>45848</v>
      </c>
      <c r="D809">
        <f t="shared" si="37"/>
        <v>2025</v>
      </c>
      <c r="E809">
        <f t="shared" si="38"/>
        <v>7</v>
      </c>
      <c r="F809" s="13" t="s">
        <v>1611</v>
      </c>
      <c r="G809" s="13" t="s">
        <v>11</v>
      </c>
      <c r="H809" s="13" t="s">
        <v>2792</v>
      </c>
    </row>
    <row r="810" spans="1:8" x14ac:dyDescent="0.25">
      <c r="A810" t="s">
        <v>1612</v>
      </c>
      <c r="B810" s="15" cm="1">
        <f t="array" ref="B810">_xll.GetPrice("FP-LBR-0895",,"Low",_SPECIFIEDvarPubDate,)</f>
        <v>162</v>
      </c>
      <c r="C810" s="1">
        <f t="shared" si="36"/>
        <v>45848</v>
      </c>
      <c r="D810">
        <f t="shared" si="37"/>
        <v>2025</v>
      </c>
      <c r="E810">
        <f t="shared" si="38"/>
        <v>7</v>
      </c>
      <c r="F810" s="13" t="s">
        <v>1613</v>
      </c>
      <c r="G810" s="13" t="s">
        <v>11</v>
      </c>
      <c r="H810" s="13" t="s">
        <v>2792</v>
      </c>
    </row>
    <row r="811" spans="1:8" x14ac:dyDescent="0.25">
      <c r="A811" t="s">
        <v>1614</v>
      </c>
      <c r="B811" s="15" cm="1">
        <f t="array" ref="B811">_xll.GetPrice("FP-LBR-0898",,"Low",_SPECIFIEDvarPubDate,)</f>
        <v>425</v>
      </c>
      <c r="C811" s="1">
        <f t="shared" si="36"/>
        <v>45848</v>
      </c>
      <c r="D811">
        <f t="shared" si="37"/>
        <v>2025</v>
      </c>
      <c r="E811">
        <f t="shared" si="38"/>
        <v>7</v>
      </c>
      <c r="F811" s="13" t="s">
        <v>1615</v>
      </c>
      <c r="G811" s="13" t="s">
        <v>11</v>
      </c>
      <c r="H811" s="13" t="s">
        <v>2792</v>
      </c>
    </row>
    <row r="812" spans="1:8" x14ac:dyDescent="0.25">
      <c r="A812" t="s">
        <v>1616</v>
      </c>
      <c r="B812" s="15" cm="1">
        <f t="array" ref="B812">_xll.GetPrice("FP-LBR-2206",,"Low",_SPECIFIEDvarPubDate,)</f>
        <v>2380</v>
      </c>
      <c r="C812" s="1">
        <f t="shared" si="36"/>
        <v>45848</v>
      </c>
      <c r="D812">
        <f t="shared" si="37"/>
        <v>2025</v>
      </c>
      <c r="E812">
        <f t="shared" si="38"/>
        <v>7</v>
      </c>
      <c r="F812" s="13" t="s">
        <v>1617</v>
      </c>
      <c r="G812" s="13" t="s">
        <v>11</v>
      </c>
      <c r="H812" s="13" t="s">
        <v>2792</v>
      </c>
    </row>
    <row r="813" spans="1:8" x14ac:dyDescent="0.25">
      <c r="A813" t="s">
        <v>1618</v>
      </c>
      <c r="B813" s="15" cm="1">
        <f t="array" ref="B813">_xll.GetPrice("FP-LBR-2207",,"Low",_SPECIFIEDvarPubDate,)</f>
        <v>2510</v>
      </c>
      <c r="C813" s="1">
        <f t="shared" si="36"/>
        <v>45848</v>
      </c>
      <c r="D813">
        <f t="shared" si="37"/>
        <v>2025</v>
      </c>
      <c r="E813">
        <f t="shared" si="38"/>
        <v>7</v>
      </c>
      <c r="F813" s="13" t="s">
        <v>1619</v>
      </c>
      <c r="G813" s="13" t="s">
        <v>11</v>
      </c>
      <c r="H813" s="13" t="s">
        <v>2792</v>
      </c>
    </row>
    <row r="814" spans="1:8" x14ac:dyDescent="0.25">
      <c r="A814" t="s">
        <v>1620</v>
      </c>
      <c r="B814" s="15" cm="1">
        <f t="array" ref="B814">_xll.GetPrice("FP-LBR-2214",,"Low",_SPECIFIEDvarPubDate,)</f>
        <v>735</v>
      </c>
      <c r="C814" s="1">
        <f t="shared" si="36"/>
        <v>45848</v>
      </c>
      <c r="D814">
        <f t="shared" si="37"/>
        <v>2025</v>
      </c>
      <c r="E814">
        <f t="shared" si="38"/>
        <v>7</v>
      </c>
      <c r="F814" s="13" t="s">
        <v>1621</v>
      </c>
      <c r="G814" s="13" t="s">
        <v>11</v>
      </c>
      <c r="H814" s="13" t="s">
        <v>2792</v>
      </c>
    </row>
    <row r="815" spans="1:8" x14ac:dyDescent="0.25">
      <c r="A815" t="s">
        <v>1622</v>
      </c>
      <c r="B815" s="15" cm="1">
        <f t="array" ref="B815">_xll.GetPrice("FP-LBR-2219",,"Low",_SPECIFIEDvarPubDate,)</f>
        <v>1185</v>
      </c>
      <c r="C815" s="1">
        <f t="shared" si="36"/>
        <v>45848</v>
      </c>
      <c r="D815">
        <f t="shared" si="37"/>
        <v>2025</v>
      </c>
      <c r="E815">
        <f t="shared" si="38"/>
        <v>7</v>
      </c>
      <c r="F815" s="13" t="s">
        <v>1623</v>
      </c>
      <c r="G815" s="13" t="s">
        <v>11</v>
      </c>
      <c r="H815" s="13" t="s">
        <v>2792</v>
      </c>
    </row>
    <row r="816" spans="1:8" x14ac:dyDescent="0.25">
      <c r="A816" t="s">
        <v>1624</v>
      </c>
      <c r="B816" s="15" cm="1">
        <f t="array" ref="B816">_xll.GetPrice("FP-LBR-0904",,"High",_SPECIFIEDvarPubDate,)</f>
        <v>25</v>
      </c>
      <c r="C816" s="1">
        <f t="shared" si="36"/>
        <v>45848</v>
      </c>
      <c r="D816">
        <f t="shared" si="37"/>
        <v>2025</v>
      </c>
      <c r="E816">
        <f t="shared" si="38"/>
        <v>7</v>
      </c>
      <c r="F816" s="13" t="s">
        <v>1609</v>
      </c>
      <c r="G816" s="13" t="s">
        <v>112</v>
      </c>
      <c r="H816" s="13" t="s">
        <v>2792</v>
      </c>
    </row>
    <row r="817" spans="1:8" x14ac:dyDescent="0.25">
      <c r="A817" t="s">
        <v>1625</v>
      </c>
      <c r="B817" s="15" cm="1">
        <f t="array" ref="B817">_xll.GetPrice("FP-LBR-2212",,"Low",_SPECIFIEDvarPubDate,)</f>
        <v>800</v>
      </c>
      <c r="C817" s="1">
        <f t="shared" si="36"/>
        <v>45848</v>
      </c>
      <c r="D817">
        <f t="shared" si="37"/>
        <v>2025</v>
      </c>
      <c r="E817">
        <f t="shared" si="38"/>
        <v>7</v>
      </c>
      <c r="F817" s="13" t="s">
        <v>1626</v>
      </c>
      <c r="G817" s="13" t="s">
        <v>11</v>
      </c>
      <c r="H817" s="13" t="s">
        <v>2792</v>
      </c>
    </row>
    <row r="818" spans="1:8" x14ac:dyDescent="0.25">
      <c r="A818" t="s">
        <v>1627</v>
      </c>
      <c r="B818" s="15" cm="1">
        <f t="array" ref="B818">_xll.GetPrice("FP-LBR-2215",,"Low",_SPECIFIEDvarPubDate,)</f>
        <v>730</v>
      </c>
      <c r="C818" s="1">
        <f t="shared" si="36"/>
        <v>45848</v>
      </c>
      <c r="D818">
        <f t="shared" si="37"/>
        <v>2025</v>
      </c>
      <c r="E818">
        <f t="shared" si="38"/>
        <v>7</v>
      </c>
      <c r="F818" s="13" t="s">
        <v>1628</v>
      </c>
      <c r="G818" s="13" t="s">
        <v>11</v>
      </c>
      <c r="H818" s="13" t="s">
        <v>2792</v>
      </c>
    </row>
    <row r="819" spans="1:8" x14ac:dyDescent="0.25">
      <c r="A819" t="s">
        <v>1629</v>
      </c>
      <c r="B819" s="15" cm="1">
        <f t="array" ref="B819">_xll.GetPrice("FP-LBR-2217",,"Low",_SPECIFIEDvarPubDate,)</f>
        <v>1230</v>
      </c>
      <c r="C819" s="1">
        <f t="shared" si="36"/>
        <v>45848</v>
      </c>
      <c r="D819">
        <f t="shared" si="37"/>
        <v>2025</v>
      </c>
      <c r="E819">
        <f t="shared" si="38"/>
        <v>7</v>
      </c>
      <c r="F819" s="13" t="s">
        <v>1630</v>
      </c>
      <c r="G819" s="13" t="s">
        <v>11</v>
      </c>
      <c r="H819" s="13" t="s">
        <v>2792</v>
      </c>
    </row>
    <row r="820" spans="1:8" x14ac:dyDescent="0.25">
      <c r="A820" t="s">
        <v>1631</v>
      </c>
      <c r="B820" s="15" cm="1">
        <f t="array" ref="B820">_xll.GetPrice("FP-LBR-2220",,"Low",_SPECIFIEDvarPubDate,)</f>
        <v>1085</v>
      </c>
      <c r="C820" s="1">
        <f t="shared" si="36"/>
        <v>45848</v>
      </c>
      <c r="D820">
        <f t="shared" si="37"/>
        <v>2025</v>
      </c>
      <c r="E820">
        <f t="shared" si="38"/>
        <v>7</v>
      </c>
      <c r="F820" s="13" t="s">
        <v>1632</v>
      </c>
      <c r="G820" s="13" t="s">
        <v>11</v>
      </c>
      <c r="H820" s="13" t="s">
        <v>2792</v>
      </c>
    </row>
    <row r="821" spans="1:8" x14ac:dyDescent="0.25">
      <c r="A821" t="s">
        <v>1633</v>
      </c>
      <c r="B821" s="15" cm="1">
        <f t="array" ref="B821">_xll.GetPrice("FP-LBR-2186",,"Low",_SPECIFIEDvarPubDate,)</f>
        <v>2435</v>
      </c>
      <c r="C821" s="1">
        <f t="shared" si="36"/>
        <v>45848</v>
      </c>
      <c r="D821">
        <f t="shared" si="37"/>
        <v>2025</v>
      </c>
      <c r="E821">
        <f t="shared" si="38"/>
        <v>7</v>
      </c>
      <c r="F821" s="13" t="s">
        <v>1634</v>
      </c>
      <c r="G821" s="13" t="s">
        <v>11</v>
      </c>
      <c r="H821" s="13" t="s">
        <v>2792</v>
      </c>
    </row>
    <row r="822" spans="1:8" x14ac:dyDescent="0.25">
      <c r="A822" t="s">
        <v>1635</v>
      </c>
      <c r="B822" s="15" cm="1">
        <f t="array" ref="B822">_xll.GetPrice("FP-LBR-2187",,"Low",_SPECIFIEDvarPubDate,)</f>
        <v>2330</v>
      </c>
      <c r="C822" s="1">
        <f t="shared" si="36"/>
        <v>45848</v>
      </c>
      <c r="D822">
        <f t="shared" si="37"/>
        <v>2025</v>
      </c>
      <c r="E822">
        <f t="shared" si="38"/>
        <v>7</v>
      </c>
      <c r="F822" s="13" t="s">
        <v>1636</v>
      </c>
      <c r="G822" s="13" t="s">
        <v>11</v>
      </c>
      <c r="H822" s="13" t="s">
        <v>2792</v>
      </c>
    </row>
    <row r="823" spans="1:8" x14ac:dyDescent="0.25">
      <c r="A823" t="s">
        <v>1637</v>
      </c>
      <c r="B823" s="15" cm="1">
        <f t="array" ref="B823">_xll.GetPrice("FP-LBR-2188",,"Low",_SPECIFIEDvarPubDate,)</f>
        <v>2365</v>
      </c>
      <c r="C823" s="1">
        <f t="shared" si="36"/>
        <v>45848</v>
      </c>
      <c r="D823">
        <f t="shared" si="37"/>
        <v>2025</v>
      </c>
      <c r="E823">
        <f t="shared" si="38"/>
        <v>7</v>
      </c>
      <c r="F823" s="13" t="s">
        <v>1638</v>
      </c>
      <c r="G823" s="13" t="s">
        <v>11</v>
      </c>
      <c r="H823" s="13" t="s">
        <v>2792</v>
      </c>
    </row>
    <row r="824" spans="1:8" x14ac:dyDescent="0.25">
      <c r="A824" t="s">
        <v>1639</v>
      </c>
      <c r="B824" s="15" cm="1">
        <f t="array" ref="B824">_xll.GetPrice("FP-LBR-2189",,"Low",_SPECIFIEDvarPubDate,)</f>
        <v>2595</v>
      </c>
      <c r="C824" s="1">
        <f t="shared" si="36"/>
        <v>45848</v>
      </c>
      <c r="D824">
        <f t="shared" si="37"/>
        <v>2025</v>
      </c>
      <c r="E824">
        <f t="shared" si="38"/>
        <v>7</v>
      </c>
      <c r="F824" s="13" t="s">
        <v>1640</v>
      </c>
      <c r="G824" s="13" t="s">
        <v>11</v>
      </c>
      <c r="H824" s="13" t="s">
        <v>2792</v>
      </c>
    </row>
    <row r="825" spans="1:8" x14ac:dyDescent="0.25">
      <c r="A825" t="s">
        <v>1641</v>
      </c>
      <c r="B825" s="15" cm="1">
        <f t="array" ref="B825">_xll.GetPrice("FP-LBR-2190",,"Low",_SPECIFIEDvarPubDate,)</f>
        <v>3055</v>
      </c>
      <c r="C825" s="1">
        <f t="shared" si="36"/>
        <v>45848</v>
      </c>
      <c r="D825">
        <f t="shared" si="37"/>
        <v>2025</v>
      </c>
      <c r="E825">
        <f t="shared" si="38"/>
        <v>7</v>
      </c>
      <c r="F825" s="13" t="s">
        <v>1642</v>
      </c>
      <c r="G825" s="13" t="s">
        <v>11</v>
      </c>
      <c r="H825" s="13" t="s">
        <v>2792</v>
      </c>
    </row>
    <row r="826" spans="1:8" x14ac:dyDescent="0.25">
      <c r="A826" t="s">
        <v>1643</v>
      </c>
      <c r="B826" s="15" cm="1">
        <f t="array" ref="B826">_xll.GetPrice("FP-LBR-2191",,"Low",_SPECIFIEDvarPubDate,)</f>
        <v>3085</v>
      </c>
      <c r="C826" s="1">
        <f t="shared" si="36"/>
        <v>45848</v>
      </c>
      <c r="D826">
        <f t="shared" si="37"/>
        <v>2025</v>
      </c>
      <c r="E826">
        <f t="shared" si="38"/>
        <v>7</v>
      </c>
      <c r="F826" s="13" t="s">
        <v>1644</v>
      </c>
      <c r="G826" s="13" t="s">
        <v>11</v>
      </c>
      <c r="H826" s="13" t="s">
        <v>2792</v>
      </c>
    </row>
    <row r="827" spans="1:8" x14ac:dyDescent="0.25">
      <c r="A827" t="s">
        <v>1645</v>
      </c>
      <c r="B827" s="15" cm="1">
        <f t="array" ref="B827">_xll.GetPrice("FP-LBR-0896",,"Low",_SPECIFIEDvarPubDate,)</f>
        <v>439</v>
      </c>
      <c r="C827" s="1">
        <f t="shared" si="36"/>
        <v>45848</v>
      </c>
      <c r="D827">
        <f t="shared" si="37"/>
        <v>2025</v>
      </c>
      <c r="E827">
        <f t="shared" si="38"/>
        <v>7</v>
      </c>
      <c r="F827" s="13" t="s">
        <v>1646</v>
      </c>
      <c r="G827" s="13" t="s">
        <v>11</v>
      </c>
      <c r="H827" s="13" t="s">
        <v>2792</v>
      </c>
    </row>
    <row r="828" spans="1:8" x14ac:dyDescent="0.25">
      <c r="A828" t="s">
        <v>1647</v>
      </c>
      <c r="B828" s="15" cm="1">
        <f t="array" ref="B828">_xll.GetPrice("FP-LBR-0897",,"Low",_SPECIFIEDvarPubDate,)</f>
        <v>483</v>
      </c>
      <c r="C828" s="1">
        <f t="shared" si="36"/>
        <v>45848</v>
      </c>
      <c r="D828">
        <f t="shared" si="37"/>
        <v>2025</v>
      </c>
      <c r="E828">
        <f t="shared" si="38"/>
        <v>7</v>
      </c>
      <c r="F828" s="13" t="s">
        <v>1648</v>
      </c>
      <c r="G828" s="13" t="s">
        <v>11</v>
      </c>
      <c r="H828" s="13" t="s">
        <v>2792</v>
      </c>
    </row>
    <row r="829" spans="1:8" x14ac:dyDescent="0.25">
      <c r="A829" t="s">
        <v>1649</v>
      </c>
      <c r="B829" s="15" cm="1">
        <f t="array" ref="B829">_xll.GetPrice("FP-LBR-2192",,"Low",_SPECIFIEDvarPubDate,)</f>
        <v>2490</v>
      </c>
      <c r="C829" s="1">
        <f t="shared" si="36"/>
        <v>45848</v>
      </c>
      <c r="D829">
        <f t="shared" si="37"/>
        <v>2025</v>
      </c>
      <c r="E829">
        <f t="shared" si="38"/>
        <v>7</v>
      </c>
      <c r="F829" s="13" t="s">
        <v>1650</v>
      </c>
      <c r="G829" s="13" t="s">
        <v>11</v>
      </c>
      <c r="H829" s="13" t="s">
        <v>2792</v>
      </c>
    </row>
    <row r="830" spans="1:8" x14ac:dyDescent="0.25">
      <c r="A830" t="s">
        <v>1651</v>
      </c>
      <c r="B830" s="15" cm="1">
        <f t="array" ref="B830">_xll.GetPrice("FP-LBR-1414",,"Low",_SPECIFIEDvarPubDate,)</f>
        <v>2140</v>
      </c>
      <c r="C830" s="1">
        <f t="shared" si="36"/>
        <v>45848</v>
      </c>
      <c r="D830">
        <f t="shared" si="37"/>
        <v>2025</v>
      </c>
      <c r="E830">
        <f t="shared" si="38"/>
        <v>7</v>
      </c>
      <c r="F830" s="13" t="s">
        <v>1652</v>
      </c>
      <c r="G830" s="13" t="s">
        <v>11</v>
      </c>
      <c r="H830" s="13" t="s">
        <v>2792</v>
      </c>
    </row>
    <row r="831" spans="1:8" x14ac:dyDescent="0.25">
      <c r="A831" t="s">
        <v>1653</v>
      </c>
      <c r="B831" s="15" cm="1">
        <f t="array" ref="B831">_xll.GetPrice("FP-LBR-1221",,"Low",_SPECIFIEDvarPubDate,)</f>
        <v>590</v>
      </c>
      <c r="C831" s="1">
        <f t="shared" si="36"/>
        <v>45848</v>
      </c>
      <c r="D831">
        <f t="shared" si="37"/>
        <v>2025</v>
      </c>
      <c r="E831">
        <f t="shared" si="38"/>
        <v>7</v>
      </c>
      <c r="F831" s="13" t="s">
        <v>1654</v>
      </c>
      <c r="G831" s="13" t="s">
        <v>11</v>
      </c>
      <c r="H831" s="13" t="s">
        <v>2792</v>
      </c>
    </row>
    <row r="832" spans="1:8" x14ac:dyDescent="0.25">
      <c r="A832" t="s">
        <v>1655</v>
      </c>
      <c r="B832" s="15" cm="1">
        <f t="array" ref="B832">_xll.GetPrice("FP-LBR-1228",,"Low",_SPECIFIEDvarPubDate,)</f>
        <v>455</v>
      </c>
      <c r="C832" s="1">
        <f t="shared" si="36"/>
        <v>45848</v>
      </c>
      <c r="D832">
        <f t="shared" si="37"/>
        <v>2025</v>
      </c>
      <c r="E832">
        <f t="shared" si="38"/>
        <v>7</v>
      </c>
      <c r="F832" s="13" t="s">
        <v>1656</v>
      </c>
      <c r="G832" s="13" t="s">
        <v>11</v>
      </c>
      <c r="H832" s="13" t="s">
        <v>2792</v>
      </c>
    </row>
    <row r="833" spans="1:8" x14ac:dyDescent="0.25">
      <c r="A833" t="s">
        <v>1657</v>
      </c>
      <c r="B833" s="15" cm="1">
        <f t="array" ref="B833">_xll.GetPrice("FP-LBR-1229",,"Low",_SPECIFIEDvarPubDate,)</f>
        <v>425</v>
      </c>
      <c r="C833" s="1">
        <f t="shared" ref="C833:C896" si="39">_SPECIFIEDvarPubDate</f>
        <v>45848</v>
      </c>
      <c r="D833">
        <f t="shared" ref="D833:D896" si="40">_SPECIFIEDvarYear</f>
        <v>2025</v>
      </c>
      <c r="E833">
        <f t="shared" ref="E833:E896" si="41">_SPECIFIEDvarMonth</f>
        <v>7</v>
      </c>
      <c r="F833" s="13" t="s">
        <v>1658</v>
      </c>
      <c r="G833" s="13" t="s">
        <v>11</v>
      </c>
      <c r="H833" s="13" t="s">
        <v>2792</v>
      </c>
    </row>
    <row r="834" spans="1:8" x14ac:dyDescent="0.25">
      <c r="A834" t="s">
        <v>1659</v>
      </c>
      <c r="B834" s="15" cm="1">
        <f t="array" ref="B834">_xll.GetPrice("FP-LBR-2208",,"Low",_SPECIFIEDvarPubDate,)</f>
        <v>1995</v>
      </c>
      <c r="C834" s="1">
        <f t="shared" si="39"/>
        <v>45848</v>
      </c>
      <c r="D834">
        <f t="shared" si="40"/>
        <v>2025</v>
      </c>
      <c r="E834">
        <f t="shared" si="41"/>
        <v>7</v>
      </c>
      <c r="F834" s="13" t="s">
        <v>1660</v>
      </c>
      <c r="G834" s="13" t="s">
        <v>11</v>
      </c>
      <c r="H834" s="13" t="s">
        <v>2792</v>
      </c>
    </row>
    <row r="835" spans="1:8" x14ac:dyDescent="0.25">
      <c r="A835" t="s">
        <v>1661</v>
      </c>
      <c r="B835" s="15" cm="1">
        <f t="array" ref="B835">_xll.GetPrice("FP-LBR-0936",,"Low",_SPECIFIEDvarPubDate,)</f>
        <v>1985</v>
      </c>
      <c r="C835" s="1">
        <f t="shared" si="39"/>
        <v>45848</v>
      </c>
      <c r="D835">
        <f t="shared" si="40"/>
        <v>2025</v>
      </c>
      <c r="E835">
        <f t="shared" si="41"/>
        <v>7</v>
      </c>
      <c r="F835" s="13" t="s">
        <v>1662</v>
      </c>
      <c r="G835" s="13" t="s">
        <v>11</v>
      </c>
      <c r="H835" s="13" t="s">
        <v>2792</v>
      </c>
    </row>
    <row r="836" spans="1:8" x14ac:dyDescent="0.25">
      <c r="A836" t="s">
        <v>1663</v>
      </c>
      <c r="B836" s="15" cm="1">
        <f t="array" ref="B836">_xll.GetPrice("FP-LBR-0937",,"Low",_SPECIFIEDvarPubDate,)</f>
        <v>2045</v>
      </c>
      <c r="C836" s="1">
        <f t="shared" si="39"/>
        <v>45848</v>
      </c>
      <c r="D836">
        <f t="shared" si="40"/>
        <v>2025</v>
      </c>
      <c r="E836">
        <f t="shared" si="41"/>
        <v>7</v>
      </c>
      <c r="F836" s="13" t="s">
        <v>1664</v>
      </c>
      <c r="G836" s="13" t="s">
        <v>11</v>
      </c>
      <c r="H836" s="13" t="s">
        <v>2792</v>
      </c>
    </row>
    <row r="837" spans="1:8" x14ac:dyDescent="0.25">
      <c r="A837" t="s">
        <v>1665</v>
      </c>
      <c r="B837" s="15" cm="1">
        <f t="array" ref="B837">_xll.GetPrice("FP-LBR-2065",,"Low",_SPECIFIEDvarPubDate,)</f>
        <v>390</v>
      </c>
      <c r="C837" s="1">
        <f t="shared" si="39"/>
        <v>45848</v>
      </c>
      <c r="D837">
        <f t="shared" si="40"/>
        <v>2025</v>
      </c>
      <c r="E837">
        <f t="shared" si="41"/>
        <v>7</v>
      </c>
      <c r="F837" s="13" t="s">
        <v>1666</v>
      </c>
      <c r="G837" s="13" t="s">
        <v>11</v>
      </c>
      <c r="H837" s="13" t="s">
        <v>2792</v>
      </c>
    </row>
    <row r="838" spans="1:8" x14ac:dyDescent="0.25">
      <c r="A838" t="s">
        <v>1667</v>
      </c>
      <c r="B838" s="15" cm="1">
        <f t="array" ref="B838">_xll.GetPrice("FP-LBR-2072",,"Low",_SPECIFIEDvarPubDate,)</f>
        <v>350</v>
      </c>
      <c r="C838" s="1">
        <f t="shared" si="39"/>
        <v>45848</v>
      </c>
      <c r="D838">
        <f t="shared" si="40"/>
        <v>2025</v>
      </c>
      <c r="E838">
        <f t="shared" si="41"/>
        <v>7</v>
      </c>
      <c r="F838" s="13" t="s">
        <v>1668</v>
      </c>
      <c r="G838" s="13" t="s">
        <v>11</v>
      </c>
      <c r="H838" s="13" t="s">
        <v>2792</v>
      </c>
    </row>
    <row r="839" spans="1:8" x14ac:dyDescent="0.25">
      <c r="A839" t="s">
        <v>1669</v>
      </c>
      <c r="B839" s="15" cm="1">
        <f t="array" ref="B839">_xll.GetPrice("FP-LBR-2079",,"Low",_SPECIFIEDvarPubDate,)</f>
        <v>450</v>
      </c>
      <c r="C839" s="1">
        <f t="shared" si="39"/>
        <v>45848</v>
      </c>
      <c r="D839">
        <f t="shared" si="40"/>
        <v>2025</v>
      </c>
      <c r="E839">
        <f t="shared" si="41"/>
        <v>7</v>
      </c>
      <c r="F839" s="13" t="s">
        <v>1670</v>
      </c>
      <c r="G839" s="13" t="s">
        <v>11</v>
      </c>
      <c r="H839" s="13" t="s">
        <v>2792</v>
      </c>
    </row>
    <row r="840" spans="1:8" x14ac:dyDescent="0.25">
      <c r="A840" t="s">
        <v>1671</v>
      </c>
      <c r="B840" s="15" cm="1">
        <f t="array" ref="B840">_xll.GetPrice("FP-LBR-2066",,"Low",_SPECIFIEDvarPubDate,)</f>
        <v>350</v>
      </c>
      <c r="C840" s="1">
        <f t="shared" si="39"/>
        <v>45848</v>
      </c>
      <c r="D840">
        <f t="shared" si="40"/>
        <v>2025</v>
      </c>
      <c r="E840">
        <f t="shared" si="41"/>
        <v>7</v>
      </c>
      <c r="F840" s="13" t="s">
        <v>1672</v>
      </c>
      <c r="G840" s="13" t="s">
        <v>11</v>
      </c>
      <c r="H840" s="13" t="s">
        <v>2792</v>
      </c>
    </row>
    <row r="841" spans="1:8" x14ac:dyDescent="0.25">
      <c r="A841" t="s">
        <v>1673</v>
      </c>
      <c r="B841" s="15" cm="1">
        <f t="array" ref="B841">_xll.GetPrice("FP-LBR-2073",,"Low",_SPECIFIEDvarPubDate,)</f>
        <v>375</v>
      </c>
      <c r="C841" s="1">
        <f t="shared" si="39"/>
        <v>45848</v>
      </c>
      <c r="D841">
        <f t="shared" si="40"/>
        <v>2025</v>
      </c>
      <c r="E841">
        <f t="shared" si="41"/>
        <v>7</v>
      </c>
      <c r="F841" s="13" t="s">
        <v>1674</v>
      </c>
      <c r="G841" s="13" t="s">
        <v>11</v>
      </c>
      <c r="H841" s="13" t="s">
        <v>2792</v>
      </c>
    </row>
    <row r="842" spans="1:8" x14ac:dyDescent="0.25">
      <c r="A842" t="s">
        <v>1675</v>
      </c>
      <c r="B842" s="15" cm="1">
        <f t="array" ref="B842">_xll.GetPrice("FP-LBR-2080",,"Low",_SPECIFIEDvarPubDate,)</f>
        <v>435</v>
      </c>
      <c r="C842" s="1">
        <f t="shared" si="39"/>
        <v>45848</v>
      </c>
      <c r="D842">
        <f t="shared" si="40"/>
        <v>2025</v>
      </c>
      <c r="E842">
        <f t="shared" si="41"/>
        <v>7</v>
      </c>
      <c r="F842" s="13" t="s">
        <v>1676</v>
      </c>
      <c r="G842" s="13" t="s">
        <v>11</v>
      </c>
      <c r="H842" s="13" t="s">
        <v>2792</v>
      </c>
    </row>
    <row r="843" spans="1:8" x14ac:dyDescent="0.25">
      <c r="A843" t="s">
        <v>1677</v>
      </c>
      <c r="B843" s="15" cm="1">
        <f t="array" ref="B843">_xll.GetPrice("FP-LBR-2067",,"Low",_SPECIFIEDvarPubDate,)</f>
        <v>375</v>
      </c>
      <c r="C843" s="1">
        <f t="shared" si="39"/>
        <v>45848</v>
      </c>
      <c r="D843">
        <f t="shared" si="40"/>
        <v>2025</v>
      </c>
      <c r="E843">
        <f t="shared" si="41"/>
        <v>7</v>
      </c>
      <c r="F843" s="13" t="s">
        <v>1678</v>
      </c>
      <c r="G843" s="13" t="s">
        <v>11</v>
      </c>
      <c r="H843" s="13" t="s">
        <v>2792</v>
      </c>
    </row>
    <row r="844" spans="1:8" x14ac:dyDescent="0.25">
      <c r="A844" t="s">
        <v>1679</v>
      </c>
      <c r="B844" s="15" cm="1">
        <f t="array" ref="B844">_xll.GetPrice("FP-LBR-2074",,"Low",_SPECIFIEDvarPubDate,)</f>
        <v>410</v>
      </c>
      <c r="C844" s="1">
        <f t="shared" si="39"/>
        <v>45848</v>
      </c>
      <c r="D844">
        <f t="shared" si="40"/>
        <v>2025</v>
      </c>
      <c r="E844">
        <f t="shared" si="41"/>
        <v>7</v>
      </c>
      <c r="F844" s="13" t="s">
        <v>1680</v>
      </c>
      <c r="G844" s="13" t="s">
        <v>11</v>
      </c>
      <c r="H844" s="13" t="s">
        <v>2792</v>
      </c>
    </row>
    <row r="845" spans="1:8" x14ac:dyDescent="0.25">
      <c r="A845" t="s">
        <v>1681</v>
      </c>
      <c r="B845" s="15" cm="1">
        <f t="array" ref="B845">_xll.GetPrice("FP-LBR-2081",,"Low",_SPECIFIEDvarPubDate,)</f>
        <v>430</v>
      </c>
      <c r="C845" s="1">
        <f t="shared" si="39"/>
        <v>45848</v>
      </c>
      <c r="D845">
        <f t="shared" si="40"/>
        <v>2025</v>
      </c>
      <c r="E845">
        <f t="shared" si="41"/>
        <v>7</v>
      </c>
      <c r="F845" s="13" t="s">
        <v>1682</v>
      </c>
      <c r="G845" s="13" t="s">
        <v>11</v>
      </c>
      <c r="H845" s="13" t="s">
        <v>2792</v>
      </c>
    </row>
    <row r="846" spans="1:8" x14ac:dyDescent="0.25">
      <c r="A846" t="s">
        <v>1683</v>
      </c>
      <c r="B846" s="15" cm="1">
        <f t="array" ref="B846">_xll.GetPrice("FP-LBR-2068",,"Low",_SPECIFIEDvarPubDate,)</f>
        <v>340</v>
      </c>
      <c r="C846" s="1">
        <f t="shared" si="39"/>
        <v>45848</v>
      </c>
      <c r="D846">
        <f t="shared" si="40"/>
        <v>2025</v>
      </c>
      <c r="E846">
        <f t="shared" si="41"/>
        <v>7</v>
      </c>
      <c r="F846" s="13" t="s">
        <v>1684</v>
      </c>
      <c r="G846" s="13" t="s">
        <v>11</v>
      </c>
      <c r="H846" s="13" t="s">
        <v>2792</v>
      </c>
    </row>
    <row r="847" spans="1:8" x14ac:dyDescent="0.25">
      <c r="A847" t="s">
        <v>1685</v>
      </c>
      <c r="B847" s="15" cm="1">
        <f t="array" ref="B847">_xll.GetPrice("FP-LBR-2075",,"Low",_SPECIFIEDvarPubDate,)</f>
        <v>420</v>
      </c>
      <c r="C847" s="1">
        <f t="shared" si="39"/>
        <v>45848</v>
      </c>
      <c r="D847">
        <f t="shared" si="40"/>
        <v>2025</v>
      </c>
      <c r="E847">
        <f t="shared" si="41"/>
        <v>7</v>
      </c>
      <c r="F847" s="13" t="s">
        <v>1686</v>
      </c>
      <c r="G847" s="13" t="s">
        <v>11</v>
      </c>
      <c r="H847" s="13" t="s">
        <v>2792</v>
      </c>
    </row>
    <row r="848" spans="1:8" x14ac:dyDescent="0.25">
      <c r="A848" t="s">
        <v>1687</v>
      </c>
      <c r="B848" s="15" cm="1">
        <f t="array" ref="B848">_xll.GetPrice("FP-LBR-2082",,"Low",_SPECIFIEDvarPubDate,)</f>
        <v>375</v>
      </c>
      <c r="C848" s="1">
        <f t="shared" si="39"/>
        <v>45848</v>
      </c>
      <c r="D848">
        <f t="shared" si="40"/>
        <v>2025</v>
      </c>
      <c r="E848">
        <f t="shared" si="41"/>
        <v>7</v>
      </c>
      <c r="F848" s="13" t="s">
        <v>1688</v>
      </c>
      <c r="G848" s="13" t="s">
        <v>11</v>
      </c>
      <c r="H848" s="13" t="s">
        <v>2792</v>
      </c>
    </row>
    <row r="849" spans="1:8" x14ac:dyDescent="0.25">
      <c r="A849" t="s">
        <v>1689</v>
      </c>
      <c r="B849" s="15" cm="1">
        <f t="array" ref="B849">_xll.GetPrice("FP-LBR-2069",,"Low",_SPECIFIEDvarPubDate,)</f>
        <v>350</v>
      </c>
      <c r="C849" s="1">
        <f t="shared" si="39"/>
        <v>45848</v>
      </c>
      <c r="D849">
        <f t="shared" si="40"/>
        <v>2025</v>
      </c>
      <c r="E849">
        <f t="shared" si="41"/>
        <v>7</v>
      </c>
      <c r="F849" s="13" t="s">
        <v>1690</v>
      </c>
      <c r="G849" s="13" t="s">
        <v>11</v>
      </c>
      <c r="H849" s="13" t="s">
        <v>2792</v>
      </c>
    </row>
    <row r="850" spans="1:8" x14ac:dyDescent="0.25">
      <c r="A850" t="s">
        <v>1691</v>
      </c>
      <c r="B850" s="15" cm="1">
        <f t="array" ref="B850">_xll.GetPrice("FP-LBR-2076",,"Low",_SPECIFIEDvarPubDate,)</f>
        <v>400</v>
      </c>
      <c r="C850" s="1">
        <f t="shared" si="39"/>
        <v>45848</v>
      </c>
      <c r="D850">
        <f t="shared" si="40"/>
        <v>2025</v>
      </c>
      <c r="E850">
        <f t="shared" si="41"/>
        <v>7</v>
      </c>
      <c r="F850" s="13" t="s">
        <v>1692</v>
      </c>
      <c r="G850" s="13" t="s">
        <v>11</v>
      </c>
      <c r="H850" s="13" t="s">
        <v>2792</v>
      </c>
    </row>
    <row r="851" spans="1:8" x14ac:dyDescent="0.25">
      <c r="A851" t="s">
        <v>1693</v>
      </c>
      <c r="B851" s="15" cm="1">
        <f t="array" ref="B851">_xll.GetPrice("FP-LBR-2083",,"Low",_SPECIFIEDvarPubDate,)</f>
        <v>430</v>
      </c>
      <c r="C851" s="1">
        <f t="shared" si="39"/>
        <v>45848</v>
      </c>
      <c r="D851">
        <f t="shared" si="40"/>
        <v>2025</v>
      </c>
      <c r="E851">
        <f t="shared" si="41"/>
        <v>7</v>
      </c>
      <c r="F851" s="13" t="s">
        <v>1694</v>
      </c>
      <c r="G851" s="13" t="s">
        <v>11</v>
      </c>
      <c r="H851" s="13" t="s">
        <v>2792</v>
      </c>
    </row>
    <row r="852" spans="1:8" x14ac:dyDescent="0.25">
      <c r="A852" t="s">
        <v>1695</v>
      </c>
      <c r="B852" s="15" cm="1">
        <f t="array" ref="B852">_xll.GetPrice("FP-LBR-2070",,"Low",_SPECIFIEDvarPubDate,)</f>
        <v>350</v>
      </c>
      <c r="C852" s="1">
        <f t="shared" si="39"/>
        <v>45848</v>
      </c>
      <c r="D852">
        <f t="shared" si="40"/>
        <v>2025</v>
      </c>
      <c r="E852">
        <f t="shared" si="41"/>
        <v>7</v>
      </c>
      <c r="F852" s="13" t="s">
        <v>1696</v>
      </c>
      <c r="G852" s="13" t="s">
        <v>11</v>
      </c>
      <c r="H852" s="13" t="s">
        <v>2792</v>
      </c>
    </row>
    <row r="853" spans="1:8" x14ac:dyDescent="0.25">
      <c r="A853" t="s">
        <v>1697</v>
      </c>
      <c r="B853" s="15" cm="1">
        <f t="array" ref="B853">_xll.GetPrice("FP-LBR-2077",,"Low",_SPECIFIEDvarPubDate,)</f>
        <v>355</v>
      </c>
      <c r="C853" s="1">
        <f t="shared" si="39"/>
        <v>45848</v>
      </c>
      <c r="D853">
        <f t="shared" si="40"/>
        <v>2025</v>
      </c>
      <c r="E853">
        <f t="shared" si="41"/>
        <v>7</v>
      </c>
      <c r="F853" s="13" t="s">
        <v>1698</v>
      </c>
      <c r="G853" s="13" t="s">
        <v>11</v>
      </c>
      <c r="H853" s="13" t="s">
        <v>2792</v>
      </c>
    </row>
    <row r="854" spans="1:8" x14ac:dyDescent="0.25">
      <c r="A854" t="s">
        <v>1699</v>
      </c>
      <c r="B854" s="15" cm="1">
        <f t="array" ref="B854">_xll.GetPrice("FP-LBR-2084",,"Low",_SPECIFIEDvarPubDate,)</f>
        <v>505</v>
      </c>
      <c r="C854" s="1">
        <f t="shared" si="39"/>
        <v>45848</v>
      </c>
      <c r="D854">
        <f t="shared" si="40"/>
        <v>2025</v>
      </c>
      <c r="E854">
        <f t="shared" si="41"/>
        <v>7</v>
      </c>
      <c r="F854" s="13" t="s">
        <v>1700</v>
      </c>
      <c r="G854" s="13" t="s">
        <v>11</v>
      </c>
      <c r="H854" s="13" t="s">
        <v>2792</v>
      </c>
    </row>
    <row r="855" spans="1:8" x14ac:dyDescent="0.25">
      <c r="A855" t="s">
        <v>1701</v>
      </c>
      <c r="B855" s="15" cm="1">
        <f t="array" ref="B855">_xll.GetPrice("FP-LBR-2071",,"Low",_SPECIFIEDvarPubDate,)</f>
        <v>345</v>
      </c>
      <c r="C855" s="1">
        <f t="shared" si="39"/>
        <v>45848</v>
      </c>
      <c r="D855">
        <f t="shared" si="40"/>
        <v>2025</v>
      </c>
      <c r="E855">
        <f t="shared" si="41"/>
        <v>7</v>
      </c>
      <c r="F855" s="13" t="s">
        <v>1702</v>
      </c>
      <c r="G855" s="13" t="s">
        <v>11</v>
      </c>
      <c r="H855" s="13" t="s">
        <v>2792</v>
      </c>
    </row>
    <row r="856" spans="1:8" x14ac:dyDescent="0.25">
      <c r="A856" t="s">
        <v>1703</v>
      </c>
      <c r="B856" s="15" cm="1">
        <f t="array" ref="B856">_xll.GetPrice("FP-LBR-2078",,"Low",_SPECIFIEDvarPubDate,)</f>
        <v>415</v>
      </c>
      <c r="C856" s="1">
        <f t="shared" si="39"/>
        <v>45848</v>
      </c>
      <c r="D856">
        <f t="shared" si="40"/>
        <v>2025</v>
      </c>
      <c r="E856">
        <f t="shared" si="41"/>
        <v>7</v>
      </c>
      <c r="F856" s="13" t="s">
        <v>1704</v>
      </c>
      <c r="G856" s="13" t="s">
        <v>11</v>
      </c>
      <c r="H856" s="13" t="s">
        <v>2792</v>
      </c>
    </row>
    <row r="857" spans="1:8" x14ac:dyDescent="0.25">
      <c r="A857" t="s">
        <v>1705</v>
      </c>
      <c r="B857" s="15" cm="1">
        <f t="array" ref="B857">_xll.GetPrice("FP-LBR-2085",,"Low",_SPECIFIEDvarPubDate,)</f>
        <v>795</v>
      </c>
      <c r="C857" s="1">
        <f t="shared" si="39"/>
        <v>45848</v>
      </c>
      <c r="D857">
        <f t="shared" si="40"/>
        <v>2025</v>
      </c>
      <c r="E857">
        <f t="shared" si="41"/>
        <v>7</v>
      </c>
      <c r="F857" s="13" t="s">
        <v>1706</v>
      </c>
      <c r="G857" s="13" t="s">
        <v>11</v>
      </c>
      <c r="H857" s="13" t="s">
        <v>2792</v>
      </c>
    </row>
    <row r="858" spans="1:8" x14ac:dyDescent="0.25">
      <c r="A858" t="s">
        <v>1707</v>
      </c>
      <c r="B858" s="15" cm="1">
        <f t="array" ref="B858">_xll.GetPrice("FP-LBR-0521",,"Low",_SPECIFIEDvarPubDate,)</f>
        <v>356</v>
      </c>
      <c r="C858" s="1">
        <f t="shared" si="39"/>
        <v>45848</v>
      </c>
      <c r="D858">
        <f t="shared" si="40"/>
        <v>2025</v>
      </c>
      <c r="E858">
        <f t="shared" si="41"/>
        <v>7</v>
      </c>
      <c r="F858" s="13" t="s">
        <v>1708</v>
      </c>
      <c r="G858" s="13" t="s">
        <v>11</v>
      </c>
      <c r="H858" s="13" t="s">
        <v>2792</v>
      </c>
    </row>
    <row r="859" spans="1:8" x14ac:dyDescent="0.25">
      <c r="A859" t="s">
        <v>1709</v>
      </c>
      <c r="B859" s="15" cm="1">
        <f t="array" ref="B859">_xll.GetPrice("FP-LBR-0522",,"Low",_SPECIFIEDvarPubDate,)</f>
        <v>372</v>
      </c>
      <c r="C859" s="1">
        <f t="shared" si="39"/>
        <v>45848</v>
      </c>
      <c r="D859">
        <f t="shared" si="40"/>
        <v>2025</v>
      </c>
      <c r="E859">
        <f t="shared" si="41"/>
        <v>7</v>
      </c>
      <c r="F859" s="13" t="s">
        <v>1710</v>
      </c>
      <c r="G859" s="13" t="s">
        <v>11</v>
      </c>
      <c r="H859" s="13" t="s">
        <v>2792</v>
      </c>
    </row>
    <row r="860" spans="1:8" x14ac:dyDescent="0.25">
      <c r="A860" t="s">
        <v>1711</v>
      </c>
      <c r="B860" s="15" cm="1">
        <f t="array" ref="B860">_xll.GetPrice("FP-LBR-0523",,"Low",_SPECIFIEDvarPubDate,)</f>
        <v>391</v>
      </c>
      <c r="C860" s="1">
        <f t="shared" si="39"/>
        <v>45848</v>
      </c>
      <c r="D860">
        <f t="shared" si="40"/>
        <v>2025</v>
      </c>
      <c r="E860">
        <f t="shared" si="41"/>
        <v>7</v>
      </c>
      <c r="F860" s="13" t="s">
        <v>1712</v>
      </c>
      <c r="G860" s="13" t="s">
        <v>11</v>
      </c>
      <c r="H860" s="13" t="s">
        <v>2792</v>
      </c>
    </row>
    <row r="861" spans="1:8" x14ac:dyDescent="0.25">
      <c r="A861" t="s">
        <v>1713</v>
      </c>
      <c r="B861" s="15" cm="1">
        <f t="array" ref="B861">_xll.GetPrice("FP-LBR-0524",,"Low",_SPECIFIEDvarPubDate,)</f>
        <v>392</v>
      </c>
      <c r="C861" s="1">
        <f t="shared" si="39"/>
        <v>45848</v>
      </c>
      <c r="D861">
        <f t="shared" si="40"/>
        <v>2025</v>
      </c>
      <c r="E861">
        <f t="shared" si="41"/>
        <v>7</v>
      </c>
      <c r="F861" s="13" t="s">
        <v>1714</v>
      </c>
      <c r="G861" s="13" t="s">
        <v>11</v>
      </c>
      <c r="H861" s="13" t="s">
        <v>2792</v>
      </c>
    </row>
    <row r="862" spans="1:8" x14ac:dyDescent="0.25">
      <c r="A862" t="s">
        <v>1715</v>
      </c>
      <c r="B862" s="15" cm="1">
        <f t="array" ref="B862">_xll.GetPrice("FP-LBR-0532",,"Low",_SPECIFIEDvarPubDate,)</f>
        <v>395</v>
      </c>
      <c r="C862" s="1">
        <f t="shared" si="39"/>
        <v>45848</v>
      </c>
      <c r="D862">
        <f t="shared" si="40"/>
        <v>2025</v>
      </c>
      <c r="E862">
        <f t="shared" si="41"/>
        <v>7</v>
      </c>
      <c r="F862" s="13" t="s">
        <v>1716</v>
      </c>
      <c r="G862" s="13" t="s">
        <v>11</v>
      </c>
      <c r="H862" s="13" t="s">
        <v>2792</v>
      </c>
    </row>
    <row r="863" spans="1:8" x14ac:dyDescent="0.25">
      <c r="A863" t="s">
        <v>1717</v>
      </c>
      <c r="B863" s="15" cm="1">
        <f t="array" ref="B863">_xll.GetPrice("FP-LBR-0533",,"Low",_SPECIFIEDvarPubDate,)</f>
        <v>415</v>
      </c>
      <c r="C863" s="1">
        <f t="shared" si="39"/>
        <v>45848</v>
      </c>
      <c r="D863">
        <f t="shared" si="40"/>
        <v>2025</v>
      </c>
      <c r="E863">
        <f t="shared" si="41"/>
        <v>7</v>
      </c>
      <c r="F863" s="13" t="s">
        <v>1718</v>
      </c>
      <c r="G863" s="13" t="s">
        <v>11</v>
      </c>
      <c r="H863" s="13" t="s">
        <v>2792</v>
      </c>
    </row>
    <row r="864" spans="1:8" x14ac:dyDescent="0.25">
      <c r="A864" t="s">
        <v>1719</v>
      </c>
      <c r="B864" s="15" cm="1">
        <f t="array" ref="B864">_xll.GetPrice("FP-LBR-0534",,"Low",_SPECIFIEDvarPubDate,)</f>
        <v>414</v>
      </c>
      <c r="C864" s="1">
        <f t="shared" si="39"/>
        <v>45848</v>
      </c>
      <c r="D864">
        <f t="shared" si="40"/>
        <v>2025</v>
      </c>
      <c r="E864">
        <f t="shared" si="41"/>
        <v>7</v>
      </c>
      <c r="F864" s="13" t="s">
        <v>1720</v>
      </c>
      <c r="G864" s="13" t="s">
        <v>11</v>
      </c>
      <c r="H864" s="13" t="s">
        <v>2792</v>
      </c>
    </row>
    <row r="865" spans="1:8" x14ac:dyDescent="0.25">
      <c r="A865" t="s">
        <v>1721</v>
      </c>
      <c r="B865" s="15" cm="1">
        <f t="array" ref="B865">_xll.GetPrice("FP-LBR-0551",,"Low",_SPECIFIEDvarPubDate,)</f>
        <v>547</v>
      </c>
      <c r="C865" s="1">
        <f t="shared" si="39"/>
        <v>45848</v>
      </c>
      <c r="D865">
        <f t="shared" si="40"/>
        <v>2025</v>
      </c>
      <c r="E865">
        <f t="shared" si="41"/>
        <v>7</v>
      </c>
      <c r="F865" s="13" t="s">
        <v>1722</v>
      </c>
      <c r="G865" s="13" t="s">
        <v>11</v>
      </c>
      <c r="H865" s="13" t="s">
        <v>2792</v>
      </c>
    </row>
    <row r="866" spans="1:8" x14ac:dyDescent="0.25">
      <c r="A866" t="s">
        <v>1723</v>
      </c>
      <c r="B866" s="15" cm="1">
        <f t="array" ref="B866">_xll.GetPrice("FP-LBR-1243",,"Low",_SPECIFIEDvarPubDate,)</f>
        <v>420</v>
      </c>
      <c r="C866" s="1">
        <f t="shared" si="39"/>
        <v>45848</v>
      </c>
      <c r="D866">
        <f t="shared" si="40"/>
        <v>2025</v>
      </c>
      <c r="E866">
        <f t="shared" si="41"/>
        <v>7</v>
      </c>
      <c r="F866" s="13" t="s">
        <v>1724</v>
      </c>
      <c r="G866" s="13" t="s">
        <v>11</v>
      </c>
      <c r="H866" s="13" t="s">
        <v>2792</v>
      </c>
    </row>
    <row r="867" spans="1:8" x14ac:dyDescent="0.25">
      <c r="A867" t="s">
        <v>1725</v>
      </c>
      <c r="B867" s="15" cm="1">
        <f t="array" ref="B867">_xll.GetPrice("FP-LBR-1253",,"Low",_SPECIFIEDvarPubDate,)</f>
        <v>420</v>
      </c>
      <c r="C867" s="1">
        <f t="shared" si="39"/>
        <v>45848</v>
      </c>
      <c r="D867">
        <f t="shared" si="40"/>
        <v>2025</v>
      </c>
      <c r="E867">
        <f t="shared" si="41"/>
        <v>7</v>
      </c>
      <c r="F867" s="13" t="s">
        <v>1726</v>
      </c>
      <c r="G867" s="13" t="s">
        <v>11</v>
      </c>
      <c r="H867" s="13" t="s">
        <v>2792</v>
      </c>
    </row>
    <row r="868" spans="1:8" x14ac:dyDescent="0.25">
      <c r="A868" t="s">
        <v>1727</v>
      </c>
      <c r="B868" s="15" cm="1">
        <f t="array" ref="B868">_xll.GetPrice("FP-LBR-0427",,"Low",_SPECIFIEDvarPubDate,)</f>
        <v>540</v>
      </c>
      <c r="C868" s="1">
        <f t="shared" si="39"/>
        <v>45848</v>
      </c>
      <c r="D868">
        <f t="shared" si="40"/>
        <v>2025</v>
      </c>
      <c r="E868">
        <f t="shared" si="41"/>
        <v>7</v>
      </c>
      <c r="F868" s="13" t="s">
        <v>1728</v>
      </c>
      <c r="G868" s="13" t="s">
        <v>11</v>
      </c>
      <c r="H868" s="13" t="s">
        <v>2792</v>
      </c>
    </row>
    <row r="869" spans="1:8" x14ac:dyDescent="0.25">
      <c r="A869" t="s">
        <v>1729</v>
      </c>
      <c r="B869" s="15" cm="1">
        <f t="array" ref="B869">_xll.GetPrice("FP-LBR-2196",,"Low",_SPECIFIEDvarPubDate,)</f>
        <v>720</v>
      </c>
      <c r="C869" s="1">
        <f t="shared" si="39"/>
        <v>45848</v>
      </c>
      <c r="D869">
        <f t="shared" si="40"/>
        <v>2025</v>
      </c>
      <c r="E869">
        <f t="shared" si="41"/>
        <v>7</v>
      </c>
      <c r="F869" s="13" t="s">
        <v>1730</v>
      </c>
      <c r="G869" s="13" t="s">
        <v>11</v>
      </c>
      <c r="H869" s="13" t="s">
        <v>2792</v>
      </c>
    </row>
    <row r="870" spans="1:8" x14ac:dyDescent="0.25">
      <c r="A870" t="s">
        <v>1731</v>
      </c>
      <c r="B870" s="15" cm="1">
        <f t="array" ref="B870">_xll.GetPrice("FP-LBR-2197",,"Low",_SPECIFIEDvarPubDate,)</f>
        <v>1285</v>
      </c>
      <c r="C870" s="1">
        <f t="shared" si="39"/>
        <v>45848</v>
      </c>
      <c r="D870">
        <f t="shared" si="40"/>
        <v>2025</v>
      </c>
      <c r="E870">
        <f t="shared" si="41"/>
        <v>7</v>
      </c>
      <c r="F870" s="13" t="s">
        <v>1732</v>
      </c>
      <c r="G870" s="13" t="s">
        <v>11</v>
      </c>
      <c r="H870" s="13" t="s">
        <v>2792</v>
      </c>
    </row>
    <row r="871" spans="1:8" x14ac:dyDescent="0.25">
      <c r="A871" t="s">
        <v>1733</v>
      </c>
      <c r="B871" s="15" cm="1">
        <f t="array" ref="B871">_xll.GetPrice("FP-LBR-2198",,"Low",_SPECIFIEDvarPubDate,)</f>
        <v>865</v>
      </c>
      <c r="C871" s="1">
        <f t="shared" si="39"/>
        <v>45848</v>
      </c>
      <c r="D871">
        <f t="shared" si="40"/>
        <v>2025</v>
      </c>
      <c r="E871">
        <f t="shared" si="41"/>
        <v>7</v>
      </c>
      <c r="F871" s="13" t="s">
        <v>1734</v>
      </c>
      <c r="G871" s="13" t="s">
        <v>11</v>
      </c>
      <c r="H871" s="13" t="s">
        <v>2792</v>
      </c>
    </row>
    <row r="872" spans="1:8" x14ac:dyDescent="0.25">
      <c r="A872" t="s">
        <v>1735</v>
      </c>
      <c r="B872" s="15" cm="1">
        <f t="array" ref="B872">_xll.GetPrice("FP-LBR-2199",,"Low",_SPECIFIEDvarPubDate,)</f>
        <v>1695</v>
      </c>
      <c r="C872" s="1">
        <f t="shared" si="39"/>
        <v>45848</v>
      </c>
      <c r="D872">
        <f t="shared" si="40"/>
        <v>2025</v>
      </c>
      <c r="E872">
        <f t="shared" si="41"/>
        <v>7</v>
      </c>
      <c r="F872" s="13" t="s">
        <v>1736</v>
      </c>
      <c r="G872" s="13" t="s">
        <v>11</v>
      </c>
      <c r="H872" s="13" t="s">
        <v>2792</v>
      </c>
    </row>
    <row r="873" spans="1:8" x14ac:dyDescent="0.25">
      <c r="A873" t="s">
        <v>1737</v>
      </c>
      <c r="B873" s="15" cm="1">
        <f t="array" ref="B873">_xll.GetPrice("FP-LBR-0529",,"Low",_SPECIFIEDvarPubDate,)</f>
        <v>739</v>
      </c>
      <c r="C873" s="1">
        <f t="shared" si="39"/>
        <v>45848</v>
      </c>
      <c r="D873">
        <f t="shared" si="40"/>
        <v>2025</v>
      </c>
      <c r="E873">
        <f t="shared" si="41"/>
        <v>7</v>
      </c>
      <c r="F873" s="13" t="s">
        <v>1738</v>
      </c>
      <c r="G873" s="13" t="s">
        <v>11</v>
      </c>
      <c r="H873" s="13" t="s">
        <v>2792</v>
      </c>
    </row>
    <row r="874" spans="1:8" x14ac:dyDescent="0.25">
      <c r="A874" t="s">
        <v>1739</v>
      </c>
      <c r="B874" s="15" cm="1">
        <f t="array" ref="B874">_xll.GetPrice("FP-LBR-1262",,"Low",_SPECIFIEDvarPubDate,)</f>
        <v>580</v>
      </c>
      <c r="C874" s="1">
        <f t="shared" si="39"/>
        <v>45848</v>
      </c>
      <c r="D874">
        <f t="shared" si="40"/>
        <v>2025</v>
      </c>
      <c r="E874">
        <f t="shared" si="41"/>
        <v>7</v>
      </c>
      <c r="F874" s="13" t="s">
        <v>1740</v>
      </c>
      <c r="G874" s="13" t="s">
        <v>11</v>
      </c>
      <c r="H874" s="13" t="s">
        <v>2792</v>
      </c>
    </row>
    <row r="875" spans="1:8" x14ac:dyDescent="0.25">
      <c r="A875" t="s">
        <v>1741</v>
      </c>
      <c r="B875" s="15" cm="1">
        <f t="array" ref="B875">_xll.GetPrice("FP-LBR-1265",,"Low",_SPECIFIEDvarPubDate,)</f>
        <v>515</v>
      </c>
      <c r="C875" s="1">
        <f t="shared" si="39"/>
        <v>45848</v>
      </c>
      <c r="D875">
        <f t="shared" si="40"/>
        <v>2025</v>
      </c>
      <c r="E875">
        <f t="shared" si="41"/>
        <v>7</v>
      </c>
      <c r="F875" s="13" t="s">
        <v>1742</v>
      </c>
      <c r="G875" s="13" t="s">
        <v>11</v>
      </c>
      <c r="H875" s="13" t="s">
        <v>2792</v>
      </c>
    </row>
    <row r="876" spans="1:8" x14ac:dyDescent="0.25">
      <c r="A876" t="s">
        <v>1743</v>
      </c>
      <c r="B876" s="15" cm="1">
        <f t="array" ref="B876">_xll.GetPrice("FP-LBR-2002",,"Low",_SPECIFIEDvarPubDate,)</f>
        <v>335</v>
      </c>
      <c r="C876" s="1">
        <f t="shared" si="39"/>
        <v>45848</v>
      </c>
      <c r="D876">
        <f t="shared" si="40"/>
        <v>2025</v>
      </c>
      <c r="E876">
        <f t="shared" si="41"/>
        <v>7</v>
      </c>
      <c r="F876" s="13" t="s">
        <v>1744</v>
      </c>
      <c r="G876" s="13" t="s">
        <v>11</v>
      </c>
      <c r="H876" s="13" t="s">
        <v>2792</v>
      </c>
    </row>
    <row r="877" spans="1:8" x14ac:dyDescent="0.25">
      <c r="A877" t="s">
        <v>1745</v>
      </c>
      <c r="B877" s="15" cm="1">
        <f t="array" ref="B877">_xll.GetPrice("FP-LBR-2003",,"Low",_SPECIFIEDvarPubDate,)</f>
        <v>340</v>
      </c>
      <c r="C877" s="1">
        <f t="shared" si="39"/>
        <v>45848</v>
      </c>
      <c r="D877">
        <f t="shared" si="40"/>
        <v>2025</v>
      </c>
      <c r="E877">
        <f t="shared" si="41"/>
        <v>7</v>
      </c>
      <c r="F877" s="13" t="s">
        <v>1746</v>
      </c>
      <c r="G877" s="13" t="s">
        <v>11</v>
      </c>
      <c r="H877" s="13" t="s">
        <v>2792</v>
      </c>
    </row>
    <row r="878" spans="1:8" x14ac:dyDescent="0.25">
      <c r="A878" t="s">
        <v>1747</v>
      </c>
      <c r="B878" s="15" cm="1">
        <f t="array" ref="B878">_xll.GetPrice("FP-LBR-2004",,"Low",_SPECIFIEDvarPubDate,)</f>
        <v>400</v>
      </c>
      <c r="C878" s="1">
        <f t="shared" si="39"/>
        <v>45848</v>
      </c>
      <c r="D878">
        <f t="shared" si="40"/>
        <v>2025</v>
      </c>
      <c r="E878">
        <f t="shared" si="41"/>
        <v>7</v>
      </c>
      <c r="F878" s="13" t="s">
        <v>1748</v>
      </c>
      <c r="G878" s="13" t="s">
        <v>11</v>
      </c>
      <c r="H878" s="13" t="s">
        <v>2792</v>
      </c>
    </row>
    <row r="879" spans="1:8" x14ac:dyDescent="0.25">
      <c r="A879" t="s">
        <v>1749</v>
      </c>
      <c r="B879" s="15" cm="1">
        <f t="array" ref="B879">_xll.GetPrice("FP-LBR-2005",,"Low",_SPECIFIEDvarPubDate,)</f>
        <v>415</v>
      </c>
      <c r="C879" s="1">
        <f t="shared" si="39"/>
        <v>45848</v>
      </c>
      <c r="D879">
        <f t="shared" si="40"/>
        <v>2025</v>
      </c>
      <c r="E879">
        <f t="shared" si="41"/>
        <v>7</v>
      </c>
      <c r="F879" s="13" t="s">
        <v>1750</v>
      </c>
      <c r="G879" s="13" t="s">
        <v>11</v>
      </c>
      <c r="H879" s="13" t="s">
        <v>2792</v>
      </c>
    </row>
    <row r="880" spans="1:8" x14ac:dyDescent="0.25">
      <c r="A880" t="s">
        <v>1751</v>
      </c>
      <c r="B880" s="15" cm="1">
        <f t="array" ref="B880">_xll.GetPrice("FP-LBR-1869",,"Low",_SPECIFIEDvarPubDate,)</f>
        <v>415</v>
      </c>
      <c r="C880" s="1">
        <f t="shared" si="39"/>
        <v>45848</v>
      </c>
      <c r="D880">
        <f t="shared" si="40"/>
        <v>2025</v>
      </c>
      <c r="E880">
        <f t="shared" si="41"/>
        <v>7</v>
      </c>
      <c r="F880" s="13" t="s">
        <v>1752</v>
      </c>
      <c r="G880" s="13" t="s">
        <v>11</v>
      </c>
      <c r="H880" s="13" t="s">
        <v>2792</v>
      </c>
    </row>
    <row r="881" spans="1:8" x14ac:dyDescent="0.25">
      <c r="A881" t="s">
        <v>1753</v>
      </c>
      <c r="B881" s="15" cm="1">
        <f t="array" ref="B881">_xll.GetPrice("FP-LBR-1802",,"Low",_SPECIFIEDvarPubDate,)</f>
        <v>1160</v>
      </c>
      <c r="C881" s="1">
        <f t="shared" si="39"/>
        <v>45848</v>
      </c>
      <c r="D881">
        <f t="shared" si="40"/>
        <v>2025</v>
      </c>
      <c r="E881">
        <f t="shared" si="41"/>
        <v>7</v>
      </c>
      <c r="F881" s="13" t="s">
        <v>1754</v>
      </c>
      <c r="G881" s="13" t="s">
        <v>11</v>
      </c>
      <c r="H881" s="13" t="s">
        <v>2792</v>
      </c>
    </row>
    <row r="882" spans="1:8" x14ac:dyDescent="0.25">
      <c r="A882" t="s">
        <v>1755</v>
      </c>
      <c r="B882" s="15" cm="1">
        <f t="array" ref="B882">_xll.GetPrice("FP-LBR-1803",,"Low",_SPECIFIEDvarPubDate,)</f>
        <v>1795</v>
      </c>
      <c r="C882" s="1">
        <f t="shared" si="39"/>
        <v>45848</v>
      </c>
      <c r="D882">
        <f t="shared" si="40"/>
        <v>2025</v>
      </c>
      <c r="E882">
        <f t="shared" si="41"/>
        <v>7</v>
      </c>
      <c r="F882" s="13" t="s">
        <v>1756</v>
      </c>
      <c r="G882" s="13" t="s">
        <v>11</v>
      </c>
      <c r="H882" s="13" t="s">
        <v>2792</v>
      </c>
    </row>
    <row r="883" spans="1:8" x14ac:dyDescent="0.25">
      <c r="A883" t="s">
        <v>1757</v>
      </c>
      <c r="B883" s="15" cm="1">
        <f t="array" ref="B883">_xll.GetPrice("FP-LBR-1804",,"Low",_SPECIFIEDvarPubDate,)</f>
        <v>2820</v>
      </c>
      <c r="C883" s="1">
        <f t="shared" si="39"/>
        <v>45848</v>
      </c>
      <c r="D883">
        <f t="shared" si="40"/>
        <v>2025</v>
      </c>
      <c r="E883">
        <f t="shared" si="41"/>
        <v>7</v>
      </c>
      <c r="F883" s="13" t="s">
        <v>1758</v>
      </c>
      <c r="G883" s="13" t="s">
        <v>11</v>
      </c>
      <c r="H883" s="13" t="s">
        <v>2792</v>
      </c>
    </row>
    <row r="884" spans="1:8" x14ac:dyDescent="0.25">
      <c r="A884" t="s">
        <v>1759</v>
      </c>
      <c r="B884" s="15" cm="1">
        <f t="array" ref="B884">_xll.GetPrice("FP-LBR-1805",,"Low",_SPECIFIEDvarPubDate,)</f>
        <v>2885</v>
      </c>
      <c r="C884" s="1">
        <f t="shared" si="39"/>
        <v>45848</v>
      </c>
      <c r="D884">
        <f t="shared" si="40"/>
        <v>2025</v>
      </c>
      <c r="E884">
        <f t="shared" si="41"/>
        <v>7</v>
      </c>
      <c r="F884" s="13" t="s">
        <v>1760</v>
      </c>
      <c r="G884" s="13" t="s">
        <v>11</v>
      </c>
      <c r="H884" s="13" t="s">
        <v>2792</v>
      </c>
    </row>
    <row r="885" spans="1:8" x14ac:dyDescent="0.25">
      <c r="A885" t="s">
        <v>1761</v>
      </c>
      <c r="B885" s="15" cm="1">
        <f t="array" ref="B885">_xll.GetPrice("FP-LBR-1806",,"Low",_SPECIFIEDvarPubDate,)</f>
        <v>3570</v>
      </c>
      <c r="C885" s="1">
        <f t="shared" si="39"/>
        <v>45848</v>
      </c>
      <c r="D885">
        <f t="shared" si="40"/>
        <v>2025</v>
      </c>
      <c r="E885">
        <f t="shared" si="41"/>
        <v>7</v>
      </c>
      <c r="F885" s="13" t="s">
        <v>1762</v>
      </c>
      <c r="G885" s="13" t="s">
        <v>11</v>
      </c>
      <c r="H885" s="13" t="s">
        <v>2792</v>
      </c>
    </row>
    <row r="886" spans="1:8" x14ac:dyDescent="0.25">
      <c r="A886" t="s">
        <v>1763</v>
      </c>
      <c r="B886" s="15" cm="1">
        <f t="array" ref="B886">_xll.GetPrice("FP-LBR-1309",,"Low",_SPECIFIEDvarPubDate,)</f>
        <v>395</v>
      </c>
      <c r="C886" s="1">
        <f t="shared" si="39"/>
        <v>45848</v>
      </c>
      <c r="D886">
        <f t="shared" si="40"/>
        <v>2025</v>
      </c>
      <c r="E886">
        <f t="shared" si="41"/>
        <v>7</v>
      </c>
      <c r="F886" s="13" t="s">
        <v>1764</v>
      </c>
      <c r="G886" s="13" t="s">
        <v>11</v>
      </c>
      <c r="H886" s="13" t="s">
        <v>2792</v>
      </c>
    </row>
    <row r="887" spans="1:8" x14ac:dyDescent="0.25">
      <c r="A887" t="s">
        <v>1765</v>
      </c>
      <c r="B887" s="15" cm="1">
        <f t="array" ref="B887">_xll.GetPrice("FP-LBR-1310",,"Low",_SPECIFIEDvarPubDate,)</f>
        <v>390</v>
      </c>
      <c r="C887" s="1">
        <f t="shared" si="39"/>
        <v>45848</v>
      </c>
      <c r="D887">
        <f t="shared" si="40"/>
        <v>2025</v>
      </c>
      <c r="E887">
        <f t="shared" si="41"/>
        <v>7</v>
      </c>
      <c r="F887" s="13" t="s">
        <v>1766</v>
      </c>
      <c r="G887" s="13" t="s">
        <v>11</v>
      </c>
      <c r="H887" s="13" t="s">
        <v>2792</v>
      </c>
    </row>
    <row r="888" spans="1:8" x14ac:dyDescent="0.25">
      <c r="A888" t="s">
        <v>1767</v>
      </c>
      <c r="B888" s="15" cm="1">
        <f t="array" ref="B888">_xll.GetPrice("FP-LBR-1311",,"Low",_SPECIFIEDvarPubDate,)</f>
        <v>380</v>
      </c>
      <c r="C888" s="1">
        <f t="shared" si="39"/>
        <v>45848</v>
      </c>
      <c r="D888">
        <f t="shared" si="40"/>
        <v>2025</v>
      </c>
      <c r="E888">
        <f t="shared" si="41"/>
        <v>7</v>
      </c>
      <c r="F888" s="13" t="s">
        <v>1768</v>
      </c>
      <c r="G888" s="13" t="s">
        <v>11</v>
      </c>
      <c r="H888" s="13" t="s">
        <v>2792</v>
      </c>
    </row>
    <row r="889" spans="1:8" x14ac:dyDescent="0.25">
      <c r="A889" t="s">
        <v>1769</v>
      </c>
      <c r="B889" s="15" cm="1">
        <f t="array" ref="B889">_xll.GetPrice("FP-LBR-0539",,"Low",_SPECIFIEDvarPubDate,)</f>
        <v>567</v>
      </c>
      <c r="C889" s="1">
        <f t="shared" si="39"/>
        <v>45848</v>
      </c>
      <c r="D889">
        <f t="shared" si="40"/>
        <v>2025</v>
      </c>
      <c r="E889">
        <f t="shared" si="41"/>
        <v>7</v>
      </c>
      <c r="F889" s="13" t="s">
        <v>1770</v>
      </c>
      <c r="G889" s="13" t="s">
        <v>11</v>
      </c>
      <c r="H889" s="13" t="s">
        <v>2792</v>
      </c>
    </row>
    <row r="890" spans="1:8" x14ac:dyDescent="0.25">
      <c r="A890" t="s">
        <v>1771</v>
      </c>
      <c r="B890" s="15" cm="1">
        <f t="array" ref="B890">_xll.GetPrice("FP-LBR-0541",,"Low",_SPECIFIEDvarPubDate,)</f>
        <v>506</v>
      </c>
      <c r="C890" s="1">
        <f t="shared" si="39"/>
        <v>45848</v>
      </c>
      <c r="D890">
        <f t="shared" si="40"/>
        <v>2025</v>
      </c>
      <c r="E890">
        <f t="shared" si="41"/>
        <v>7</v>
      </c>
      <c r="F890" s="13" t="s">
        <v>1772</v>
      </c>
      <c r="G890" s="13" t="s">
        <v>11</v>
      </c>
      <c r="H890" s="13" t="s">
        <v>2792</v>
      </c>
    </row>
    <row r="891" spans="1:8" x14ac:dyDescent="0.25">
      <c r="A891" t="s">
        <v>1773</v>
      </c>
      <c r="B891" s="15" cm="1">
        <f t="array" ref="B891">_xll.GetPrice("FP-LBR-0548",,"Low",_SPECIFIEDvarPubDate,)</f>
        <v>590</v>
      </c>
      <c r="C891" s="1">
        <f t="shared" si="39"/>
        <v>45848</v>
      </c>
      <c r="D891">
        <f t="shared" si="40"/>
        <v>2025</v>
      </c>
      <c r="E891">
        <f t="shared" si="41"/>
        <v>7</v>
      </c>
      <c r="F891" s="13" t="s">
        <v>1774</v>
      </c>
      <c r="G891" s="13" t="s">
        <v>11</v>
      </c>
      <c r="H891" s="13" t="s">
        <v>2792</v>
      </c>
    </row>
    <row r="892" spans="1:8" x14ac:dyDescent="0.25">
      <c r="A892" t="s">
        <v>1775</v>
      </c>
      <c r="B892" s="15" cm="1">
        <f t="array" ref="B892">_xll.GetPrice("FP-LBR-0549",,"Low",_SPECIFIEDvarPubDate,)</f>
        <v>530</v>
      </c>
      <c r="C892" s="1">
        <f t="shared" si="39"/>
        <v>45848</v>
      </c>
      <c r="D892">
        <f t="shared" si="40"/>
        <v>2025</v>
      </c>
      <c r="E892">
        <f t="shared" si="41"/>
        <v>7</v>
      </c>
      <c r="F892" s="13" t="s">
        <v>1776</v>
      </c>
      <c r="G892" s="13" t="s">
        <v>11</v>
      </c>
      <c r="H892" s="13" t="s">
        <v>2792</v>
      </c>
    </row>
    <row r="893" spans="1:8" x14ac:dyDescent="0.25">
      <c r="A893" t="s">
        <v>1777</v>
      </c>
      <c r="B893" s="15" cm="1">
        <f t="array" ref="B893">_xll.GetPrice("FP-LBR-1248",,"Low",_SPECIFIEDvarPubDate,)</f>
        <v>435</v>
      </c>
      <c r="C893" s="1">
        <f t="shared" si="39"/>
        <v>45848</v>
      </c>
      <c r="D893">
        <f t="shared" si="40"/>
        <v>2025</v>
      </c>
      <c r="E893">
        <f t="shared" si="41"/>
        <v>7</v>
      </c>
      <c r="F893" s="13" t="s">
        <v>1778</v>
      </c>
      <c r="G893" s="13" t="s">
        <v>11</v>
      </c>
      <c r="H893" s="13" t="s">
        <v>2792</v>
      </c>
    </row>
    <row r="894" spans="1:8" x14ac:dyDescent="0.25">
      <c r="A894" t="s">
        <v>1779</v>
      </c>
      <c r="B894" s="15" cm="1">
        <f t="array" ref="B894">_xll.GetPrice("FP-LBR-1258",,"Low",_SPECIFIEDvarPubDate,)</f>
        <v>445</v>
      </c>
      <c r="C894" s="1">
        <f t="shared" si="39"/>
        <v>45848</v>
      </c>
      <c r="D894">
        <f t="shared" si="40"/>
        <v>2025</v>
      </c>
      <c r="E894">
        <f t="shared" si="41"/>
        <v>7</v>
      </c>
      <c r="F894" s="13" t="s">
        <v>1780</v>
      </c>
      <c r="G894" s="13" t="s">
        <v>11</v>
      </c>
      <c r="H894" s="13" t="s">
        <v>2792</v>
      </c>
    </row>
    <row r="895" spans="1:8" x14ac:dyDescent="0.25">
      <c r="A895" t="s">
        <v>1781</v>
      </c>
      <c r="B895" s="15" cm="1">
        <f t="array" ref="B895">_xll.GetPrice("FP-LBR-0294",,"Low",_SPECIFIEDvarPubDate,)</f>
        <v>500</v>
      </c>
      <c r="C895" s="1">
        <f t="shared" si="39"/>
        <v>45848</v>
      </c>
      <c r="D895">
        <f t="shared" si="40"/>
        <v>2025</v>
      </c>
      <c r="E895">
        <f t="shared" si="41"/>
        <v>7</v>
      </c>
      <c r="F895" s="13" t="s">
        <v>1782</v>
      </c>
      <c r="G895" s="13" t="s">
        <v>11</v>
      </c>
      <c r="H895" s="13" t="s">
        <v>2792</v>
      </c>
    </row>
    <row r="896" spans="1:8" x14ac:dyDescent="0.25">
      <c r="A896" t="s">
        <v>1783</v>
      </c>
      <c r="B896" s="15" cm="1">
        <f t="array" ref="B896">_xll.GetPrice("FP-LBR-0290",,"Low",_SPECIFIEDvarPubDate,)</f>
        <v>505</v>
      </c>
      <c r="C896" s="1">
        <f t="shared" si="39"/>
        <v>45848</v>
      </c>
      <c r="D896">
        <f t="shared" si="40"/>
        <v>2025</v>
      </c>
      <c r="E896">
        <f t="shared" si="41"/>
        <v>7</v>
      </c>
      <c r="F896" s="13" t="s">
        <v>1784</v>
      </c>
      <c r="G896" s="13" t="s">
        <v>11</v>
      </c>
      <c r="H896" s="13" t="s">
        <v>2792</v>
      </c>
    </row>
    <row r="897" spans="1:8" x14ac:dyDescent="0.25">
      <c r="A897" t="s">
        <v>1785</v>
      </c>
      <c r="B897" s="15" cm="1">
        <f t="array" ref="B897">_xll.GetPrice("FP-LBR-0299",,"Low",_SPECIFIEDvarPubDate,)</f>
        <v>505</v>
      </c>
      <c r="C897" s="1">
        <f t="shared" ref="C897:C960" si="42">_SPECIFIEDvarPubDate</f>
        <v>45848</v>
      </c>
      <c r="D897">
        <f t="shared" ref="D897:D960" si="43">_SPECIFIEDvarYear</f>
        <v>2025</v>
      </c>
      <c r="E897">
        <f t="shared" ref="E897:E960" si="44">_SPECIFIEDvarMonth</f>
        <v>7</v>
      </c>
      <c r="F897" s="13" t="s">
        <v>1786</v>
      </c>
      <c r="G897" s="13" t="s">
        <v>11</v>
      </c>
      <c r="H897" s="13" t="s">
        <v>2792</v>
      </c>
    </row>
    <row r="898" spans="1:8" x14ac:dyDescent="0.25">
      <c r="A898" t="s">
        <v>1787</v>
      </c>
      <c r="B898" s="15" cm="1">
        <f t="array" ref="B898">_xll.GetPrice("FP-LBR-0278",,"Low",_SPECIFIEDvarPubDate,)</f>
        <v>660</v>
      </c>
      <c r="C898" s="1">
        <f t="shared" si="42"/>
        <v>45848</v>
      </c>
      <c r="D898">
        <f t="shared" si="43"/>
        <v>2025</v>
      </c>
      <c r="E898">
        <f t="shared" si="44"/>
        <v>7</v>
      </c>
      <c r="F898" s="13" t="s">
        <v>1788</v>
      </c>
      <c r="G898" s="13" t="s">
        <v>11</v>
      </c>
      <c r="H898" s="13" t="s">
        <v>2792</v>
      </c>
    </row>
    <row r="899" spans="1:8" x14ac:dyDescent="0.25">
      <c r="A899" t="s">
        <v>1789</v>
      </c>
      <c r="B899" s="15" cm="1">
        <f t="array" ref="B899">_xll.GetPrice("FP-LBR-1264",,"Low",_SPECIFIEDvarPubDate,)</f>
        <v>625</v>
      </c>
      <c r="C899" s="1">
        <f t="shared" si="42"/>
        <v>45848</v>
      </c>
      <c r="D899">
        <f t="shared" si="43"/>
        <v>2025</v>
      </c>
      <c r="E899">
        <f t="shared" si="44"/>
        <v>7</v>
      </c>
      <c r="F899" s="13" t="s">
        <v>1790</v>
      </c>
      <c r="G899" s="13" t="s">
        <v>11</v>
      </c>
      <c r="H899" s="13" t="s">
        <v>2792</v>
      </c>
    </row>
    <row r="900" spans="1:8" x14ac:dyDescent="0.25">
      <c r="A900" t="s">
        <v>1791</v>
      </c>
      <c r="B900" s="15" cm="1">
        <f t="array" ref="B900">_xll.GetPrice("FP-LBR-1250",,"Low",_SPECIFIEDvarPubDate,)</f>
        <v>575</v>
      </c>
      <c r="C900" s="1">
        <f t="shared" si="42"/>
        <v>45848</v>
      </c>
      <c r="D900">
        <f t="shared" si="43"/>
        <v>2025</v>
      </c>
      <c r="E900">
        <f t="shared" si="44"/>
        <v>7</v>
      </c>
      <c r="F900" s="13" t="s">
        <v>1792</v>
      </c>
      <c r="G900" s="13" t="s">
        <v>11</v>
      </c>
      <c r="H900" s="13" t="s">
        <v>2792</v>
      </c>
    </row>
    <row r="901" spans="1:8" x14ac:dyDescent="0.25">
      <c r="A901" t="s">
        <v>1793</v>
      </c>
      <c r="B901" s="15" cm="1">
        <f t="array" ref="B901">_xll.GetPrice("FP-LBR-1260",,"Low",_SPECIFIEDvarPubDate,)</f>
        <v>575</v>
      </c>
      <c r="C901" s="1">
        <f t="shared" si="42"/>
        <v>45848</v>
      </c>
      <c r="D901">
        <f t="shared" si="43"/>
        <v>2025</v>
      </c>
      <c r="E901">
        <f t="shared" si="44"/>
        <v>7</v>
      </c>
      <c r="F901" s="13" t="s">
        <v>1794</v>
      </c>
      <c r="G901" s="13" t="s">
        <v>11</v>
      </c>
      <c r="H901" s="13" t="s">
        <v>2792</v>
      </c>
    </row>
    <row r="902" spans="1:8" x14ac:dyDescent="0.25">
      <c r="A902" t="s">
        <v>1795</v>
      </c>
      <c r="B902" s="15" cm="1">
        <f t="array" ref="B902">_xll.GetPrice("FP-LBR-0303",,"Low",_SPECIFIEDvarPubDate,)</f>
        <v>465</v>
      </c>
      <c r="C902" s="1">
        <f t="shared" si="42"/>
        <v>45848</v>
      </c>
      <c r="D902">
        <f t="shared" si="43"/>
        <v>2025</v>
      </c>
      <c r="E902">
        <f t="shared" si="44"/>
        <v>7</v>
      </c>
      <c r="F902" s="13" t="s">
        <v>1796</v>
      </c>
      <c r="G902" s="13" t="s">
        <v>11</v>
      </c>
      <c r="H902" s="13" t="s">
        <v>2792</v>
      </c>
    </row>
    <row r="903" spans="1:8" x14ac:dyDescent="0.25">
      <c r="A903" t="s">
        <v>1797</v>
      </c>
      <c r="B903" s="15" cm="1">
        <f t="array" ref="B903">_xll.GetPrice("FP-LBR-0300",,"Low",_SPECIFIEDvarPubDate,)</f>
        <v>465</v>
      </c>
      <c r="C903" s="1">
        <f t="shared" si="42"/>
        <v>45848</v>
      </c>
      <c r="D903">
        <f t="shared" si="43"/>
        <v>2025</v>
      </c>
      <c r="E903">
        <f t="shared" si="44"/>
        <v>7</v>
      </c>
      <c r="F903" s="13" t="s">
        <v>1798</v>
      </c>
      <c r="G903" s="13" t="s">
        <v>11</v>
      </c>
      <c r="H903" s="13" t="s">
        <v>2792</v>
      </c>
    </row>
    <row r="904" spans="1:8" x14ac:dyDescent="0.25">
      <c r="A904" t="s">
        <v>1799</v>
      </c>
      <c r="B904" s="15" cm="1">
        <f t="array" ref="B904">_xll.GetPrice("FP-LBR-0301",,"Low",_SPECIFIEDvarPubDate,)</f>
        <v>465</v>
      </c>
      <c r="C904" s="1">
        <f t="shared" si="42"/>
        <v>45848</v>
      </c>
      <c r="D904">
        <f t="shared" si="43"/>
        <v>2025</v>
      </c>
      <c r="E904">
        <f t="shared" si="44"/>
        <v>7</v>
      </c>
      <c r="F904" s="13" t="s">
        <v>1800</v>
      </c>
      <c r="G904" s="13" t="s">
        <v>11</v>
      </c>
      <c r="H904" s="13" t="s">
        <v>2792</v>
      </c>
    </row>
    <row r="905" spans="1:8" x14ac:dyDescent="0.25">
      <c r="A905" t="s">
        <v>1801</v>
      </c>
      <c r="B905" s="15" cm="1">
        <f t="array" ref="B905">_xll.GetPrice("FP-LBR-0433",,"Low",_SPECIFIEDvarPubDate,)</f>
        <v>248</v>
      </c>
      <c r="C905" s="1">
        <f t="shared" si="42"/>
        <v>45848</v>
      </c>
      <c r="D905">
        <f t="shared" si="43"/>
        <v>2025</v>
      </c>
      <c r="E905">
        <f t="shared" si="44"/>
        <v>7</v>
      </c>
      <c r="F905" s="13" t="s">
        <v>1802</v>
      </c>
      <c r="G905" s="13" t="s">
        <v>11</v>
      </c>
      <c r="H905" s="13" t="s">
        <v>2792</v>
      </c>
    </row>
    <row r="906" spans="1:8" x14ac:dyDescent="0.25">
      <c r="A906" t="s">
        <v>1803</v>
      </c>
      <c r="B906" s="15" cm="1">
        <f t="array" ref="B906">_xll.GetPrice("FP-LBR-0434",,"Low",_SPECIFIEDvarPubDate,)</f>
        <v>233</v>
      </c>
      <c r="C906" s="1">
        <f t="shared" si="42"/>
        <v>45848</v>
      </c>
      <c r="D906">
        <f t="shared" si="43"/>
        <v>2025</v>
      </c>
      <c r="E906">
        <f t="shared" si="44"/>
        <v>7</v>
      </c>
      <c r="F906" s="13" t="s">
        <v>1804</v>
      </c>
      <c r="G906" s="13" t="s">
        <v>11</v>
      </c>
      <c r="H906" s="13" t="s">
        <v>2792</v>
      </c>
    </row>
    <row r="907" spans="1:8" x14ac:dyDescent="0.25">
      <c r="A907" t="s">
        <v>1805</v>
      </c>
      <c r="B907" s="15" cm="1">
        <f t="array" ref="B907">_xll.GetPrice("FP-LBR-0435",,"Low",_SPECIFIEDvarPubDate,)</f>
        <v>240</v>
      </c>
      <c r="C907" s="1">
        <f t="shared" si="42"/>
        <v>45848</v>
      </c>
      <c r="D907">
        <f t="shared" si="43"/>
        <v>2025</v>
      </c>
      <c r="E907">
        <f t="shared" si="44"/>
        <v>7</v>
      </c>
      <c r="F907" s="13" t="s">
        <v>1806</v>
      </c>
      <c r="G907" s="13" t="s">
        <v>11</v>
      </c>
      <c r="H907" s="13" t="s">
        <v>2792</v>
      </c>
    </row>
    <row r="908" spans="1:8" x14ac:dyDescent="0.25">
      <c r="A908" t="s">
        <v>1807</v>
      </c>
      <c r="B908" s="15" cm="1">
        <f t="array" ref="B908">_xll.GetPrice("FP-LBR-0436",,"Low",_SPECIFIEDvarPubDate,)</f>
        <v>235</v>
      </c>
      <c r="C908" s="1">
        <f t="shared" si="42"/>
        <v>45848</v>
      </c>
      <c r="D908">
        <f t="shared" si="43"/>
        <v>2025</v>
      </c>
      <c r="E908">
        <f t="shared" si="44"/>
        <v>7</v>
      </c>
      <c r="F908" s="13" t="s">
        <v>1808</v>
      </c>
      <c r="G908" s="13" t="s">
        <v>11</v>
      </c>
      <c r="H908" s="13" t="s">
        <v>2792</v>
      </c>
    </row>
    <row r="909" spans="1:8" x14ac:dyDescent="0.25">
      <c r="A909" t="s">
        <v>1809</v>
      </c>
      <c r="B909" s="15" cm="1">
        <f t="array" ref="B909">_xll.GetPrice("FP-LBR-0437",,"Low",_SPECIFIEDvarPubDate,)</f>
        <v>230</v>
      </c>
      <c r="C909" s="1">
        <f t="shared" si="42"/>
        <v>45848</v>
      </c>
      <c r="D909">
        <f t="shared" si="43"/>
        <v>2025</v>
      </c>
      <c r="E909">
        <f t="shared" si="44"/>
        <v>7</v>
      </c>
      <c r="F909" s="13" t="s">
        <v>1810</v>
      </c>
      <c r="G909" s="13" t="s">
        <v>11</v>
      </c>
      <c r="H909" s="13" t="s">
        <v>2792</v>
      </c>
    </row>
    <row r="910" spans="1:8" x14ac:dyDescent="0.25">
      <c r="A910" t="s">
        <v>1811</v>
      </c>
      <c r="B910" s="15" cm="1">
        <f t="array" ref="B910">_xll.GetPrice("FP-LBR-0282",,"Low",_SPECIFIEDvarPubDate,)</f>
        <v>585</v>
      </c>
      <c r="C910" s="1">
        <f t="shared" si="42"/>
        <v>45848</v>
      </c>
      <c r="D910">
        <f t="shared" si="43"/>
        <v>2025</v>
      </c>
      <c r="E910">
        <f t="shared" si="44"/>
        <v>7</v>
      </c>
      <c r="F910" s="13" t="s">
        <v>1812</v>
      </c>
      <c r="G910" s="13" t="s">
        <v>11</v>
      </c>
      <c r="H910" s="13" t="s">
        <v>2792</v>
      </c>
    </row>
    <row r="911" spans="1:8" x14ac:dyDescent="0.25">
      <c r="A911" t="s">
        <v>1813</v>
      </c>
      <c r="B911" s="15" cm="1">
        <f t="array" ref="B911">_xll.GetPrice("FP-LBR-0283",,"Low",_SPECIFIEDvarPubDate,)</f>
        <v>595</v>
      </c>
      <c r="C911" s="1">
        <f t="shared" si="42"/>
        <v>45848</v>
      </c>
      <c r="D911">
        <f t="shared" si="43"/>
        <v>2025</v>
      </c>
      <c r="E911">
        <f t="shared" si="44"/>
        <v>7</v>
      </c>
      <c r="F911" s="13" t="s">
        <v>1814</v>
      </c>
      <c r="G911" s="13" t="s">
        <v>11</v>
      </c>
      <c r="H911" s="13" t="s">
        <v>2792</v>
      </c>
    </row>
    <row r="912" spans="1:8" x14ac:dyDescent="0.25">
      <c r="A912" t="s">
        <v>1815</v>
      </c>
      <c r="B912" s="15" cm="1">
        <f t="array" ref="B912">_xll.GetPrice("FP-LBR-0273",,"Low",_SPECIFIEDvarPubDate,)</f>
        <v>590</v>
      </c>
      <c r="C912" s="1">
        <f t="shared" si="42"/>
        <v>45848</v>
      </c>
      <c r="D912">
        <f t="shared" si="43"/>
        <v>2025</v>
      </c>
      <c r="E912">
        <f t="shared" si="44"/>
        <v>7</v>
      </c>
      <c r="F912" s="13" t="s">
        <v>1816</v>
      </c>
      <c r="G912" s="13" t="s">
        <v>11</v>
      </c>
      <c r="H912" s="13" t="s">
        <v>2792</v>
      </c>
    </row>
    <row r="913" spans="1:8" x14ac:dyDescent="0.25">
      <c r="A913" t="s">
        <v>1817</v>
      </c>
      <c r="B913" s="15" cm="1">
        <f t="array" ref="B913">_xll.GetPrice("FP-LBR-0276",,"Low",_SPECIFIEDvarPubDate,)</f>
        <v>640</v>
      </c>
      <c r="C913" s="1">
        <f t="shared" si="42"/>
        <v>45848</v>
      </c>
      <c r="D913">
        <f t="shared" si="43"/>
        <v>2025</v>
      </c>
      <c r="E913">
        <f t="shared" si="44"/>
        <v>7</v>
      </c>
      <c r="F913" s="13" t="s">
        <v>1818</v>
      </c>
      <c r="G913" s="13" t="s">
        <v>11</v>
      </c>
      <c r="H913" s="13" t="s">
        <v>2792</v>
      </c>
    </row>
    <row r="914" spans="1:8" x14ac:dyDescent="0.25">
      <c r="A914" t="s">
        <v>1819</v>
      </c>
      <c r="B914" s="15" cm="1">
        <f t="array" ref="B914">_xll.GetPrice("FP-LBR-0275",,"Low",_SPECIFIEDvarPubDate,)</f>
        <v>515</v>
      </c>
      <c r="C914" s="1">
        <f t="shared" si="42"/>
        <v>45848</v>
      </c>
      <c r="D914">
        <f t="shared" si="43"/>
        <v>2025</v>
      </c>
      <c r="E914">
        <f t="shared" si="44"/>
        <v>7</v>
      </c>
      <c r="F914" s="13" t="s">
        <v>1820</v>
      </c>
      <c r="G914" s="13" t="s">
        <v>11</v>
      </c>
      <c r="H914" s="13" t="s">
        <v>2792</v>
      </c>
    </row>
    <row r="915" spans="1:8" x14ac:dyDescent="0.25">
      <c r="A915" t="s">
        <v>1821</v>
      </c>
      <c r="B915" s="15" cm="1">
        <f t="array" ref="B915">_xll.GetPrice("FP-LBR-0284",,"Low",_SPECIFIEDvarPubDate,)</f>
        <v>630</v>
      </c>
      <c r="C915" s="1">
        <f t="shared" si="42"/>
        <v>45848</v>
      </c>
      <c r="D915">
        <f t="shared" si="43"/>
        <v>2025</v>
      </c>
      <c r="E915">
        <f t="shared" si="44"/>
        <v>7</v>
      </c>
      <c r="F915" s="13" t="s">
        <v>1822</v>
      </c>
      <c r="G915" s="13" t="s">
        <v>11</v>
      </c>
      <c r="H915" s="13" t="s">
        <v>2792</v>
      </c>
    </row>
    <row r="916" spans="1:8" x14ac:dyDescent="0.25">
      <c r="A916" t="s">
        <v>1823</v>
      </c>
      <c r="B916" s="15" cm="1">
        <f t="array" ref="B916">_xll.GetPrice("FP-LBR-0285",,"Low",_SPECIFIEDvarPubDate,)</f>
        <v>555</v>
      </c>
      <c r="C916" s="1">
        <f t="shared" si="42"/>
        <v>45848</v>
      </c>
      <c r="D916">
        <f t="shared" si="43"/>
        <v>2025</v>
      </c>
      <c r="E916">
        <f t="shared" si="44"/>
        <v>7</v>
      </c>
      <c r="F916" s="13" t="s">
        <v>1824</v>
      </c>
      <c r="G916" s="13" t="s">
        <v>11</v>
      </c>
      <c r="H916" s="13" t="s">
        <v>2792</v>
      </c>
    </row>
    <row r="917" spans="1:8" x14ac:dyDescent="0.25">
      <c r="A917" t="s">
        <v>1825</v>
      </c>
      <c r="B917" s="15" cm="1">
        <f t="array" ref="B917">_xll.GetPrice("FP-LBR-0286",,"Low",_SPECIFIEDvarPubDate,)</f>
        <v>565</v>
      </c>
      <c r="C917" s="1">
        <f t="shared" si="42"/>
        <v>45848</v>
      </c>
      <c r="D917">
        <f t="shared" si="43"/>
        <v>2025</v>
      </c>
      <c r="E917">
        <f t="shared" si="44"/>
        <v>7</v>
      </c>
      <c r="F917" s="13" t="s">
        <v>1826</v>
      </c>
      <c r="G917" s="13" t="s">
        <v>11</v>
      </c>
      <c r="H917" s="13" t="s">
        <v>2792</v>
      </c>
    </row>
    <row r="918" spans="1:8" x14ac:dyDescent="0.25">
      <c r="A918" t="s">
        <v>1827</v>
      </c>
      <c r="B918" s="15" cm="1">
        <f t="array" ref="B918">_xll.GetPrice("FP-LBR-1267",,"Low",_SPECIFIEDvarPubDate,)</f>
        <v>655</v>
      </c>
      <c r="C918" s="1">
        <f t="shared" si="42"/>
        <v>45848</v>
      </c>
      <c r="D918">
        <f t="shared" si="43"/>
        <v>2025</v>
      </c>
      <c r="E918">
        <f t="shared" si="44"/>
        <v>7</v>
      </c>
      <c r="F918" s="13" t="s">
        <v>1828</v>
      </c>
      <c r="G918" s="13" t="s">
        <v>11</v>
      </c>
      <c r="H918" s="13" t="s">
        <v>2792</v>
      </c>
    </row>
    <row r="919" spans="1:8" x14ac:dyDescent="0.25">
      <c r="A919" t="s">
        <v>1829</v>
      </c>
      <c r="B919" s="15" cm="1">
        <f t="array" ref="B919">_xll.GetPrice("FP-LBR-0925",,"Low",_SPECIFIEDvarPubDate,)</f>
        <v>1900</v>
      </c>
      <c r="C919" s="1">
        <f t="shared" si="42"/>
        <v>45848</v>
      </c>
      <c r="D919">
        <f t="shared" si="43"/>
        <v>2025</v>
      </c>
      <c r="E919">
        <f t="shared" si="44"/>
        <v>7</v>
      </c>
      <c r="F919" s="13" t="s">
        <v>1830</v>
      </c>
      <c r="G919" s="13" t="s">
        <v>11</v>
      </c>
      <c r="H919" s="13" t="s">
        <v>2792</v>
      </c>
    </row>
    <row r="920" spans="1:8" x14ac:dyDescent="0.25">
      <c r="A920" t="s">
        <v>1831</v>
      </c>
      <c r="B920" s="15" cm="1">
        <f t="array" ref="B920">_xll.GetPrice("FP-LBR-0927",,"Low",_SPECIFIEDvarPubDate,)</f>
        <v>1800</v>
      </c>
      <c r="C920" s="1">
        <f t="shared" si="42"/>
        <v>45848</v>
      </c>
      <c r="D920">
        <f t="shared" si="43"/>
        <v>2025</v>
      </c>
      <c r="E920">
        <f t="shared" si="44"/>
        <v>7</v>
      </c>
      <c r="F920" s="13" t="s">
        <v>1832</v>
      </c>
      <c r="G920" s="13" t="s">
        <v>11</v>
      </c>
      <c r="H920" s="13" t="s">
        <v>2792</v>
      </c>
    </row>
    <row r="921" spans="1:8" x14ac:dyDescent="0.25">
      <c r="A921" t="s">
        <v>1833</v>
      </c>
      <c r="B921" s="15" cm="1">
        <f t="array" ref="B921">_xll.GetPrice("FP-LBR-0929",,"Low",_SPECIFIEDvarPubDate,)</f>
        <v>1600</v>
      </c>
      <c r="C921" s="1">
        <f t="shared" si="42"/>
        <v>45848</v>
      </c>
      <c r="D921">
        <f t="shared" si="43"/>
        <v>2025</v>
      </c>
      <c r="E921">
        <f t="shared" si="44"/>
        <v>7</v>
      </c>
      <c r="F921" s="13" t="s">
        <v>1834</v>
      </c>
      <c r="G921" s="13" t="s">
        <v>11</v>
      </c>
      <c r="H921" s="13" t="s">
        <v>2792</v>
      </c>
    </row>
    <row r="922" spans="1:8" x14ac:dyDescent="0.25">
      <c r="A922" t="s">
        <v>1835</v>
      </c>
      <c r="B922" s="15" cm="1">
        <f t="array" ref="B922">_xll.GetPrice("FP-LBR-0931",,"Low",_SPECIFIEDvarPubDate,)</f>
        <v>560</v>
      </c>
      <c r="C922" s="1">
        <f t="shared" si="42"/>
        <v>45848</v>
      </c>
      <c r="D922">
        <f t="shared" si="43"/>
        <v>2025</v>
      </c>
      <c r="E922">
        <f t="shared" si="44"/>
        <v>7</v>
      </c>
      <c r="F922" s="13" t="s">
        <v>1836</v>
      </c>
      <c r="G922" s="13" t="s">
        <v>11</v>
      </c>
      <c r="H922" s="13" t="s">
        <v>2792</v>
      </c>
    </row>
    <row r="923" spans="1:8" x14ac:dyDescent="0.25">
      <c r="A923" t="s">
        <v>1837</v>
      </c>
      <c r="B923" s="15" cm="1">
        <f t="array" ref="B923">_xll.GetPrice("FP-LBR-0274",,"Low",_SPECIFIEDvarPubDate,)</f>
        <v>630</v>
      </c>
      <c r="C923" s="1">
        <f t="shared" si="42"/>
        <v>45848</v>
      </c>
      <c r="D923">
        <f t="shared" si="43"/>
        <v>2025</v>
      </c>
      <c r="E923">
        <f t="shared" si="44"/>
        <v>7</v>
      </c>
      <c r="F923" s="13" t="s">
        <v>1838</v>
      </c>
      <c r="G923" s="13" t="s">
        <v>11</v>
      </c>
      <c r="H923" s="13" t="s">
        <v>2792</v>
      </c>
    </row>
    <row r="924" spans="1:8" x14ac:dyDescent="0.25">
      <c r="A924" t="s">
        <v>1839</v>
      </c>
      <c r="B924" s="15" cm="1">
        <f t="array" ref="B924">_xll.GetPrice("FP-LBR-0173",,"Low",_SPECIFIEDvarPubDate,)</f>
        <v>475</v>
      </c>
      <c r="C924" s="1">
        <f t="shared" si="42"/>
        <v>45848</v>
      </c>
      <c r="D924">
        <f t="shared" si="43"/>
        <v>2025</v>
      </c>
      <c r="E924">
        <f t="shared" si="44"/>
        <v>7</v>
      </c>
      <c r="F924" s="13" t="s">
        <v>1840</v>
      </c>
      <c r="G924" s="13" t="s">
        <v>11</v>
      </c>
      <c r="H924" s="13" t="s">
        <v>2792</v>
      </c>
    </row>
    <row r="925" spans="1:8" x14ac:dyDescent="0.25">
      <c r="A925" t="s">
        <v>1841</v>
      </c>
      <c r="B925" s="15" cm="1">
        <f t="array" ref="B925">_xll.GetPrice("FP-LBR-0175",,"Low",_SPECIFIEDvarPubDate,)</f>
        <v>420</v>
      </c>
      <c r="C925" s="1">
        <f t="shared" si="42"/>
        <v>45848</v>
      </c>
      <c r="D925">
        <f t="shared" si="43"/>
        <v>2025</v>
      </c>
      <c r="E925">
        <f t="shared" si="44"/>
        <v>7</v>
      </c>
      <c r="F925" s="13" t="s">
        <v>1842</v>
      </c>
      <c r="G925" s="13" t="s">
        <v>11</v>
      </c>
      <c r="H925" s="13" t="s">
        <v>2792</v>
      </c>
    </row>
    <row r="926" spans="1:8" x14ac:dyDescent="0.25">
      <c r="A926" t="s">
        <v>1843</v>
      </c>
      <c r="B926" s="15" cm="1">
        <f t="array" ref="B926">_xll.GetPrice("FP-LBR-0176",,"Low",_SPECIFIEDvarPubDate,)</f>
        <v>475</v>
      </c>
      <c r="C926" s="1">
        <f t="shared" si="42"/>
        <v>45848</v>
      </c>
      <c r="D926">
        <f t="shared" si="43"/>
        <v>2025</v>
      </c>
      <c r="E926">
        <f t="shared" si="44"/>
        <v>7</v>
      </c>
      <c r="F926" s="13" t="s">
        <v>1844</v>
      </c>
      <c r="G926" s="13" t="s">
        <v>11</v>
      </c>
      <c r="H926" s="13" t="s">
        <v>2792</v>
      </c>
    </row>
    <row r="927" spans="1:8" x14ac:dyDescent="0.25">
      <c r="A927" t="s">
        <v>1845</v>
      </c>
      <c r="B927" s="15" cm="1">
        <f t="array" ref="B927">_xll.GetPrice("FP-LBR-0180",,"Low",_SPECIFIEDvarPubDate,)</f>
        <v>485</v>
      </c>
      <c r="C927" s="1">
        <f t="shared" si="42"/>
        <v>45848</v>
      </c>
      <c r="D927">
        <f t="shared" si="43"/>
        <v>2025</v>
      </c>
      <c r="E927">
        <f t="shared" si="44"/>
        <v>7</v>
      </c>
      <c r="F927" s="13" t="s">
        <v>1846</v>
      </c>
      <c r="G927" s="13" t="s">
        <v>11</v>
      </c>
      <c r="H927" s="13" t="s">
        <v>2792</v>
      </c>
    </row>
    <row r="928" spans="1:8" x14ac:dyDescent="0.25">
      <c r="A928" t="s">
        <v>1847</v>
      </c>
      <c r="B928" s="15" cm="1">
        <f t="array" ref="B928">_xll.GetPrice("FP-LBR-0182",,"Low",_SPECIFIEDvarPubDate,)</f>
        <v>440</v>
      </c>
      <c r="C928" s="1">
        <f t="shared" si="42"/>
        <v>45848</v>
      </c>
      <c r="D928">
        <f t="shared" si="43"/>
        <v>2025</v>
      </c>
      <c r="E928">
        <f t="shared" si="44"/>
        <v>7</v>
      </c>
      <c r="F928" s="13" t="s">
        <v>1848</v>
      </c>
      <c r="G928" s="13" t="s">
        <v>11</v>
      </c>
      <c r="H928" s="13" t="s">
        <v>2792</v>
      </c>
    </row>
    <row r="929" spans="1:8" x14ac:dyDescent="0.25">
      <c r="A929" t="s">
        <v>1849</v>
      </c>
      <c r="B929" s="15" cm="1">
        <f t="array" ref="B929">_xll.GetPrice("FP-LBR-0183",,"Low",_SPECIFIEDvarPubDate,)</f>
        <v>485</v>
      </c>
      <c r="C929" s="1">
        <f t="shared" si="42"/>
        <v>45848</v>
      </c>
      <c r="D929">
        <f t="shared" si="43"/>
        <v>2025</v>
      </c>
      <c r="E929">
        <f t="shared" si="44"/>
        <v>7</v>
      </c>
      <c r="F929" s="13" t="s">
        <v>1850</v>
      </c>
      <c r="G929" s="13" t="s">
        <v>11</v>
      </c>
      <c r="H929" s="13" t="s">
        <v>2792</v>
      </c>
    </row>
    <row r="930" spans="1:8" x14ac:dyDescent="0.25">
      <c r="A930" t="s">
        <v>1851</v>
      </c>
      <c r="B930" s="15" cm="1">
        <f t="array" ref="B930">_xll.GetPrice("FP-LBR-0428",,"Low",_SPECIFIEDvarPubDate,)</f>
        <v>715</v>
      </c>
      <c r="C930" s="1">
        <f t="shared" si="42"/>
        <v>45848</v>
      </c>
      <c r="D930">
        <f t="shared" si="43"/>
        <v>2025</v>
      </c>
      <c r="E930">
        <f t="shared" si="44"/>
        <v>7</v>
      </c>
      <c r="F930" s="13" t="s">
        <v>1852</v>
      </c>
      <c r="G930" s="13" t="s">
        <v>11</v>
      </c>
      <c r="H930" s="13" t="s">
        <v>2792</v>
      </c>
    </row>
    <row r="931" spans="1:8" x14ac:dyDescent="0.25">
      <c r="A931" t="s">
        <v>1853</v>
      </c>
      <c r="B931" s="15" cm="1">
        <f t="array" ref="B931">_xll.GetPrice("FP-LBR-0429",,"Low",_SPECIFIEDvarPubDate,)</f>
        <v>690</v>
      </c>
      <c r="C931" s="1">
        <f t="shared" si="42"/>
        <v>45848</v>
      </c>
      <c r="D931">
        <f t="shared" si="43"/>
        <v>2025</v>
      </c>
      <c r="E931">
        <f t="shared" si="44"/>
        <v>7</v>
      </c>
      <c r="F931" s="13" t="s">
        <v>1854</v>
      </c>
      <c r="G931" s="13" t="s">
        <v>11</v>
      </c>
      <c r="H931" s="13" t="s">
        <v>2792</v>
      </c>
    </row>
    <row r="932" spans="1:8" x14ac:dyDescent="0.25">
      <c r="A932" t="s">
        <v>1855</v>
      </c>
      <c r="B932" s="15" cm="1">
        <f t="array" ref="B932">_xll.GetPrice("FP-LBR-0431",,"Low",_SPECIFIEDvarPubDate,)</f>
        <v>565</v>
      </c>
      <c r="C932" s="1">
        <f t="shared" si="42"/>
        <v>45848</v>
      </c>
      <c r="D932">
        <f t="shared" si="43"/>
        <v>2025</v>
      </c>
      <c r="E932">
        <f t="shared" si="44"/>
        <v>7</v>
      </c>
      <c r="F932" s="13" t="s">
        <v>1856</v>
      </c>
      <c r="G932" s="13" t="s">
        <v>11</v>
      </c>
      <c r="H932" s="13" t="s">
        <v>2792</v>
      </c>
    </row>
    <row r="933" spans="1:8" x14ac:dyDescent="0.25">
      <c r="A933" t="s">
        <v>1857</v>
      </c>
      <c r="B933" s="15" cm="1">
        <f t="array" ref="B933">_xll.GetPrice("FP-LBR-0174",,"Low",_SPECIFIEDvarPubDate,)</f>
        <v>475</v>
      </c>
      <c r="C933" s="1">
        <f t="shared" si="42"/>
        <v>45848</v>
      </c>
      <c r="D933">
        <f t="shared" si="43"/>
        <v>2025</v>
      </c>
      <c r="E933">
        <f t="shared" si="44"/>
        <v>7</v>
      </c>
      <c r="F933" s="13" t="s">
        <v>1858</v>
      </c>
      <c r="G933" s="13" t="s">
        <v>11</v>
      </c>
      <c r="H933" s="13" t="s">
        <v>2792</v>
      </c>
    </row>
    <row r="934" spans="1:8" x14ac:dyDescent="0.25">
      <c r="A934" t="s">
        <v>1859</v>
      </c>
      <c r="B934" s="15" cm="1">
        <f t="array" ref="B934">_xll.GetPrice("FP-LBR-0938",,"Low",_SPECIFIEDvarPubDate,)</f>
        <v>1060</v>
      </c>
      <c r="C934" s="1">
        <f t="shared" si="42"/>
        <v>45848</v>
      </c>
      <c r="D934">
        <f t="shared" si="43"/>
        <v>2025</v>
      </c>
      <c r="E934">
        <f t="shared" si="44"/>
        <v>7</v>
      </c>
      <c r="F934" s="13" t="s">
        <v>1860</v>
      </c>
      <c r="G934" s="13" t="s">
        <v>11</v>
      </c>
      <c r="H934" s="13" t="s">
        <v>2792</v>
      </c>
    </row>
    <row r="935" spans="1:8" x14ac:dyDescent="0.25">
      <c r="A935" t="s">
        <v>1861</v>
      </c>
      <c r="B935" s="15" cm="1">
        <f t="array" ref="B935">_xll.GetPrice("FP-LBR-0940",,"Low",_SPECIFIEDvarPubDate,)</f>
        <v>1050</v>
      </c>
      <c r="C935" s="1">
        <f t="shared" si="42"/>
        <v>45848</v>
      </c>
      <c r="D935">
        <f t="shared" si="43"/>
        <v>2025</v>
      </c>
      <c r="E935">
        <f t="shared" si="44"/>
        <v>7</v>
      </c>
      <c r="F935" s="13" t="s">
        <v>1862</v>
      </c>
      <c r="G935" s="13" t="s">
        <v>11</v>
      </c>
      <c r="H935" s="13" t="s">
        <v>2792</v>
      </c>
    </row>
    <row r="936" spans="1:8" x14ac:dyDescent="0.25">
      <c r="A936" t="s">
        <v>1863</v>
      </c>
      <c r="B936" s="15" cm="1">
        <f t="array" ref="B936">_xll.GetPrice("FP-LBR-0941",,"Low",_SPECIFIEDvarPubDate,)</f>
        <v>1150</v>
      </c>
      <c r="C936" s="1">
        <f t="shared" si="42"/>
        <v>45848</v>
      </c>
      <c r="D936">
        <f t="shared" si="43"/>
        <v>2025</v>
      </c>
      <c r="E936">
        <f t="shared" si="44"/>
        <v>7</v>
      </c>
      <c r="F936" s="13" t="s">
        <v>1864</v>
      </c>
      <c r="G936" s="13" t="s">
        <v>11</v>
      </c>
      <c r="H936" s="13" t="s">
        <v>2792</v>
      </c>
    </row>
    <row r="937" spans="1:8" x14ac:dyDescent="0.25">
      <c r="A937" t="s">
        <v>1865</v>
      </c>
      <c r="B937" s="15" cm="1">
        <f t="array" ref="B937">_xll.GetPrice("FP-LBR-0943",,"Low",_SPECIFIEDvarPubDate,)</f>
        <v>1090</v>
      </c>
      <c r="C937" s="1">
        <f t="shared" si="42"/>
        <v>45848</v>
      </c>
      <c r="D937">
        <f t="shared" si="43"/>
        <v>2025</v>
      </c>
      <c r="E937">
        <f t="shared" si="44"/>
        <v>7</v>
      </c>
      <c r="F937" s="13" t="s">
        <v>1866</v>
      </c>
      <c r="G937" s="13" t="s">
        <v>11</v>
      </c>
      <c r="H937" s="13" t="s">
        <v>2792</v>
      </c>
    </row>
    <row r="938" spans="1:8" x14ac:dyDescent="0.25">
      <c r="A938" t="s">
        <v>1867</v>
      </c>
      <c r="B938" s="15" cm="1">
        <f t="array" ref="B938">_xll.GetPrice("FP-LBR-0426",,"Low",_SPECIFIEDvarPubDate,)</f>
        <v>620</v>
      </c>
      <c r="C938" s="1">
        <f t="shared" si="42"/>
        <v>45848</v>
      </c>
      <c r="D938">
        <f t="shared" si="43"/>
        <v>2025</v>
      </c>
      <c r="E938">
        <f t="shared" si="44"/>
        <v>7</v>
      </c>
      <c r="F938" s="13" t="s">
        <v>1868</v>
      </c>
      <c r="G938" s="13" t="s">
        <v>11</v>
      </c>
      <c r="H938" s="13" t="s">
        <v>2792</v>
      </c>
    </row>
    <row r="939" spans="1:8" x14ac:dyDescent="0.25">
      <c r="A939" t="s">
        <v>1869</v>
      </c>
      <c r="B939" s="15" cm="1">
        <f t="array" ref="B939">_xll.GetPrice("FP-LBR-0430",,"Low",_SPECIFIEDvarPubDate,)</f>
        <v>645</v>
      </c>
      <c r="C939" s="1">
        <f t="shared" si="42"/>
        <v>45848</v>
      </c>
      <c r="D939">
        <f t="shared" si="43"/>
        <v>2025</v>
      </c>
      <c r="E939">
        <f t="shared" si="44"/>
        <v>7</v>
      </c>
      <c r="F939" s="13" t="s">
        <v>1870</v>
      </c>
      <c r="G939" s="13" t="s">
        <v>11</v>
      </c>
      <c r="H939" s="13" t="s">
        <v>2792</v>
      </c>
    </row>
    <row r="940" spans="1:8" x14ac:dyDescent="0.25">
      <c r="A940" t="s">
        <v>1871</v>
      </c>
      <c r="B940" s="15" cm="1">
        <f t="array" ref="B940">_xll.GetPrice("FP-LBR-1415",,"Low",_SPECIFIEDvarPubDate,)</f>
        <v>1275</v>
      </c>
      <c r="C940" s="1">
        <f t="shared" si="42"/>
        <v>45848</v>
      </c>
      <c r="D940">
        <f t="shared" si="43"/>
        <v>2025</v>
      </c>
      <c r="E940">
        <f t="shared" si="44"/>
        <v>7</v>
      </c>
      <c r="F940" s="13" t="s">
        <v>1872</v>
      </c>
      <c r="G940" s="13" t="s">
        <v>11</v>
      </c>
      <c r="H940" s="13" t="s">
        <v>2792</v>
      </c>
    </row>
    <row r="941" spans="1:8" x14ac:dyDescent="0.25">
      <c r="A941" t="s">
        <v>1873</v>
      </c>
      <c r="B941" s="15" cm="1">
        <f t="array" ref="B941">_xll.GetPrice("FP-LBR-1416",,"Low",_SPECIFIEDvarPubDate,)</f>
        <v>1255</v>
      </c>
      <c r="C941" s="1">
        <f t="shared" si="42"/>
        <v>45848</v>
      </c>
      <c r="D941">
        <f t="shared" si="43"/>
        <v>2025</v>
      </c>
      <c r="E941">
        <f t="shared" si="44"/>
        <v>7</v>
      </c>
      <c r="F941" s="13" t="s">
        <v>1874</v>
      </c>
      <c r="G941" s="13" t="s">
        <v>11</v>
      </c>
      <c r="H941" s="13" t="s">
        <v>2792</v>
      </c>
    </row>
    <row r="942" spans="1:8" x14ac:dyDescent="0.25">
      <c r="A942" t="s">
        <v>1875</v>
      </c>
      <c r="B942" s="15" cm="1">
        <f t="array" ref="B942">_xll.GetPrice("FP-LBR-1813",,"Low",_SPECIFIEDvarPubDate,)</f>
        <v>3025</v>
      </c>
      <c r="C942" s="1">
        <f t="shared" si="42"/>
        <v>45848</v>
      </c>
      <c r="D942">
        <f t="shared" si="43"/>
        <v>2025</v>
      </c>
      <c r="E942">
        <f t="shared" si="44"/>
        <v>7</v>
      </c>
      <c r="F942" s="13" t="s">
        <v>1876</v>
      </c>
      <c r="G942" s="13" t="s">
        <v>11</v>
      </c>
      <c r="H942" s="13" t="s">
        <v>2792</v>
      </c>
    </row>
    <row r="943" spans="1:8" x14ac:dyDescent="0.25">
      <c r="A943" t="s">
        <v>1877</v>
      </c>
      <c r="B943" s="15" cm="1">
        <f t="array" ref="B943">_xll.GetPrice("FP-LBR-1236",,"Low",_SPECIFIEDvarPubDate,)</f>
        <v>625</v>
      </c>
      <c r="C943" s="1">
        <f t="shared" si="42"/>
        <v>45848</v>
      </c>
      <c r="D943">
        <f t="shared" si="43"/>
        <v>2025</v>
      </c>
      <c r="E943">
        <f t="shared" si="44"/>
        <v>7</v>
      </c>
      <c r="F943" s="13" t="s">
        <v>1878</v>
      </c>
      <c r="G943" s="13" t="s">
        <v>11</v>
      </c>
      <c r="H943" s="13" t="s">
        <v>2792</v>
      </c>
    </row>
    <row r="944" spans="1:8" x14ac:dyDescent="0.25">
      <c r="A944" t="s">
        <v>1879</v>
      </c>
      <c r="B944" s="15" cm="1">
        <f t="array" ref="B944">_xll.GetPrice("FP-LBR-1237",,"Low",_SPECIFIEDvarPubDate,)</f>
        <v>595</v>
      </c>
      <c r="C944" s="1">
        <f t="shared" si="42"/>
        <v>45848</v>
      </c>
      <c r="D944">
        <f t="shared" si="43"/>
        <v>2025</v>
      </c>
      <c r="E944">
        <f t="shared" si="44"/>
        <v>7</v>
      </c>
      <c r="F944" s="13" t="s">
        <v>1880</v>
      </c>
      <c r="G944" s="13" t="s">
        <v>11</v>
      </c>
      <c r="H944" s="13" t="s">
        <v>2792</v>
      </c>
    </row>
    <row r="945" spans="1:8" x14ac:dyDescent="0.25">
      <c r="A945" t="s">
        <v>1881</v>
      </c>
      <c r="B945" s="15" cm="1">
        <f t="array" ref="B945">_xll.GetPrice("FP-LBR-1238",,"Low",_SPECIFIEDvarPubDate,)</f>
        <v>535</v>
      </c>
      <c r="C945" s="1">
        <f t="shared" si="42"/>
        <v>45848</v>
      </c>
      <c r="D945">
        <f t="shared" si="43"/>
        <v>2025</v>
      </c>
      <c r="E945">
        <f t="shared" si="44"/>
        <v>7</v>
      </c>
      <c r="F945" s="13" t="s">
        <v>1882</v>
      </c>
      <c r="G945" s="13" t="s">
        <v>11</v>
      </c>
      <c r="H945" s="13" t="s">
        <v>2792</v>
      </c>
    </row>
    <row r="946" spans="1:8" x14ac:dyDescent="0.25">
      <c r="A946" t="s">
        <v>1883</v>
      </c>
      <c r="B946" s="15" cm="1">
        <f t="array" ref="B946">_xll.GetPrice("FP-LBR-1239",,"Low",_SPECIFIEDvarPubDate,)</f>
        <v>625</v>
      </c>
      <c r="C946" s="1">
        <f t="shared" si="42"/>
        <v>45848</v>
      </c>
      <c r="D946">
        <f t="shared" si="43"/>
        <v>2025</v>
      </c>
      <c r="E946">
        <f t="shared" si="44"/>
        <v>7</v>
      </c>
      <c r="F946" s="13" t="s">
        <v>1884</v>
      </c>
      <c r="G946" s="13" t="s">
        <v>11</v>
      </c>
      <c r="H946" s="13" t="s">
        <v>2792</v>
      </c>
    </row>
    <row r="947" spans="1:8" x14ac:dyDescent="0.25">
      <c r="A947" t="s">
        <v>1885</v>
      </c>
      <c r="B947" s="15" cm="1">
        <f t="array" ref="B947">_xll.GetPrice("FP-LBR-1240",,"Low",_SPECIFIEDvarPubDate,)</f>
        <v>615</v>
      </c>
      <c r="C947" s="1">
        <f t="shared" si="42"/>
        <v>45848</v>
      </c>
      <c r="D947">
        <f t="shared" si="43"/>
        <v>2025</v>
      </c>
      <c r="E947">
        <f t="shared" si="44"/>
        <v>7</v>
      </c>
      <c r="F947" s="13" t="s">
        <v>1886</v>
      </c>
      <c r="G947" s="13" t="s">
        <v>11</v>
      </c>
      <c r="H947" s="13" t="s">
        <v>2792</v>
      </c>
    </row>
    <row r="948" spans="1:8" x14ac:dyDescent="0.25">
      <c r="A948" t="s">
        <v>1887</v>
      </c>
      <c r="B948" s="15" cm="1">
        <f t="array" ref="B948">_xll.GetPrice("FP-LBR-1241",,"Low",_SPECIFIEDvarPubDate,)</f>
        <v>530</v>
      </c>
      <c r="C948" s="1">
        <f t="shared" si="42"/>
        <v>45848</v>
      </c>
      <c r="D948">
        <f t="shared" si="43"/>
        <v>2025</v>
      </c>
      <c r="E948">
        <f t="shared" si="44"/>
        <v>7</v>
      </c>
      <c r="F948" s="13" t="s">
        <v>1888</v>
      </c>
      <c r="G948" s="13" t="s">
        <v>11</v>
      </c>
      <c r="H948" s="13" t="s">
        <v>2792</v>
      </c>
    </row>
    <row r="949" spans="1:8" x14ac:dyDescent="0.25">
      <c r="A949" t="s">
        <v>1889</v>
      </c>
      <c r="B949" s="15" cm="1">
        <f t="array" ref="B949">_xll.GetPrice("FP-LBR-0535",,"Low",_SPECIFIEDvarPubDate,)</f>
        <v>537</v>
      </c>
      <c r="C949" s="1">
        <f t="shared" si="42"/>
        <v>45848</v>
      </c>
      <c r="D949">
        <f t="shared" si="43"/>
        <v>2025</v>
      </c>
      <c r="E949">
        <f t="shared" si="44"/>
        <v>7</v>
      </c>
      <c r="F949" s="13" t="s">
        <v>1890</v>
      </c>
      <c r="G949" s="13" t="s">
        <v>11</v>
      </c>
      <c r="H949" s="13" t="s">
        <v>2792</v>
      </c>
    </row>
    <row r="950" spans="1:8" x14ac:dyDescent="0.25">
      <c r="A950" t="s">
        <v>1891</v>
      </c>
      <c r="B950" s="15" cm="1">
        <f t="array" ref="B950">_xll.GetPrice("FP-LBR-0545",,"Low",_SPECIFIEDvarPubDate,)</f>
        <v>560</v>
      </c>
      <c r="C950" s="1">
        <f t="shared" si="42"/>
        <v>45848</v>
      </c>
      <c r="D950">
        <f t="shared" si="43"/>
        <v>2025</v>
      </c>
      <c r="E950">
        <f t="shared" si="44"/>
        <v>7</v>
      </c>
      <c r="F950" s="13" t="s">
        <v>1892</v>
      </c>
      <c r="G950" s="13" t="s">
        <v>11</v>
      </c>
      <c r="H950" s="13" t="s">
        <v>2792</v>
      </c>
    </row>
    <row r="951" spans="1:8" x14ac:dyDescent="0.25">
      <c r="A951" t="s">
        <v>1893</v>
      </c>
      <c r="B951" s="15" cm="1">
        <f t="array" ref="B951">_xll.GetPrice("FP-LBR-1442",,"Low",_SPECIFIEDvarPubDate,)</f>
        <v>2300</v>
      </c>
      <c r="C951" s="1">
        <f t="shared" si="42"/>
        <v>45848</v>
      </c>
      <c r="D951">
        <f t="shared" si="43"/>
        <v>2025</v>
      </c>
      <c r="E951">
        <f t="shared" si="44"/>
        <v>7</v>
      </c>
      <c r="F951" s="13" t="s">
        <v>1894</v>
      </c>
      <c r="G951" s="13" t="s">
        <v>11</v>
      </c>
      <c r="H951" s="13" t="s">
        <v>2792</v>
      </c>
    </row>
    <row r="952" spans="1:8" x14ac:dyDescent="0.25">
      <c r="A952" t="s">
        <v>1895</v>
      </c>
      <c r="B952" s="15" cm="1">
        <f t="array" ref="B952">_xll.GetPrice("FP-LBR-1443",,"Low",_SPECIFIEDvarPubDate,)</f>
        <v>2150</v>
      </c>
      <c r="C952" s="1">
        <f t="shared" si="42"/>
        <v>45848</v>
      </c>
      <c r="D952">
        <f t="shared" si="43"/>
        <v>2025</v>
      </c>
      <c r="E952">
        <f t="shared" si="44"/>
        <v>7</v>
      </c>
      <c r="F952" s="13" t="s">
        <v>1896</v>
      </c>
      <c r="G952" s="13" t="s">
        <v>11</v>
      </c>
      <c r="H952" s="13" t="s">
        <v>2792</v>
      </c>
    </row>
    <row r="953" spans="1:8" x14ac:dyDescent="0.25">
      <c r="A953" t="s">
        <v>1897</v>
      </c>
      <c r="B953" s="15" cm="1">
        <f t="array" ref="B953">_xll.GetPrice("FP-LBR-1444",,"Low",_SPECIFIEDvarPubDate,)</f>
        <v>2150</v>
      </c>
      <c r="C953" s="1">
        <f t="shared" si="42"/>
        <v>45848</v>
      </c>
      <c r="D953">
        <f t="shared" si="43"/>
        <v>2025</v>
      </c>
      <c r="E953">
        <f t="shared" si="44"/>
        <v>7</v>
      </c>
      <c r="F953" s="13" t="s">
        <v>1898</v>
      </c>
      <c r="G953" s="13" t="s">
        <v>11</v>
      </c>
      <c r="H953" s="13" t="s">
        <v>2792</v>
      </c>
    </row>
    <row r="954" spans="1:8" x14ac:dyDescent="0.25">
      <c r="A954" t="s">
        <v>1899</v>
      </c>
      <c r="B954" s="15" cm="1">
        <f t="array" ref="B954">_xll.GetPrice("FP-LBR-1445",,"Low",_SPECIFIEDvarPubDate,)</f>
        <v>2150</v>
      </c>
      <c r="C954" s="1">
        <f t="shared" si="42"/>
        <v>45848</v>
      </c>
      <c r="D954">
        <f t="shared" si="43"/>
        <v>2025</v>
      </c>
      <c r="E954">
        <f t="shared" si="44"/>
        <v>7</v>
      </c>
      <c r="F954" s="13" t="s">
        <v>1900</v>
      </c>
      <c r="G954" s="13" t="s">
        <v>11</v>
      </c>
      <c r="H954" s="13" t="s">
        <v>2792</v>
      </c>
    </row>
    <row r="955" spans="1:8" x14ac:dyDescent="0.25">
      <c r="A955" t="s">
        <v>1901</v>
      </c>
      <c r="B955" s="15" cm="1">
        <f t="array" ref="B955">_xll.GetPrice("FP-LBR-1446",,"Low",_SPECIFIEDvarPubDate,)</f>
        <v>2150</v>
      </c>
      <c r="C955" s="1">
        <f t="shared" si="42"/>
        <v>45848</v>
      </c>
      <c r="D955">
        <f t="shared" si="43"/>
        <v>2025</v>
      </c>
      <c r="E955">
        <f t="shared" si="44"/>
        <v>7</v>
      </c>
      <c r="F955" s="13" t="s">
        <v>1902</v>
      </c>
      <c r="G955" s="13" t="s">
        <v>11</v>
      </c>
      <c r="H955" s="13" t="s">
        <v>2792</v>
      </c>
    </row>
    <row r="956" spans="1:8" x14ac:dyDescent="0.25">
      <c r="A956" t="s">
        <v>1903</v>
      </c>
      <c r="B956" s="15" cm="1">
        <f t="array" ref="B956">_xll.GetPrice("FP-LBR-1447",,"Low",_SPECIFIEDvarPubDate,)</f>
        <v>1800</v>
      </c>
      <c r="C956" s="1">
        <f t="shared" si="42"/>
        <v>45848</v>
      </c>
      <c r="D956">
        <f t="shared" si="43"/>
        <v>2025</v>
      </c>
      <c r="E956">
        <f t="shared" si="44"/>
        <v>7</v>
      </c>
      <c r="F956" s="13" t="s">
        <v>1904</v>
      </c>
      <c r="G956" s="13" t="s">
        <v>11</v>
      </c>
      <c r="H956" s="13" t="s">
        <v>2792</v>
      </c>
    </row>
    <row r="957" spans="1:8" x14ac:dyDescent="0.25">
      <c r="A957" t="s">
        <v>1905</v>
      </c>
      <c r="B957" s="15" cm="1">
        <f t="array" ref="B957">_xll.GetPrice("FP-LBR-1448",,"Low",_SPECIFIEDvarPubDate,)</f>
        <v>1600</v>
      </c>
      <c r="C957" s="1">
        <f t="shared" si="42"/>
        <v>45848</v>
      </c>
      <c r="D957">
        <f t="shared" si="43"/>
        <v>2025</v>
      </c>
      <c r="E957">
        <f t="shared" si="44"/>
        <v>7</v>
      </c>
      <c r="F957" s="13" t="s">
        <v>1906</v>
      </c>
      <c r="G957" s="13" t="s">
        <v>11</v>
      </c>
      <c r="H957" s="13" t="s">
        <v>2792</v>
      </c>
    </row>
    <row r="958" spans="1:8" x14ac:dyDescent="0.25">
      <c r="A958" t="s">
        <v>1907</v>
      </c>
      <c r="B958" s="15" cm="1">
        <f t="array" ref="B958">_xll.GetPrice("FP-LBR-1449",,"Low",_SPECIFIEDvarPubDate,)</f>
        <v>1600</v>
      </c>
      <c r="C958" s="1">
        <f t="shared" si="42"/>
        <v>45848</v>
      </c>
      <c r="D958">
        <f t="shared" si="43"/>
        <v>2025</v>
      </c>
      <c r="E958">
        <f t="shared" si="44"/>
        <v>7</v>
      </c>
      <c r="F958" s="13" t="s">
        <v>1908</v>
      </c>
      <c r="G958" s="13" t="s">
        <v>11</v>
      </c>
      <c r="H958" s="13" t="s">
        <v>2792</v>
      </c>
    </row>
    <row r="959" spans="1:8" x14ac:dyDescent="0.25">
      <c r="A959" t="s">
        <v>1909</v>
      </c>
      <c r="B959" s="15" cm="1">
        <f t="array" ref="B959">_xll.GetPrice("FP-LBR-1450",,"Low",_SPECIFIEDvarPubDate,)</f>
        <v>1600</v>
      </c>
      <c r="C959" s="1">
        <f t="shared" si="42"/>
        <v>45848</v>
      </c>
      <c r="D959">
        <f t="shared" si="43"/>
        <v>2025</v>
      </c>
      <c r="E959">
        <f t="shared" si="44"/>
        <v>7</v>
      </c>
      <c r="F959" s="13" t="s">
        <v>1910</v>
      </c>
      <c r="G959" s="13" t="s">
        <v>11</v>
      </c>
      <c r="H959" s="13" t="s">
        <v>2792</v>
      </c>
    </row>
    <row r="960" spans="1:8" x14ac:dyDescent="0.25">
      <c r="A960" t="s">
        <v>1911</v>
      </c>
      <c r="B960" s="15" cm="1">
        <f t="array" ref="B960">_xll.GetPrice("FP-LBR-1451",,"Low",_SPECIFIEDvarPubDate,)</f>
        <v>1600</v>
      </c>
      <c r="C960" s="1">
        <f t="shared" si="42"/>
        <v>45848</v>
      </c>
      <c r="D960">
        <f t="shared" si="43"/>
        <v>2025</v>
      </c>
      <c r="E960">
        <f t="shared" si="44"/>
        <v>7</v>
      </c>
      <c r="F960" s="13" t="s">
        <v>1912</v>
      </c>
      <c r="G960" s="13" t="s">
        <v>11</v>
      </c>
      <c r="H960" s="13" t="s">
        <v>2792</v>
      </c>
    </row>
    <row r="961" spans="1:8" x14ac:dyDescent="0.25">
      <c r="A961" t="s">
        <v>1913</v>
      </c>
      <c r="B961" s="15" cm="1">
        <f t="array" ref="B961">_xll.GetPrice("FP-LBR-1462",,"Low",_SPECIFIEDvarPubDate,)</f>
        <v>305</v>
      </c>
      <c r="C961" s="1">
        <f t="shared" ref="C961:C1024" si="45">_SPECIFIEDvarPubDate</f>
        <v>45848</v>
      </c>
      <c r="D961">
        <f t="shared" ref="D961:D1024" si="46">_SPECIFIEDvarYear</f>
        <v>2025</v>
      </c>
      <c r="E961">
        <f t="shared" ref="E961:E1024" si="47">_SPECIFIEDvarMonth</f>
        <v>7</v>
      </c>
      <c r="F961" s="13" t="s">
        <v>1914</v>
      </c>
      <c r="G961" s="13" t="s">
        <v>11</v>
      </c>
      <c r="H961" s="13" t="s">
        <v>2792</v>
      </c>
    </row>
    <row r="962" spans="1:8" x14ac:dyDescent="0.25">
      <c r="A962" t="s">
        <v>1915</v>
      </c>
      <c r="B962" s="15" cm="1">
        <f t="array" ref="B962">_xll.GetPrice("FP-LBR-1463",,"Low",_SPECIFIEDvarPubDate,)</f>
        <v>185</v>
      </c>
      <c r="C962" s="1">
        <f t="shared" si="45"/>
        <v>45848</v>
      </c>
      <c r="D962">
        <f t="shared" si="46"/>
        <v>2025</v>
      </c>
      <c r="E962">
        <f t="shared" si="47"/>
        <v>7</v>
      </c>
      <c r="F962" s="13" t="s">
        <v>1916</v>
      </c>
      <c r="G962" s="13" t="s">
        <v>11</v>
      </c>
      <c r="H962" s="13" t="s">
        <v>2792</v>
      </c>
    </row>
    <row r="963" spans="1:8" x14ac:dyDescent="0.25">
      <c r="A963" t="s">
        <v>1917</v>
      </c>
      <c r="B963" s="15" cm="1">
        <f t="array" ref="B963">_xll.GetPrice("FP-LBR-1464",,"Low",_SPECIFIEDvarPubDate,)</f>
        <v>200</v>
      </c>
      <c r="C963" s="1">
        <f t="shared" si="45"/>
        <v>45848</v>
      </c>
      <c r="D963">
        <f t="shared" si="46"/>
        <v>2025</v>
      </c>
      <c r="E963">
        <f t="shared" si="47"/>
        <v>7</v>
      </c>
      <c r="F963" s="13" t="s">
        <v>1918</v>
      </c>
      <c r="G963" s="13" t="s">
        <v>11</v>
      </c>
      <c r="H963" s="13" t="s">
        <v>2792</v>
      </c>
    </row>
    <row r="964" spans="1:8" x14ac:dyDescent="0.25">
      <c r="A964" t="s">
        <v>1919</v>
      </c>
      <c r="B964" s="15" cm="1">
        <f t="array" ref="B964">_xll.GetPrice("FP-LBR-1465",,"Low",_SPECIFIEDvarPubDate,)</f>
        <v>200</v>
      </c>
      <c r="C964" s="1">
        <f t="shared" si="45"/>
        <v>45848</v>
      </c>
      <c r="D964">
        <f t="shared" si="46"/>
        <v>2025</v>
      </c>
      <c r="E964">
        <f t="shared" si="47"/>
        <v>7</v>
      </c>
      <c r="F964" s="13" t="s">
        <v>1920</v>
      </c>
      <c r="G964" s="13" t="s">
        <v>11</v>
      </c>
      <c r="H964" s="13" t="s">
        <v>2792</v>
      </c>
    </row>
    <row r="965" spans="1:8" x14ac:dyDescent="0.25">
      <c r="A965" t="s">
        <v>1921</v>
      </c>
      <c r="B965" s="15" cm="1">
        <f t="array" ref="B965">_xll.GetPrice("FP-LBR-1466",,"Low",_SPECIFIEDvarPubDate,)</f>
        <v>225</v>
      </c>
      <c r="C965" s="1">
        <f t="shared" si="45"/>
        <v>45848</v>
      </c>
      <c r="D965">
        <f t="shared" si="46"/>
        <v>2025</v>
      </c>
      <c r="E965">
        <f t="shared" si="47"/>
        <v>7</v>
      </c>
      <c r="F965" s="13" t="s">
        <v>1922</v>
      </c>
      <c r="G965" s="13" t="s">
        <v>11</v>
      </c>
      <c r="H965" s="13" t="s">
        <v>2792</v>
      </c>
    </row>
    <row r="966" spans="1:8" x14ac:dyDescent="0.25">
      <c r="A966" t="s">
        <v>1923</v>
      </c>
      <c r="B966" s="15" cm="1">
        <f t="array" ref="B966">_xll.GetPrice("FP-LBR-0515",,"Low",_SPECIFIEDvarPubDate,)</f>
        <v>610</v>
      </c>
      <c r="C966" s="1">
        <f t="shared" si="45"/>
        <v>45848</v>
      </c>
      <c r="D966">
        <f t="shared" si="46"/>
        <v>2025</v>
      </c>
      <c r="E966">
        <f t="shared" si="47"/>
        <v>7</v>
      </c>
      <c r="F966" s="13" t="s">
        <v>1924</v>
      </c>
      <c r="G966" s="13" t="s">
        <v>11</v>
      </c>
      <c r="H966" s="13" t="s">
        <v>2792</v>
      </c>
    </row>
    <row r="967" spans="1:8" x14ac:dyDescent="0.25">
      <c r="A967" t="s">
        <v>1925</v>
      </c>
      <c r="B967" s="15" cm="1">
        <f t="array" ref="B967">_xll.GetPrice("FP-LBR-0525",,"Low",_SPECIFIEDvarPubDate,)</f>
        <v>633</v>
      </c>
      <c r="C967" s="1">
        <f t="shared" si="45"/>
        <v>45848</v>
      </c>
      <c r="D967">
        <f t="shared" si="46"/>
        <v>2025</v>
      </c>
      <c r="E967">
        <f t="shared" si="47"/>
        <v>7</v>
      </c>
      <c r="F967" s="13" t="s">
        <v>1926</v>
      </c>
      <c r="G967" s="13" t="s">
        <v>11</v>
      </c>
      <c r="H967" s="13" t="s">
        <v>2792</v>
      </c>
    </row>
    <row r="968" spans="1:8" x14ac:dyDescent="0.25">
      <c r="A968" t="s">
        <v>1927</v>
      </c>
      <c r="B968" s="15" cm="1">
        <f t="array" ref="B968">_xll.GetPrice("FP-LBR-0926",,"Low",_SPECIFIEDvarPubDate,)</f>
        <v>1880</v>
      </c>
      <c r="C968" s="1">
        <f t="shared" si="45"/>
        <v>45848</v>
      </c>
      <c r="D968">
        <f t="shared" si="46"/>
        <v>2025</v>
      </c>
      <c r="E968">
        <f t="shared" si="47"/>
        <v>7</v>
      </c>
      <c r="F968" s="13" t="s">
        <v>1928</v>
      </c>
      <c r="G968" s="13" t="s">
        <v>11</v>
      </c>
      <c r="H968" s="13" t="s">
        <v>2792</v>
      </c>
    </row>
    <row r="969" spans="1:8" x14ac:dyDescent="0.25">
      <c r="A969" t="s">
        <v>1929</v>
      </c>
      <c r="B969" s="15" cm="1">
        <f t="array" ref="B969">_xll.GetPrice("FP-LBR-0928",,"Low",_SPECIFIEDvarPubDate,)</f>
        <v>1840</v>
      </c>
      <c r="C969" s="1">
        <f t="shared" si="45"/>
        <v>45848</v>
      </c>
      <c r="D969">
        <f t="shared" si="46"/>
        <v>2025</v>
      </c>
      <c r="E969">
        <f t="shared" si="47"/>
        <v>7</v>
      </c>
      <c r="F969" s="13" t="s">
        <v>1930</v>
      </c>
      <c r="G969" s="13" t="s">
        <v>11</v>
      </c>
      <c r="H969" s="13" t="s">
        <v>2792</v>
      </c>
    </row>
    <row r="970" spans="1:8" x14ac:dyDescent="0.25">
      <c r="A970" t="s">
        <v>1931</v>
      </c>
      <c r="B970" s="15" cm="1">
        <f t="array" ref="B970">_xll.GetPrice("FP-LBR-0930",,"Low",_SPECIFIEDvarPubDate,)</f>
        <v>1620</v>
      </c>
      <c r="C970" s="1">
        <f t="shared" si="45"/>
        <v>45848</v>
      </c>
      <c r="D970">
        <f t="shared" si="46"/>
        <v>2025</v>
      </c>
      <c r="E970">
        <f t="shared" si="47"/>
        <v>7</v>
      </c>
      <c r="F970" s="13" t="s">
        <v>1932</v>
      </c>
      <c r="G970" s="13" t="s">
        <v>11</v>
      </c>
      <c r="H970" s="13" t="s">
        <v>2792</v>
      </c>
    </row>
    <row r="971" spans="1:8" x14ac:dyDescent="0.25">
      <c r="A971" t="s">
        <v>1933</v>
      </c>
      <c r="B971" s="15" cm="1">
        <f t="array" ref="B971">_xll.GetPrice("FP-LBR-0932",,"Low",_SPECIFIEDvarPubDate,)</f>
        <v>560</v>
      </c>
      <c r="C971" s="1">
        <f t="shared" si="45"/>
        <v>45848</v>
      </c>
      <c r="D971">
        <f t="shared" si="46"/>
        <v>2025</v>
      </c>
      <c r="E971">
        <f t="shared" si="47"/>
        <v>7</v>
      </c>
      <c r="F971" s="13" t="s">
        <v>1934</v>
      </c>
      <c r="G971" s="13" t="s">
        <v>11</v>
      </c>
      <c r="H971" s="13" t="s">
        <v>2792</v>
      </c>
    </row>
    <row r="972" spans="1:8" x14ac:dyDescent="0.25">
      <c r="A972" t="s">
        <v>1935</v>
      </c>
      <c r="B972" s="15" cm="1">
        <f t="array" ref="B972">_xll.GetPrice("FP-LBR-1814",,"Low",_SPECIFIEDvarPubDate,)</f>
        <v>1785</v>
      </c>
      <c r="C972" s="1">
        <f t="shared" si="45"/>
        <v>45848</v>
      </c>
      <c r="D972">
        <f t="shared" si="46"/>
        <v>2025</v>
      </c>
      <c r="E972">
        <f t="shared" si="47"/>
        <v>7</v>
      </c>
      <c r="F972" s="13" t="s">
        <v>1936</v>
      </c>
      <c r="G972" s="13" t="s">
        <v>11</v>
      </c>
      <c r="H972" s="13" t="s">
        <v>2792</v>
      </c>
    </row>
    <row r="973" spans="1:8" x14ac:dyDescent="0.25">
      <c r="A973" t="s">
        <v>1937</v>
      </c>
      <c r="B973" s="15" cm="1">
        <f t="array" ref="B973">_xll.GetPrice("FP-LBR-1815",,"Low",_SPECIFIEDvarPubDate,)</f>
        <v>1850</v>
      </c>
      <c r="C973" s="1">
        <f t="shared" si="45"/>
        <v>45848</v>
      </c>
      <c r="D973">
        <f t="shared" si="46"/>
        <v>2025</v>
      </c>
      <c r="E973">
        <f t="shared" si="47"/>
        <v>7</v>
      </c>
      <c r="F973" s="13" t="s">
        <v>1938</v>
      </c>
      <c r="G973" s="13" t="s">
        <v>11</v>
      </c>
      <c r="H973" s="13" t="s">
        <v>2792</v>
      </c>
    </row>
    <row r="974" spans="1:8" x14ac:dyDescent="0.25">
      <c r="A974" t="s">
        <v>1939</v>
      </c>
      <c r="B974" s="15" cm="1">
        <f t="array" ref="B974">_xll.GetPrice("FP-LBR-1816",,"Low",_SPECIFIEDvarPubDate,)</f>
        <v>2540</v>
      </c>
      <c r="C974" s="1">
        <f t="shared" si="45"/>
        <v>45848</v>
      </c>
      <c r="D974">
        <f t="shared" si="46"/>
        <v>2025</v>
      </c>
      <c r="E974">
        <f t="shared" si="47"/>
        <v>7</v>
      </c>
      <c r="F974" s="13" t="s">
        <v>1940</v>
      </c>
      <c r="G974" s="13" t="s">
        <v>11</v>
      </c>
      <c r="H974" s="13" t="s">
        <v>2792</v>
      </c>
    </row>
    <row r="975" spans="1:8" x14ac:dyDescent="0.25">
      <c r="A975" t="s">
        <v>1941</v>
      </c>
      <c r="B975" s="15" cm="1">
        <f t="array" ref="B975">_xll.GetPrice("FP-LBR-1817",,"Low",_SPECIFIEDvarPubDate,)</f>
        <v>2805</v>
      </c>
      <c r="C975" s="1">
        <f t="shared" si="45"/>
        <v>45848</v>
      </c>
      <c r="D975">
        <f t="shared" si="46"/>
        <v>2025</v>
      </c>
      <c r="E975">
        <f t="shared" si="47"/>
        <v>7</v>
      </c>
      <c r="F975" s="13" t="s">
        <v>1942</v>
      </c>
      <c r="G975" s="13" t="s">
        <v>11</v>
      </c>
      <c r="H975" s="13" t="s">
        <v>2792</v>
      </c>
    </row>
    <row r="976" spans="1:8" x14ac:dyDescent="0.25">
      <c r="A976" t="s">
        <v>1943</v>
      </c>
      <c r="B976" s="15" cm="1">
        <f t="array" ref="B976">_xll.GetPrice("FP-LBR-1818",,"Low",_SPECIFIEDvarPubDate,)</f>
        <v>3110</v>
      </c>
      <c r="C976" s="1">
        <f t="shared" si="45"/>
        <v>45848</v>
      </c>
      <c r="D976">
        <f t="shared" si="46"/>
        <v>2025</v>
      </c>
      <c r="E976">
        <f t="shared" si="47"/>
        <v>7</v>
      </c>
      <c r="F976" s="13" t="s">
        <v>1944</v>
      </c>
      <c r="G976" s="13" t="s">
        <v>11</v>
      </c>
      <c r="H976" s="13" t="s">
        <v>2792</v>
      </c>
    </row>
    <row r="977" spans="1:8" x14ac:dyDescent="0.25">
      <c r="A977" t="s">
        <v>1945</v>
      </c>
      <c r="B977" s="15" cm="1">
        <f t="array" ref="B977">_xll.GetPrice("FP-LBR-1831",,"Low",_SPECIFIEDvarPubDate,)</f>
        <v>2885</v>
      </c>
      <c r="C977" s="1">
        <f t="shared" si="45"/>
        <v>45848</v>
      </c>
      <c r="D977">
        <f t="shared" si="46"/>
        <v>2025</v>
      </c>
      <c r="E977">
        <f t="shared" si="47"/>
        <v>7</v>
      </c>
      <c r="F977" s="13" t="s">
        <v>1946</v>
      </c>
      <c r="G977" s="13" t="s">
        <v>11</v>
      </c>
      <c r="H977" s="13" t="s">
        <v>2792</v>
      </c>
    </row>
    <row r="978" spans="1:8" x14ac:dyDescent="0.25">
      <c r="A978" t="s">
        <v>1947</v>
      </c>
      <c r="B978" s="15" cm="1">
        <f t="array" ref="B978">_xll.GetPrice("FP-LBR-1832",,"Low",_SPECIFIEDvarPubDate,)</f>
        <v>2735</v>
      </c>
      <c r="C978" s="1">
        <f t="shared" si="45"/>
        <v>45848</v>
      </c>
      <c r="D978">
        <f t="shared" si="46"/>
        <v>2025</v>
      </c>
      <c r="E978">
        <f t="shared" si="47"/>
        <v>7</v>
      </c>
      <c r="F978" s="13" t="s">
        <v>1948</v>
      </c>
      <c r="G978" s="13" t="s">
        <v>11</v>
      </c>
      <c r="H978" s="13" t="s">
        <v>2792</v>
      </c>
    </row>
    <row r="979" spans="1:8" x14ac:dyDescent="0.25">
      <c r="A979" t="s">
        <v>1949</v>
      </c>
      <c r="B979" s="15" cm="1">
        <f t="array" ref="B979">_xll.GetPrice("FP-LBR-1833",,"Low",_SPECIFIEDvarPubDate,)</f>
        <v>2770</v>
      </c>
      <c r="C979" s="1">
        <f t="shared" si="45"/>
        <v>45848</v>
      </c>
      <c r="D979">
        <f t="shared" si="46"/>
        <v>2025</v>
      </c>
      <c r="E979">
        <f t="shared" si="47"/>
        <v>7</v>
      </c>
      <c r="F979" s="13" t="s">
        <v>1950</v>
      </c>
      <c r="G979" s="13" t="s">
        <v>11</v>
      </c>
      <c r="H979" s="13" t="s">
        <v>2792</v>
      </c>
    </row>
    <row r="980" spans="1:8" x14ac:dyDescent="0.25">
      <c r="A980" t="s">
        <v>1951</v>
      </c>
      <c r="B980" s="15" cm="1">
        <f t="array" ref="B980">_xll.GetPrice("FP-LBR-1834",,"Low",_SPECIFIEDvarPubDate,)</f>
        <v>3030</v>
      </c>
      <c r="C980" s="1">
        <f t="shared" si="45"/>
        <v>45848</v>
      </c>
      <c r="D980">
        <f t="shared" si="46"/>
        <v>2025</v>
      </c>
      <c r="E980">
        <f t="shared" si="47"/>
        <v>7</v>
      </c>
      <c r="F980" s="13" t="s">
        <v>1952</v>
      </c>
      <c r="G980" s="13" t="s">
        <v>11</v>
      </c>
      <c r="H980" s="13" t="s">
        <v>2792</v>
      </c>
    </row>
    <row r="981" spans="1:8" x14ac:dyDescent="0.25">
      <c r="A981" t="s">
        <v>1953</v>
      </c>
      <c r="B981" s="15" cm="1">
        <f t="array" ref="B981">_xll.GetPrice("FP-LBR-2184",,"Low",_SPECIFIEDvarPubDate,)</f>
        <v>3535</v>
      </c>
      <c r="C981" s="1">
        <f t="shared" si="45"/>
        <v>45848</v>
      </c>
      <c r="D981">
        <f t="shared" si="46"/>
        <v>2025</v>
      </c>
      <c r="E981">
        <f t="shared" si="47"/>
        <v>7</v>
      </c>
      <c r="F981" s="13" t="s">
        <v>1954</v>
      </c>
      <c r="G981" s="13" t="s">
        <v>11</v>
      </c>
      <c r="H981" s="13" t="s">
        <v>2792</v>
      </c>
    </row>
    <row r="982" spans="1:8" x14ac:dyDescent="0.25">
      <c r="A982" t="s">
        <v>1955</v>
      </c>
      <c r="B982" s="15" cm="1">
        <f t="array" ref="B982">_xll.GetPrice("FP-LBR-2185",,"Low",_SPECIFIEDvarPubDate,)</f>
        <v>3635</v>
      </c>
      <c r="C982" s="1">
        <f t="shared" si="45"/>
        <v>45848</v>
      </c>
      <c r="D982">
        <f t="shared" si="46"/>
        <v>2025</v>
      </c>
      <c r="E982">
        <f t="shared" si="47"/>
        <v>7</v>
      </c>
      <c r="F982" s="13" t="s">
        <v>1956</v>
      </c>
      <c r="G982" s="13" t="s">
        <v>11</v>
      </c>
      <c r="H982" s="13" t="s">
        <v>2792</v>
      </c>
    </row>
    <row r="983" spans="1:8" x14ac:dyDescent="0.25">
      <c r="A983" t="s">
        <v>1957</v>
      </c>
      <c r="B983" s="15" cm="1">
        <f t="array" ref="B983">_xll.GetPrice("FP-LBR-1185",,"Low",_SPECIFIEDvarPubDate,)</f>
        <v>427</v>
      </c>
      <c r="C983" s="1">
        <f t="shared" si="45"/>
        <v>45848</v>
      </c>
      <c r="D983">
        <f t="shared" si="46"/>
        <v>2025</v>
      </c>
      <c r="E983">
        <f t="shared" si="47"/>
        <v>7</v>
      </c>
      <c r="F983" s="13" t="s">
        <v>1958</v>
      </c>
      <c r="G983" s="13" t="s">
        <v>11</v>
      </c>
      <c r="H983" s="13" t="s">
        <v>2792</v>
      </c>
    </row>
    <row r="984" spans="1:8" x14ac:dyDescent="0.25">
      <c r="A984" t="s">
        <v>1959</v>
      </c>
      <c r="B984" s="15" cm="1">
        <f t="array" ref="B984">_xll.GetPrice("FP-LBR-1185",,"Low",_SPECIFIEDvarPrvWeekDate,)</f>
        <v>422</v>
      </c>
      <c r="C984" s="1">
        <f t="shared" si="45"/>
        <v>45848</v>
      </c>
      <c r="D984">
        <f t="shared" si="46"/>
        <v>2025</v>
      </c>
      <c r="E984">
        <f t="shared" si="47"/>
        <v>7</v>
      </c>
      <c r="F984" s="13" t="s">
        <v>1958</v>
      </c>
      <c r="G984" s="13" t="s">
        <v>11</v>
      </c>
      <c r="H984" s="13" t="s">
        <v>2793</v>
      </c>
    </row>
    <row r="985" spans="1:8" x14ac:dyDescent="0.25">
      <c r="A985" t="s">
        <v>1961</v>
      </c>
      <c r="B985" s="15" cm="1">
        <f t="array" ref="B985">_xll.GetPrice("FP-LBR-1185",,"Low",_SPECIFIEDvarPrvYearDate,)</f>
        <v>362</v>
      </c>
      <c r="C985" s="1">
        <f t="shared" si="45"/>
        <v>45848</v>
      </c>
      <c r="D985">
        <f t="shared" si="46"/>
        <v>2025</v>
      </c>
      <c r="E985">
        <f t="shared" si="47"/>
        <v>7</v>
      </c>
      <c r="F985" s="13" t="s">
        <v>1958</v>
      </c>
      <c r="G985" s="13" t="s">
        <v>11</v>
      </c>
      <c r="H985" s="13" t="s">
        <v>2794</v>
      </c>
    </row>
    <row r="986" spans="1:8" x14ac:dyDescent="0.25">
      <c r="A986" t="s">
        <v>1963</v>
      </c>
      <c r="B986" s="15" cm="1">
        <f t="array" ref="B986">_xll.GetPrice("FP-LBR-0403",,"Low",_SPECIFIEDvarPubDate,)</f>
        <v>498</v>
      </c>
      <c r="C986" s="1">
        <f t="shared" si="45"/>
        <v>45848</v>
      </c>
      <c r="D986">
        <f t="shared" si="46"/>
        <v>2025</v>
      </c>
      <c r="E986">
        <f t="shared" si="47"/>
        <v>7</v>
      </c>
      <c r="F986" s="13" t="s">
        <v>1964</v>
      </c>
      <c r="G986" s="13" t="s">
        <v>11</v>
      </c>
      <c r="H986" s="13" t="s">
        <v>2792</v>
      </c>
    </row>
    <row r="987" spans="1:8" x14ac:dyDescent="0.25">
      <c r="A987" t="s">
        <v>1965</v>
      </c>
      <c r="B987" s="15" cm="1">
        <f t="array" ref="B987">_xll.GetPrice("FP-LBR-0404",,"Low",_SPECIFIEDvarPubDate,)</f>
        <v>400</v>
      </c>
      <c r="C987" s="1">
        <f t="shared" si="45"/>
        <v>45848</v>
      </c>
      <c r="D987">
        <f t="shared" si="46"/>
        <v>2025</v>
      </c>
      <c r="E987">
        <f t="shared" si="47"/>
        <v>7</v>
      </c>
      <c r="F987" s="13" t="s">
        <v>1966</v>
      </c>
      <c r="G987" s="13" t="s">
        <v>11</v>
      </c>
      <c r="H987" s="13" t="s">
        <v>2792</v>
      </c>
    </row>
    <row r="988" spans="1:8" x14ac:dyDescent="0.25">
      <c r="A988" t="s">
        <v>1967</v>
      </c>
      <c r="B988" s="15" cm="1">
        <f t="array" ref="B988">_xll.GetPrice("FP-LBR-0405",,"Low",_SPECIFIEDvarPubDate,)</f>
        <v>388</v>
      </c>
      <c r="C988" s="1">
        <f t="shared" si="45"/>
        <v>45848</v>
      </c>
      <c r="D988">
        <f t="shared" si="46"/>
        <v>2025</v>
      </c>
      <c r="E988">
        <f t="shared" si="47"/>
        <v>7</v>
      </c>
      <c r="F988" s="13" t="s">
        <v>1968</v>
      </c>
      <c r="G988" s="13" t="s">
        <v>11</v>
      </c>
      <c r="H988" s="13" t="s">
        <v>2792</v>
      </c>
    </row>
    <row r="989" spans="1:8" x14ac:dyDescent="0.25">
      <c r="A989" t="s">
        <v>1969</v>
      </c>
      <c r="B989" s="15" cm="1">
        <f t="array" ref="B989">_xll.GetPrice("FP-LBR-0406",,"Low",_SPECIFIEDvarPubDate,)</f>
        <v>443</v>
      </c>
      <c r="C989" s="1">
        <f t="shared" si="45"/>
        <v>45848</v>
      </c>
      <c r="D989">
        <f t="shared" si="46"/>
        <v>2025</v>
      </c>
      <c r="E989">
        <f t="shared" si="47"/>
        <v>7</v>
      </c>
      <c r="F989" s="13" t="s">
        <v>1970</v>
      </c>
      <c r="G989" s="13" t="s">
        <v>11</v>
      </c>
      <c r="H989" s="13" t="s">
        <v>2792</v>
      </c>
    </row>
    <row r="990" spans="1:8" x14ac:dyDescent="0.25">
      <c r="A990" t="s">
        <v>1971</v>
      </c>
      <c r="B990" s="15" cm="1">
        <f t="array" ref="B990">_xll.GetPrice("FP-LBR-0407",,"Low",_SPECIFIEDvarPubDate,)</f>
        <v>585</v>
      </c>
      <c r="C990" s="1">
        <f t="shared" si="45"/>
        <v>45848</v>
      </c>
      <c r="D990">
        <f t="shared" si="46"/>
        <v>2025</v>
      </c>
      <c r="E990">
        <f t="shared" si="47"/>
        <v>7</v>
      </c>
      <c r="F990" s="13" t="s">
        <v>1972</v>
      </c>
      <c r="G990" s="13" t="s">
        <v>11</v>
      </c>
      <c r="H990" s="13" t="s">
        <v>2792</v>
      </c>
    </row>
    <row r="991" spans="1:8" x14ac:dyDescent="0.25">
      <c r="A991" t="s">
        <v>1973</v>
      </c>
      <c r="B991" s="15" cm="1">
        <f t="array" ref="B991">_xll.GetPrice("FP-LBR-0409",,"Low",_SPECIFIEDvarPubDate,)</f>
        <v>240</v>
      </c>
      <c r="C991" s="1">
        <f t="shared" si="45"/>
        <v>45848</v>
      </c>
      <c r="D991">
        <f t="shared" si="46"/>
        <v>2025</v>
      </c>
      <c r="E991">
        <f t="shared" si="47"/>
        <v>7</v>
      </c>
      <c r="F991" s="13" t="s">
        <v>1974</v>
      </c>
      <c r="G991" s="13" t="s">
        <v>11</v>
      </c>
      <c r="H991" s="13" t="s">
        <v>2792</v>
      </c>
    </row>
    <row r="992" spans="1:8" x14ac:dyDescent="0.25">
      <c r="A992" t="s">
        <v>1975</v>
      </c>
      <c r="B992" s="15" cm="1">
        <f t="array" ref="B992">_xll.GetPrice("FP-LBR-0410",,"Low",_SPECIFIEDvarPubDate,)</f>
        <v>260</v>
      </c>
      <c r="C992" s="1">
        <f t="shared" si="45"/>
        <v>45848</v>
      </c>
      <c r="D992">
        <f t="shared" si="46"/>
        <v>2025</v>
      </c>
      <c r="E992">
        <f t="shared" si="47"/>
        <v>7</v>
      </c>
      <c r="F992" s="13" t="s">
        <v>1976</v>
      </c>
      <c r="G992" s="13" t="s">
        <v>11</v>
      </c>
      <c r="H992" s="13" t="s">
        <v>2792</v>
      </c>
    </row>
    <row r="993" spans="1:8" x14ac:dyDescent="0.25">
      <c r="A993" t="s">
        <v>1977</v>
      </c>
      <c r="B993" s="15" cm="1">
        <f t="array" ref="B993">_xll.GetPrice("FP-LBR-0411",,"Low",_SPECIFIEDvarPubDate,)</f>
        <v>265</v>
      </c>
      <c r="C993" s="1">
        <f t="shared" si="45"/>
        <v>45848</v>
      </c>
      <c r="D993">
        <f t="shared" si="46"/>
        <v>2025</v>
      </c>
      <c r="E993">
        <f t="shared" si="47"/>
        <v>7</v>
      </c>
      <c r="F993" s="13" t="s">
        <v>1978</v>
      </c>
      <c r="G993" s="13" t="s">
        <v>11</v>
      </c>
      <c r="H993" s="13" t="s">
        <v>2792</v>
      </c>
    </row>
    <row r="994" spans="1:8" x14ac:dyDescent="0.25">
      <c r="A994" t="s">
        <v>1979</v>
      </c>
      <c r="B994" s="15" cm="1">
        <f t="array" ref="B994">_xll.GetPrice("FP-LBR-0412",,"Low",_SPECIFIEDvarPubDate,)</f>
        <v>260</v>
      </c>
      <c r="C994" s="1">
        <f t="shared" si="45"/>
        <v>45848</v>
      </c>
      <c r="D994">
        <f t="shared" si="46"/>
        <v>2025</v>
      </c>
      <c r="E994">
        <f t="shared" si="47"/>
        <v>7</v>
      </c>
      <c r="F994" s="13" t="s">
        <v>1980</v>
      </c>
      <c r="G994" s="13" t="s">
        <v>11</v>
      </c>
      <c r="H994" s="13" t="s">
        <v>2792</v>
      </c>
    </row>
    <row r="995" spans="1:8" x14ac:dyDescent="0.25">
      <c r="A995" t="s">
        <v>1981</v>
      </c>
      <c r="B995" s="15" cm="1">
        <f t="array" ref="B995">_xll.GetPrice("FP-LBR-0413",,"Low",_SPECIFIEDvarPubDate,)</f>
        <v>425</v>
      </c>
      <c r="C995" s="1">
        <f t="shared" si="45"/>
        <v>45848</v>
      </c>
      <c r="D995">
        <f t="shared" si="46"/>
        <v>2025</v>
      </c>
      <c r="E995">
        <f t="shared" si="47"/>
        <v>7</v>
      </c>
      <c r="F995" s="13" t="s">
        <v>1982</v>
      </c>
      <c r="G995" s="13" t="s">
        <v>11</v>
      </c>
      <c r="H995" s="13" t="s">
        <v>2792</v>
      </c>
    </row>
    <row r="996" spans="1:8" x14ac:dyDescent="0.25">
      <c r="A996" t="s">
        <v>1983</v>
      </c>
      <c r="B996" s="15" cm="1">
        <f t="array" ref="B996">_xll.GetPrice("FP-LBR-0414",,"Low",_SPECIFIEDvarPubDate,)</f>
        <v>370</v>
      </c>
      <c r="C996" s="1">
        <f t="shared" si="45"/>
        <v>45848</v>
      </c>
      <c r="D996">
        <f t="shared" si="46"/>
        <v>2025</v>
      </c>
      <c r="E996">
        <f t="shared" si="47"/>
        <v>7</v>
      </c>
      <c r="F996" s="13" t="s">
        <v>1984</v>
      </c>
      <c r="G996" s="13" t="s">
        <v>11</v>
      </c>
      <c r="H996" s="13" t="s">
        <v>2792</v>
      </c>
    </row>
    <row r="997" spans="1:8" x14ac:dyDescent="0.25">
      <c r="A997" t="s">
        <v>1985</v>
      </c>
      <c r="B997" s="15" cm="1">
        <f t="array" ref="B997">_xll.GetPrice("FP-LBR-0417",,"Low",_SPECIFIEDvarPubDate,)</f>
        <v>455</v>
      </c>
      <c r="C997" s="1">
        <f t="shared" si="45"/>
        <v>45848</v>
      </c>
      <c r="D997">
        <f t="shared" si="46"/>
        <v>2025</v>
      </c>
      <c r="E997">
        <f t="shared" si="47"/>
        <v>7</v>
      </c>
      <c r="F997" s="13" t="s">
        <v>1986</v>
      </c>
      <c r="G997" s="13" t="s">
        <v>11</v>
      </c>
      <c r="H997" s="13" t="s">
        <v>2792</v>
      </c>
    </row>
    <row r="998" spans="1:8" x14ac:dyDescent="0.25">
      <c r="A998" t="s">
        <v>1987</v>
      </c>
      <c r="B998" s="15" cm="1">
        <f t="array" ref="B998">_xll.GetPrice("FP-LBR-0419",,"Low",_SPECIFIEDvarPubDate,)</f>
        <v>390</v>
      </c>
      <c r="C998" s="1">
        <f t="shared" si="45"/>
        <v>45848</v>
      </c>
      <c r="D998">
        <f t="shared" si="46"/>
        <v>2025</v>
      </c>
      <c r="E998">
        <f t="shared" si="47"/>
        <v>7</v>
      </c>
      <c r="F998" s="13" t="s">
        <v>1988</v>
      </c>
      <c r="G998" s="13" t="s">
        <v>11</v>
      </c>
      <c r="H998" s="13" t="s">
        <v>2792</v>
      </c>
    </row>
    <row r="999" spans="1:8" x14ac:dyDescent="0.25">
      <c r="A999" t="s">
        <v>1989</v>
      </c>
      <c r="B999" s="15" cm="1">
        <f t="array" ref="B999">_xll.GetPrice("FP-LBR-0423",,"Low",_SPECIFIEDvarPubDate,)</f>
        <v>435</v>
      </c>
      <c r="C999" s="1">
        <f t="shared" si="45"/>
        <v>45848</v>
      </c>
      <c r="D999">
        <f t="shared" si="46"/>
        <v>2025</v>
      </c>
      <c r="E999">
        <f t="shared" si="47"/>
        <v>7</v>
      </c>
      <c r="F999" s="13" t="s">
        <v>1990</v>
      </c>
      <c r="G999" s="13" t="s">
        <v>11</v>
      </c>
      <c r="H999" s="13" t="s">
        <v>2792</v>
      </c>
    </row>
    <row r="1000" spans="1:8" x14ac:dyDescent="0.25">
      <c r="A1000" t="s">
        <v>1991</v>
      </c>
      <c r="B1000" s="15" cm="1">
        <f t="array" ref="B1000">_xll.GetPrice("FP-LBR-0438",,"Low",_SPECIFIEDvarPubDate,)</f>
        <v>395</v>
      </c>
      <c r="C1000" s="1">
        <f t="shared" si="45"/>
        <v>45848</v>
      </c>
      <c r="D1000">
        <f t="shared" si="46"/>
        <v>2025</v>
      </c>
      <c r="E1000">
        <f t="shared" si="47"/>
        <v>7</v>
      </c>
      <c r="F1000" s="13" t="s">
        <v>1992</v>
      </c>
      <c r="G1000" s="13" t="s">
        <v>11</v>
      </c>
      <c r="H1000" s="13" t="s">
        <v>2792</v>
      </c>
    </row>
    <row r="1001" spans="1:8" x14ac:dyDescent="0.25">
      <c r="A1001" t="s">
        <v>1993</v>
      </c>
      <c r="B1001" s="15" cm="1">
        <f t="array" ref="B1001">_xll.GetPrice("FP-LBR-0445",,"Low",_SPECIFIEDvarPubDate,)</f>
        <v>370</v>
      </c>
      <c r="C1001" s="1">
        <f t="shared" si="45"/>
        <v>45848</v>
      </c>
      <c r="D1001">
        <f t="shared" si="46"/>
        <v>2025</v>
      </c>
      <c r="E1001">
        <f t="shared" si="47"/>
        <v>7</v>
      </c>
      <c r="F1001" s="13" t="s">
        <v>1994</v>
      </c>
      <c r="G1001" s="13" t="s">
        <v>11</v>
      </c>
      <c r="H1001" s="13" t="s">
        <v>2792</v>
      </c>
    </row>
    <row r="1002" spans="1:8" x14ac:dyDescent="0.25">
      <c r="A1002" t="s">
        <v>1995</v>
      </c>
      <c r="B1002" s="15" cm="1">
        <f t="array" ref="B1002">_xll.GetPrice("FP-LBR-0452",,"Low",_SPECIFIEDvarPubDate,)</f>
        <v>315</v>
      </c>
      <c r="C1002" s="1">
        <f t="shared" si="45"/>
        <v>45848</v>
      </c>
      <c r="D1002">
        <f t="shared" si="46"/>
        <v>2025</v>
      </c>
      <c r="E1002">
        <f t="shared" si="47"/>
        <v>7</v>
      </c>
      <c r="F1002" s="13" t="s">
        <v>1996</v>
      </c>
      <c r="G1002" s="13" t="s">
        <v>11</v>
      </c>
      <c r="H1002" s="13" t="s">
        <v>2792</v>
      </c>
    </row>
    <row r="1003" spans="1:8" x14ac:dyDescent="0.25">
      <c r="A1003" t="s">
        <v>1997</v>
      </c>
      <c r="B1003" s="15" cm="1">
        <f t="array" ref="B1003">_xll.GetPrice("FP-LBR-0459",,"Low",_SPECIFIEDvarPubDate,)</f>
        <v>338</v>
      </c>
      <c r="C1003" s="1">
        <f t="shared" si="45"/>
        <v>45848</v>
      </c>
      <c r="D1003">
        <f t="shared" si="46"/>
        <v>2025</v>
      </c>
      <c r="E1003">
        <f t="shared" si="47"/>
        <v>7</v>
      </c>
      <c r="F1003" s="13" t="s">
        <v>1998</v>
      </c>
      <c r="G1003" s="13" t="s">
        <v>11</v>
      </c>
      <c r="H1003" s="13" t="s">
        <v>2792</v>
      </c>
    </row>
    <row r="1004" spans="1:8" x14ac:dyDescent="0.25">
      <c r="A1004" t="s">
        <v>1999</v>
      </c>
      <c r="B1004" s="15" cm="1">
        <f t="array" ref="B1004">_xll.GetPrice("FP-LBR-0466",,"Low",_SPECIFIEDvarPubDate,)</f>
        <v>375</v>
      </c>
      <c r="C1004" s="1">
        <f t="shared" si="45"/>
        <v>45848</v>
      </c>
      <c r="D1004">
        <f t="shared" si="46"/>
        <v>2025</v>
      </c>
      <c r="E1004">
        <f t="shared" si="47"/>
        <v>7</v>
      </c>
      <c r="F1004" s="13" t="s">
        <v>2000</v>
      </c>
      <c r="G1004" s="13" t="s">
        <v>11</v>
      </c>
      <c r="H1004" s="13" t="s">
        <v>2792</v>
      </c>
    </row>
    <row r="1005" spans="1:8" x14ac:dyDescent="0.25">
      <c r="A1005" t="s">
        <v>2001</v>
      </c>
      <c r="B1005" s="15" cm="1">
        <f t="array" ref="B1005">_xll.GetPrice("FP-LBR-0439",,"Low",_SPECIFIEDvarPubDate,)</f>
        <v>373</v>
      </c>
      <c r="C1005" s="1">
        <f t="shared" si="45"/>
        <v>45848</v>
      </c>
      <c r="D1005">
        <f t="shared" si="46"/>
        <v>2025</v>
      </c>
      <c r="E1005">
        <f t="shared" si="47"/>
        <v>7</v>
      </c>
      <c r="F1005" s="13" t="s">
        <v>2002</v>
      </c>
      <c r="G1005" s="13" t="s">
        <v>11</v>
      </c>
      <c r="H1005" s="13" t="s">
        <v>2792</v>
      </c>
    </row>
    <row r="1006" spans="1:8" x14ac:dyDescent="0.25">
      <c r="A1006" t="s">
        <v>2003</v>
      </c>
      <c r="B1006" s="15" cm="1">
        <f t="array" ref="B1006">_xll.GetPrice("FP-LBR-0446",,"Low",_SPECIFIEDvarPubDate,)</f>
        <v>393</v>
      </c>
      <c r="C1006" s="1">
        <f t="shared" si="45"/>
        <v>45848</v>
      </c>
      <c r="D1006">
        <f t="shared" si="46"/>
        <v>2025</v>
      </c>
      <c r="E1006">
        <f t="shared" si="47"/>
        <v>7</v>
      </c>
      <c r="F1006" s="13" t="s">
        <v>2004</v>
      </c>
      <c r="G1006" s="13" t="s">
        <v>11</v>
      </c>
      <c r="H1006" s="13" t="s">
        <v>2792</v>
      </c>
    </row>
    <row r="1007" spans="1:8" x14ac:dyDescent="0.25">
      <c r="A1007" t="s">
        <v>2005</v>
      </c>
      <c r="B1007" s="15" cm="1">
        <f t="array" ref="B1007">_xll.GetPrice("FP-LBR-0453",,"Low",_SPECIFIEDvarPubDate,)</f>
        <v>410</v>
      </c>
      <c r="C1007" s="1">
        <f t="shared" si="45"/>
        <v>45848</v>
      </c>
      <c r="D1007">
        <f t="shared" si="46"/>
        <v>2025</v>
      </c>
      <c r="E1007">
        <f t="shared" si="47"/>
        <v>7</v>
      </c>
      <c r="F1007" s="13" t="s">
        <v>2006</v>
      </c>
      <c r="G1007" s="13" t="s">
        <v>11</v>
      </c>
      <c r="H1007" s="13" t="s">
        <v>2792</v>
      </c>
    </row>
    <row r="1008" spans="1:8" x14ac:dyDescent="0.25">
      <c r="A1008" t="s">
        <v>2007</v>
      </c>
      <c r="B1008" s="15" cm="1">
        <f t="array" ref="B1008">_xll.GetPrice("FP-LBR-0460",,"Low",_SPECIFIEDvarPubDate,)</f>
        <v>495</v>
      </c>
      <c r="C1008" s="1">
        <f t="shared" si="45"/>
        <v>45848</v>
      </c>
      <c r="D1008">
        <f t="shared" si="46"/>
        <v>2025</v>
      </c>
      <c r="E1008">
        <f t="shared" si="47"/>
        <v>7</v>
      </c>
      <c r="F1008" s="13" t="s">
        <v>2008</v>
      </c>
      <c r="G1008" s="13" t="s">
        <v>11</v>
      </c>
      <c r="H1008" s="13" t="s">
        <v>2792</v>
      </c>
    </row>
    <row r="1009" spans="1:8" x14ac:dyDescent="0.25">
      <c r="A1009" t="s">
        <v>2009</v>
      </c>
      <c r="B1009" s="15" cm="1">
        <f t="array" ref="B1009">_xll.GetPrice("FP-LBR-0467",,"Low",_SPECIFIEDvarPubDate,)</f>
        <v>465</v>
      </c>
      <c r="C1009" s="1">
        <f t="shared" si="45"/>
        <v>45848</v>
      </c>
      <c r="D1009">
        <f t="shared" si="46"/>
        <v>2025</v>
      </c>
      <c r="E1009">
        <f t="shared" si="47"/>
        <v>7</v>
      </c>
      <c r="F1009" s="13" t="s">
        <v>2010</v>
      </c>
      <c r="G1009" s="13" t="s">
        <v>11</v>
      </c>
      <c r="H1009" s="13" t="s">
        <v>2792</v>
      </c>
    </row>
    <row r="1010" spans="1:8" x14ac:dyDescent="0.25">
      <c r="A1010" t="s">
        <v>2011</v>
      </c>
      <c r="B1010" s="15" cm="1">
        <f t="array" ref="B1010">_xll.GetPrice("FP-LBR-0440",,"Low",_SPECIFIEDvarPubDate,)</f>
        <v>433</v>
      </c>
      <c r="C1010" s="1">
        <f t="shared" si="45"/>
        <v>45848</v>
      </c>
      <c r="D1010">
        <f t="shared" si="46"/>
        <v>2025</v>
      </c>
      <c r="E1010">
        <f t="shared" si="47"/>
        <v>7</v>
      </c>
      <c r="F1010" s="13" t="s">
        <v>2012</v>
      </c>
      <c r="G1010" s="13" t="s">
        <v>11</v>
      </c>
      <c r="H1010" s="13" t="s">
        <v>2792</v>
      </c>
    </row>
    <row r="1011" spans="1:8" x14ac:dyDescent="0.25">
      <c r="A1011" t="s">
        <v>2013</v>
      </c>
      <c r="B1011" s="15" cm="1">
        <f t="array" ref="B1011">_xll.GetPrice("FP-LBR-0447",,"Low",_SPECIFIEDvarPubDate,)</f>
        <v>393</v>
      </c>
      <c r="C1011" s="1">
        <f t="shared" si="45"/>
        <v>45848</v>
      </c>
      <c r="D1011">
        <f t="shared" si="46"/>
        <v>2025</v>
      </c>
      <c r="E1011">
        <f t="shared" si="47"/>
        <v>7</v>
      </c>
      <c r="F1011" s="13" t="s">
        <v>2014</v>
      </c>
      <c r="G1011" s="13" t="s">
        <v>11</v>
      </c>
      <c r="H1011" s="13" t="s">
        <v>2792</v>
      </c>
    </row>
    <row r="1012" spans="1:8" x14ac:dyDescent="0.25">
      <c r="A1012" t="s">
        <v>2015</v>
      </c>
      <c r="B1012" s="15" cm="1">
        <f t="array" ref="B1012">_xll.GetPrice("FP-LBR-0454",,"Low",_SPECIFIEDvarPubDate,)</f>
        <v>430</v>
      </c>
      <c r="C1012" s="1">
        <f t="shared" si="45"/>
        <v>45848</v>
      </c>
      <c r="D1012">
        <f t="shared" si="46"/>
        <v>2025</v>
      </c>
      <c r="E1012">
        <f t="shared" si="47"/>
        <v>7</v>
      </c>
      <c r="F1012" s="13" t="s">
        <v>2016</v>
      </c>
      <c r="G1012" s="13" t="s">
        <v>11</v>
      </c>
      <c r="H1012" s="13" t="s">
        <v>2792</v>
      </c>
    </row>
    <row r="1013" spans="1:8" x14ac:dyDescent="0.25">
      <c r="A1013" t="s">
        <v>2017</v>
      </c>
      <c r="B1013" s="15" cm="1">
        <f t="array" ref="B1013">_xll.GetPrice("FP-LBR-0461",,"Low",_SPECIFIEDvarPubDate,)</f>
        <v>535</v>
      </c>
      <c r="C1013" s="1">
        <f t="shared" si="45"/>
        <v>45848</v>
      </c>
      <c r="D1013">
        <f t="shared" si="46"/>
        <v>2025</v>
      </c>
      <c r="E1013">
        <f t="shared" si="47"/>
        <v>7</v>
      </c>
      <c r="F1013" s="13" t="s">
        <v>2018</v>
      </c>
      <c r="G1013" s="13" t="s">
        <v>11</v>
      </c>
      <c r="H1013" s="13" t="s">
        <v>2792</v>
      </c>
    </row>
    <row r="1014" spans="1:8" x14ac:dyDescent="0.25">
      <c r="A1014" t="s">
        <v>2019</v>
      </c>
      <c r="B1014" s="15" cm="1">
        <f t="array" ref="B1014">_xll.GetPrice("FP-LBR-0468",,"Low",_SPECIFIEDvarPubDate,)</f>
        <v>560</v>
      </c>
      <c r="C1014" s="1">
        <f t="shared" si="45"/>
        <v>45848</v>
      </c>
      <c r="D1014">
        <f t="shared" si="46"/>
        <v>2025</v>
      </c>
      <c r="E1014">
        <f t="shared" si="47"/>
        <v>7</v>
      </c>
      <c r="F1014" s="13" t="s">
        <v>2020</v>
      </c>
      <c r="G1014" s="13" t="s">
        <v>11</v>
      </c>
      <c r="H1014" s="13" t="s">
        <v>2792</v>
      </c>
    </row>
    <row r="1015" spans="1:8" x14ac:dyDescent="0.25">
      <c r="A1015" t="s">
        <v>2021</v>
      </c>
      <c r="B1015" s="15" cm="1">
        <f t="array" ref="B1015">_xll.GetPrice("FP-LBR-0441",,"Low",_SPECIFIEDvarPubDate,)</f>
        <v>463</v>
      </c>
      <c r="C1015" s="1">
        <f t="shared" si="45"/>
        <v>45848</v>
      </c>
      <c r="D1015">
        <f t="shared" si="46"/>
        <v>2025</v>
      </c>
      <c r="E1015">
        <f t="shared" si="47"/>
        <v>7</v>
      </c>
      <c r="F1015" s="13" t="s">
        <v>2022</v>
      </c>
      <c r="G1015" s="13" t="s">
        <v>11</v>
      </c>
      <c r="H1015" s="13" t="s">
        <v>2792</v>
      </c>
    </row>
    <row r="1016" spans="1:8" x14ac:dyDescent="0.25">
      <c r="A1016" t="s">
        <v>2023</v>
      </c>
      <c r="B1016" s="15" cm="1">
        <f t="array" ref="B1016">_xll.GetPrice("FP-LBR-0448",,"Low",_SPECIFIEDvarPubDate,)</f>
        <v>355</v>
      </c>
      <c r="C1016" s="1">
        <f t="shared" si="45"/>
        <v>45848</v>
      </c>
      <c r="D1016">
        <f t="shared" si="46"/>
        <v>2025</v>
      </c>
      <c r="E1016">
        <f t="shared" si="47"/>
        <v>7</v>
      </c>
      <c r="F1016" s="13" t="s">
        <v>2024</v>
      </c>
      <c r="G1016" s="13" t="s">
        <v>11</v>
      </c>
      <c r="H1016" s="13" t="s">
        <v>2792</v>
      </c>
    </row>
    <row r="1017" spans="1:8" x14ac:dyDescent="0.25">
      <c r="A1017" t="s">
        <v>2025</v>
      </c>
      <c r="B1017" s="15" cm="1">
        <f t="array" ref="B1017">_xll.GetPrice("FP-LBR-0455",,"Low",_SPECIFIEDvarPubDate,)</f>
        <v>315</v>
      </c>
      <c r="C1017" s="1">
        <f t="shared" si="45"/>
        <v>45848</v>
      </c>
      <c r="D1017">
        <f t="shared" si="46"/>
        <v>2025</v>
      </c>
      <c r="E1017">
        <f t="shared" si="47"/>
        <v>7</v>
      </c>
      <c r="F1017" s="13" t="s">
        <v>2026</v>
      </c>
      <c r="G1017" s="13" t="s">
        <v>11</v>
      </c>
      <c r="H1017" s="13" t="s">
        <v>2792</v>
      </c>
    </row>
    <row r="1018" spans="1:8" x14ac:dyDescent="0.25">
      <c r="A1018" t="s">
        <v>2027</v>
      </c>
      <c r="B1018" s="15" cm="1">
        <f t="array" ref="B1018">_xll.GetPrice("FP-LBR-0462",,"Low",_SPECIFIEDvarPubDate,)</f>
        <v>455</v>
      </c>
      <c r="C1018" s="1">
        <f t="shared" si="45"/>
        <v>45848</v>
      </c>
      <c r="D1018">
        <f t="shared" si="46"/>
        <v>2025</v>
      </c>
      <c r="E1018">
        <f t="shared" si="47"/>
        <v>7</v>
      </c>
      <c r="F1018" s="13" t="s">
        <v>2028</v>
      </c>
      <c r="G1018" s="13" t="s">
        <v>11</v>
      </c>
      <c r="H1018" s="13" t="s">
        <v>2792</v>
      </c>
    </row>
    <row r="1019" spans="1:8" x14ac:dyDescent="0.25">
      <c r="A1019" t="s">
        <v>2029</v>
      </c>
      <c r="B1019" s="15" cm="1">
        <f t="array" ref="B1019">_xll.GetPrice("FP-LBR-0469",,"Low",_SPECIFIEDvarPubDate,)</f>
        <v>460</v>
      </c>
      <c r="C1019" s="1">
        <f t="shared" si="45"/>
        <v>45848</v>
      </c>
      <c r="D1019">
        <f t="shared" si="46"/>
        <v>2025</v>
      </c>
      <c r="E1019">
        <f t="shared" si="47"/>
        <v>7</v>
      </c>
      <c r="F1019" s="13" t="s">
        <v>2030</v>
      </c>
      <c r="G1019" s="13" t="s">
        <v>11</v>
      </c>
      <c r="H1019" s="13" t="s">
        <v>2792</v>
      </c>
    </row>
    <row r="1020" spans="1:8" x14ac:dyDescent="0.25">
      <c r="A1020" t="s">
        <v>2031</v>
      </c>
      <c r="B1020" s="15" cm="1">
        <f t="array" ref="B1020">_xll.GetPrice("FP-LBR-0442",,"Low",_SPECIFIEDvarPubDate,)</f>
        <v>585</v>
      </c>
      <c r="C1020" s="1">
        <f t="shared" si="45"/>
        <v>45848</v>
      </c>
      <c r="D1020">
        <f t="shared" si="46"/>
        <v>2025</v>
      </c>
      <c r="E1020">
        <f t="shared" si="47"/>
        <v>7</v>
      </c>
      <c r="F1020" s="13" t="s">
        <v>2032</v>
      </c>
      <c r="G1020" s="13" t="s">
        <v>11</v>
      </c>
      <c r="H1020" s="13" t="s">
        <v>2792</v>
      </c>
    </row>
    <row r="1021" spans="1:8" x14ac:dyDescent="0.25">
      <c r="A1021" t="s">
        <v>2033</v>
      </c>
      <c r="B1021" s="15" cm="1">
        <f t="array" ref="B1021">_xll.GetPrice("FP-LBR-0449",,"Low",_SPECIFIEDvarPubDate,)</f>
        <v>443</v>
      </c>
      <c r="C1021" s="1">
        <f t="shared" si="45"/>
        <v>45848</v>
      </c>
      <c r="D1021">
        <f t="shared" si="46"/>
        <v>2025</v>
      </c>
      <c r="E1021">
        <f t="shared" si="47"/>
        <v>7</v>
      </c>
      <c r="F1021" s="13" t="s">
        <v>2034</v>
      </c>
      <c r="G1021" s="13" t="s">
        <v>11</v>
      </c>
      <c r="H1021" s="13" t="s">
        <v>2792</v>
      </c>
    </row>
    <row r="1022" spans="1:8" x14ac:dyDescent="0.25">
      <c r="A1022" t="s">
        <v>2035</v>
      </c>
      <c r="B1022" s="15" cm="1">
        <f t="array" ref="B1022">_xll.GetPrice("FP-LBR-0456",,"Low",_SPECIFIEDvarPubDate,)</f>
        <v>408</v>
      </c>
      <c r="C1022" s="1">
        <f t="shared" si="45"/>
        <v>45848</v>
      </c>
      <c r="D1022">
        <f t="shared" si="46"/>
        <v>2025</v>
      </c>
      <c r="E1022">
        <f t="shared" si="47"/>
        <v>7</v>
      </c>
      <c r="F1022" s="13" t="s">
        <v>2036</v>
      </c>
      <c r="G1022" s="13" t="s">
        <v>11</v>
      </c>
      <c r="H1022" s="13" t="s">
        <v>2792</v>
      </c>
    </row>
    <row r="1023" spans="1:8" x14ac:dyDescent="0.25">
      <c r="A1023" t="s">
        <v>2037</v>
      </c>
      <c r="B1023" s="15" cm="1">
        <f t="array" ref="B1023">_xll.GetPrice("FP-LBR-0463",,"Low",_SPECIFIEDvarPubDate,)</f>
        <v>388</v>
      </c>
      <c r="C1023" s="1">
        <f t="shared" si="45"/>
        <v>45848</v>
      </c>
      <c r="D1023">
        <f t="shared" si="46"/>
        <v>2025</v>
      </c>
      <c r="E1023">
        <f t="shared" si="47"/>
        <v>7</v>
      </c>
      <c r="F1023" s="13" t="s">
        <v>2038</v>
      </c>
      <c r="G1023" s="13" t="s">
        <v>11</v>
      </c>
      <c r="H1023" s="13" t="s">
        <v>2792</v>
      </c>
    </row>
    <row r="1024" spans="1:8" x14ac:dyDescent="0.25">
      <c r="A1024" t="s">
        <v>2039</v>
      </c>
      <c r="B1024" s="15" cm="1">
        <f t="array" ref="B1024">_xll.GetPrice("FP-LBR-0470",,"Low",_SPECIFIEDvarPubDate,)</f>
        <v>720</v>
      </c>
      <c r="C1024" s="1">
        <f t="shared" si="45"/>
        <v>45848</v>
      </c>
      <c r="D1024">
        <f t="shared" si="46"/>
        <v>2025</v>
      </c>
      <c r="E1024">
        <f t="shared" si="47"/>
        <v>7</v>
      </c>
      <c r="F1024" s="13" t="s">
        <v>2040</v>
      </c>
      <c r="G1024" s="13" t="s">
        <v>11</v>
      </c>
      <c r="H1024" s="13" t="s">
        <v>2792</v>
      </c>
    </row>
    <row r="1025" spans="1:8" x14ac:dyDescent="0.25">
      <c r="A1025" t="s">
        <v>2041</v>
      </c>
      <c r="B1025" s="15" cm="1">
        <f t="array" ref="B1025">_xll.GetPrice("FP-LBR-0443",,"Low",_SPECIFIEDvarPubDate,)</f>
        <v>515</v>
      </c>
      <c r="C1025" s="1">
        <f t="shared" ref="C1025:C1088" si="48">_SPECIFIEDvarPubDate</f>
        <v>45848</v>
      </c>
      <c r="D1025">
        <f t="shared" ref="D1025:D1088" si="49">_SPECIFIEDvarYear</f>
        <v>2025</v>
      </c>
      <c r="E1025">
        <f t="shared" ref="E1025:E1088" si="50">_SPECIFIEDvarMonth</f>
        <v>7</v>
      </c>
      <c r="F1025" s="13" t="s">
        <v>2042</v>
      </c>
      <c r="G1025" s="13" t="s">
        <v>11</v>
      </c>
      <c r="H1025" s="13" t="s">
        <v>2792</v>
      </c>
    </row>
    <row r="1026" spans="1:8" x14ac:dyDescent="0.25">
      <c r="A1026" t="s">
        <v>2043</v>
      </c>
      <c r="B1026" s="15" cm="1">
        <f t="array" ref="B1026">_xll.GetPrice("FP-LBR-0450",,"Low",_SPECIFIEDvarPubDate,)</f>
        <v>442</v>
      </c>
      <c r="C1026" s="1">
        <f t="shared" si="48"/>
        <v>45848</v>
      </c>
      <c r="D1026">
        <f t="shared" si="49"/>
        <v>2025</v>
      </c>
      <c r="E1026">
        <f t="shared" si="50"/>
        <v>7</v>
      </c>
      <c r="F1026" s="13" t="s">
        <v>2044</v>
      </c>
      <c r="G1026" s="13" t="s">
        <v>11</v>
      </c>
      <c r="H1026" s="13" t="s">
        <v>2792</v>
      </c>
    </row>
    <row r="1027" spans="1:8" x14ac:dyDescent="0.25">
      <c r="A1027" t="s">
        <v>2045</v>
      </c>
      <c r="B1027" s="15" cm="1">
        <f t="array" ref="B1027">_xll.GetPrice("FP-LBR-0457",,"Low",_SPECIFIEDvarPubDate,)</f>
        <v>415</v>
      </c>
      <c r="C1027" s="1">
        <f t="shared" si="48"/>
        <v>45848</v>
      </c>
      <c r="D1027">
        <f t="shared" si="49"/>
        <v>2025</v>
      </c>
      <c r="E1027">
        <f t="shared" si="50"/>
        <v>7</v>
      </c>
      <c r="F1027" s="13" t="s">
        <v>2046</v>
      </c>
      <c r="G1027" s="13" t="s">
        <v>11</v>
      </c>
      <c r="H1027" s="13" t="s">
        <v>2792</v>
      </c>
    </row>
    <row r="1028" spans="1:8" x14ac:dyDescent="0.25">
      <c r="A1028" t="s">
        <v>2047</v>
      </c>
      <c r="B1028" s="15" cm="1">
        <f t="array" ref="B1028">_xll.GetPrice("FP-LBR-0464",,"Low",_SPECIFIEDvarPubDate,)</f>
        <v>410</v>
      </c>
      <c r="C1028" s="1">
        <f t="shared" si="48"/>
        <v>45848</v>
      </c>
      <c r="D1028">
        <f t="shared" si="49"/>
        <v>2025</v>
      </c>
      <c r="E1028">
        <f t="shared" si="50"/>
        <v>7</v>
      </c>
      <c r="F1028" s="13" t="s">
        <v>2048</v>
      </c>
      <c r="G1028" s="13" t="s">
        <v>11</v>
      </c>
      <c r="H1028" s="13" t="s">
        <v>2792</v>
      </c>
    </row>
    <row r="1029" spans="1:8" x14ac:dyDescent="0.25">
      <c r="A1029" t="s">
        <v>2049</v>
      </c>
      <c r="B1029" s="15" cm="1">
        <f t="array" ref="B1029">_xll.GetPrice("FP-LBR-0471",,"Low",_SPECIFIEDvarPubDate,)</f>
        <v>560</v>
      </c>
      <c r="C1029" s="1">
        <f t="shared" si="48"/>
        <v>45848</v>
      </c>
      <c r="D1029">
        <f t="shared" si="49"/>
        <v>2025</v>
      </c>
      <c r="E1029">
        <f t="shared" si="50"/>
        <v>7</v>
      </c>
      <c r="F1029" s="13" t="s">
        <v>2050</v>
      </c>
      <c r="G1029" s="13" t="s">
        <v>11</v>
      </c>
      <c r="H1029" s="13" t="s">
        <v>2792</v>
      </c>
    </row>
    <row r="1030" spans="1:8" x14ac:dyDescent="0.25">
      <c r="A1030" t="s">
        <v>2051</v>
      </c>
      <c r="B1030" s="15" cm="1">
        <f t="array" ref="B1030">_xll.GetPrice("FP-LBR-0444",,"Low",_SPECIFIEDvarPubDate,)</f>
        <v>540</v>
      </c>
      <c r="C1030" s="1">
        <f t="shared" si="48"/>
        <v>45848</v>
      </c>
      <c r="D1030">
        <f t="shared" si="49"/>
        <v>2025</v>
      </c>
      <c r="E1030">
        <f t="shared" si="50"/>
        <v>7</v>
      </c>
      <c r="F1030" s="13" t="s">
        <v>2052</v>
      </c>
      <c r="G1030" s="13" t="s">
        <v>11</v>
      </c>
      <c r="H1030" s="13" t="s">
        <v>2792</v>
      </c>
    </row>
    <row r="1031" spans="1:8" x14ac:dyDescent="0.25">
      <c r="A1031" t="s">
        <v>2053</v>
      </c>
      <c r="B1031" s="15" cm="1">
        <f t="array" ref="B1031">_xll.GetPrice("FP-LBR-0451",,"Low",_SPECIFIEDvarPubDate,)</f>
        <v>450</v>
      </c>
      <c r="C1031" s="1">
        <f t="shared" si="48"/>
        <v>45848</v>
      </c>
      <c r="D1031">
        <f t="shared" si="49"/>
        <v>2025</v>
      </c>
      <c r="E1031">
        <f t="shared" si="50"/>
        <v>7</v>
      </c>
      <c r="F1031" s="13" t="s">
        <v>2054</v>
      </c>
      <c r="G1031" s="13" t="s">
        <v>11</v>
      </c>
      <c r="H1031" s="13" t="s">
        <v>2792</v>
      </c>
    </row>
    <row r="1032" spans="1:8" x14ac:dyDescent="0.25">
      <c r="A1032" t="s">
        <v>2055</v>
      </c>
      <c r="B1032" s="15" cm="1">
        <f t="array" ref="B1032">_xll.GetPrice("FP-LBR-0458",,"Low",_SPECIFIEDvarPubDate,)</f>
        <v>450</v>
      </c>
      <c r="C1032" s="1">
        <f t="shared" si="48"/>
        <v>45848</v>
      </c>
      <c r="D1032">
        <f t="shared" si="49"/>
        <v>2025</v>
      </c>
      <c r="E1032">
        <f t="shared" si="50"/>
        <v>7</v>
      </c>
      <c r="F1032" s="13" t="s">
        <v>2056</v>
      </c>
      <c r="G1032" s="13" t="s">
        <v>11</v>
      </c>
      <c r="H1032" s="13" t="s">
        <v>2792</v>
      </c>
    </row>
    <row r="1033" spans="1:8" x14ac:dyDescent="0.25">
      <c r="A1033" t="s">
        <v>2057</v>
      </c>
      <c r="B1033" s="15" cm="1">
        <f t="array" ref="B1033">_xll.GetPrice("FP-LBR-0465",,"Low",_SPECIFIEDvarPubDate,)</f>
        <v>430</v>
      </c>
      <c r="C1033" s="1">
        <f t="shared" si="48"/>
        <v>45848</v>
      </c>
      <c r="D1033">
        <f t="shared" si="49"/>
        <v>2025</v>
      </c>
      <c r="E1033">
        <f t="shared" si="50"/>
        <v>7</v>
      </c>
      <c r="F1033" s="13" t="s">
        <v>2058</v>
      </c>
      <c r="G1033" s="13" t="s">
        <v>11</v>
      </c>
      <c r="H1033" s="13" t="s">
        <v>2792</v>
      </c>
    </row>
    <row r="1034" spans="1:8" x14ac:dyDescent="0.25">
      <c r="A1034" t="s">
        <v>2059</v>
      </c>
      <c r="B1034" s="15" cm="1">
        <f t="array" ref="B1034">_xll.GetPrice("FP-LBR-0472",,"Low",_SPECIFIEDvarPubDate,)</f>
        <v>655</v>
      </c>
      <c r="C1034" s="1">
        <f t="shared" si="48"/>
        <v>45848</v>
      </c>
      <c r="D1034">
        <f t="shared" si="49"/>
        <v>2025</v>
      </c>
      <c r="E1034">
        <f t="shared" si="50"/>
        <v>7</v>
      </c>
      <c r="F1034" s="13" t="s">
        <v>2060</v>
      </c>
      <c r="G1034" s="13" t="s">
        <v>11</v>
      </c>
      <c r="H1034" s="13" t="s">
        <v>2792</v>
      </c>
    </row>
    <row r="1035" spans="1:8" x14ac:dyDescent="0.25">
      <c r="A1035" t="s">
        <v>2061</v>
      </c>
      <c r="B1035" s="15" cm="1">
        <f t="array" ref="B1035">_xll.GetPrice("FP-LBR-0525",,"Low",_SPECIFIEDvarPubDate,)</f>
        <v>633</v>
      </c>
      <c r="C1035" s="1">
        <f t="shared" si="48"/>
        <v>45848</v>
      </c>
      <c r="D1035">
        <f t="shared" si="49"/>
        <v>2025</v>
      </c>
      <c r="E1035">
        <f t="shared" si="50"/>
        <v>7</v>
      </c>
      <c r="F1035" s="13" t="s">
        <v>1926</v>
      </c>
      <c r="G1035" s="13" t="s">
        <v>11</v>
      </c>
      <c r="H1035" s="13" t="s">
        <v>2792</v>
      </c>
    </row>
    <row r="1036" spans="1:8" x14ac:dyDescent="0.25">
      <c r="A1036" t="s">
        <v>2062</v>
      </c>
      <c r="B1036" s="15" cm="1">
        <f t="array" ref="B1036">_xll.GetPrice("FP-LBR-1850",,"Low",_SPECIFIEDvarPubDate,)</f>
        <v>634</v>
      </c>
      <c r="C1036" s="1">
        <f t="shared" si="48"/>
        <v>45848</v>
      </c>
      <c r="D1036">
        <f t="shared" si="49"/>
        <v>2025</v>
      </c>
      <c r="E1036">
        <f t="shared" si="50"/>
        <v>7</v>
      </c>
      <c r="F1036" s="13" t="s">
        <v>2063</v>
      </c>
      <c r="G1036" s="13" t="s">
        <v>11</v>
      </c>
      <c r="H1036" s="13" t="s">
        <v>2792</v>
      </c>
    </row>
    <row r="1037" spans="1:8" x14ac:dyDescent="0.25">
      <c r="A1037" t="s">
        <v>2064</v>
      </c>
      <c r="B1037" s="15" cm="1">
        <f t="array" ref="B1037">_xll.GetPrice("FP-LBR-0515",,"Low",_SPECIFIEDvarPubDate,)</f>
        <v>610</v>
      </c>
      <c r="C1037" s="1">
        <f t="shared" si="48"/>
        <v>45848</v>
      </c>
      <c r="D1037">
        <f t="shared" si="49"/>
        <v>2025</v>
      </c>
      <c r="E1037">
        <f t="shared" si="50"/>
        <v>7</v>
      </c>
      <c r="F1037" s="13" t="s">
        <v>1924</v>
      </c>
      <c r="G1037" s="13" t="s">
        <v>11</v>
      </c>
      <c r="H1037" s="13" t="s">
        <v>2792</v>
      </c>
    </row>
    <row r="1038" spans="1:8" x14ac:dyDescent="0.25">
      <c r="A1038" t="s">
        <v>2065</v>
      </c>
      <c r="B1038" s="15" cm="1">
        <f t="array" ref="B1038">_xll.GetPrice("FP-LBR-1853",,"Low",_SPECIFIEDvarPubDate,)</f>
        <v>616</v>
      </c>
      <c r="C1038" s="1">
        <f t="shared" si="48"/>
        <v>45848</v>
      </c>
      <c r="D1038">
        <f t="shared" si="49"/>
        <v>2025</v>
      </c>
      <c r="E1038">
        <f t="shared" si="50"/>
        <v>7</v>
      </c>
      <c r="F1038" s="13" t="s">
        <v>2066</v>
      </c>
      <c r="G1038" s="13" t="s">
        <v>11</v>
      </c>
      <c r="H1038" s="13" t="s">
        <v>2792</v>
      </c>
    </row>
    <row r="1039" spans="1:8" x14ac:dyDescent="0.25">
      <c r="A1039" t="s">
        <v>2067</v>
      </c>
      <c r="B1039" s="15" cm="1">
        <f t="array" ref="B1039">_xll.GetPrice("FP-LBR-1854",,"Low",_SPECIFIEDvarPubDate,)</f>
        <v>599</v>
      </c>
      <c r="C1039" s="1">
        <f t="shared" si="48"/>
        <v>45848</v>
      </c>
      <c r="D1039">
        <f t="shared" si="49"/>
        <v>2025</v>
      </c>
      <c r="E1039">
        <f t="shared" si="50"/>
        <v>7</v>
      </c>
      <c r="F1039" s="13" t="s">
        <v>2068</v>
      </c>
      <c r="G1039" s="13" t="s">
        <v>11</v>
      </c>
      <c r="H1039" s="13" t="s">
        <v>2792</v>
      </c>
    </row>
    <row r="1040" spans="1:8" x14ac:dyDescent="0.25">
      <c r="A1040" t="s">
        <v>2069</v>
      </c>
      <c r="B1040" s="15" cm="1">
        <f t="array" ref="B1040">_xll.GetPrice("FP-LBR-1864",,"Low",_SPECIFIEDvarPubDate,)</f>
        <v>642</v>
      </c>
      <c r="C1040" s="1">
        <f t="shared" si="48"/>
        <v>45848</v>
      </c>
      <c r="D1040">
        <f t="shared" si="49"/>
        <v>2025</v>
      </c>
      <c r="E1040">
        <f t="shared" si="50"/>
        <v>7</v>
      </c>
      <c r="F1040" s="13" t="s">
        <v>2070</v>
      </c>
      <c r="G1040" s="13" t="s">
        <v>11</v>
      </c>
      <c r="H1040" s="13" t="s">
        <v>2792</v>
      </c>
    </row>
    <row r="1041" spans="1:8" x14ac:dyDescent="0.25">
      <c r="A1041" t="s">
        <v>2071</v>
      </c>
      <c r="B1041" s="15" cm="1">
        <f t="array" ref="B1041">_xll.GetPrice("FP-LBR-1865",,"Low",_SPECIFIEDvarPubDate,)</f>
        <v>638</v>
      </c>
      <c r="C1041" s="1">
        <f t="shared" si="48"/>
        <v>45848</v>
      </c>
      <c r="D1041">
        <f t="shared" si="49"/>
        <v>2025</v>
      </c>
      <c r="E1041">
        <f t="shared" si="50"/>
        <v>7</v>
      </c>
      <c r="F1041" s="13" t="s">
        <v>2072</v>
      </c>
      <c r="G1041" s="13" t="s">
        <v>11</v>
      </c>
      <c r="H1041" s="13" t="s">
        <v>2792</v>
      </c>
    </row>
    <row r="1042" spans="1:8" x14ac:dyDescent="0.25">
      <c r="A1042" t="s">
        <v>2073</v>
      </c>
      <c r="B1042" s="15" cm="1">
        <f t="array" ref="B1042">_xll.GetPrice("FP-LBR-0162",,"Low",_SPECIFIEDvarPubDate,)</f>
        <v>540</v>
      </c>
      <c r="C1042" s="1">
        <f t="shared" si="48"/>
        <v>45848</v>
      </c>
      <c r="D1042">
        <f t="shared" si="49"/>
        <v>2025</v>
      </c>
      <c r="E1042">
        <f t="shared" si="50"/>
        <v>7</v>
      </c>
      <c r="F1042" s="13" t="s">
        <v>2074</v>
      </c>
      <c r="G1042" s="13" t="s">
        <v>11</v>
      </c>
      <c r="H1042" s="13" t="s">
        <v>2792</v>
      </c>
    </row>
    <row r="1043" spans="1:8" x14ac:dyDescent="0.25">
      <c r="A1043" t="s">
        <v>2075</v>
      </c>
      <c r="B1043" s="15" cm="1">
        <f t="array" ref="B1043">_xll.GetPrice("FP-LBR-1852",,"Low",_SPECIFIEDvarPubDate,)</f>
        <v>600</v>
      </c>
      <c r="C1043" s="1">
        <f t="shared" si="48"/>
        <v>45848</v>
      </c>
      <c r="D1043">
        <f t="shared" si="49"/>
        <v>2025</v>
      </c>
      <c r="E1043">
        <f t="shared" si="50"/>
        <v>7</v>
      </c>
      <c r="F1043" s="13" t="s">
        <v>2076</v>
      </c>
      <c r="G1043" s="13" t="s">
        <v>11</v>
      </c>
      <c r="H1043" s="13" t="s">
        <v>2792</v>
      </c>
    </row>
    <row r="1044" spans="1:8" x14ac:dyDescent="0.25">
      <c r="A1044" t="s">
        <v>2077</v>
      </c>
      <c r="B1044" s="15" cm="1">
        <f t="array" ref="B1044">_xll.GetPrice("FP-LBR-1910",,"Low",_SPECIFIEDvarPubDate,)</f>
        <v>556</v>
      </c>
      <c r="C1044" s="1">
        <f t="shared" si="48"/>
        <v>45848</v>
      </c>
      <c r="D1044">
        <f t="shared" si="49"/>
        <v>2025</v>
      </c>
      <c r="E1044">
        <f t="shared" si="50"/>
        <v>7</v>
      </c>
      <c r="F1044" s="13" t="s">
        <v>2078</v>
      </c>
      <c r="G1044" s="13" t="s">
        <v>11</v>
      </c>
      <c r="H1044" s="13" t="s">
        <v>2792</v>
      </c>
    </row>
    <row r="1045" spans="1:8" x14ac:dyDescent="0.25">
      <c r="A1045" t="s">
        <v>2079</v>
      </c>
      <c r="B1045" s="15" cm="1">
        <f t="array" ref="B1045">_xll.GetPrice("FP-LBR-1946",,"Low",_SPECIFIEDvarPubDate,)</f>
        <v>472</v>
      </c>
      <c r="C1045" s="1">
        <f t="shared" si="48"/>
        <v>45848</v>
      </c>
      <c r="D1045">
        <f t="shared" si="49"/>
        <v>2025</v>
      </c>
      <c r="E1045">
        <f t="shared" si="50"/>
        <v>7</v>
      </c>
      <c r="F1045" s="13" t="s">
        <v>2080</v>
      </c>
      <c r="G1045" s="13" t="s">
        <v>11</v>
      </c>
      <c r="H1045" s="13" t="s">
        <v>2792</v>
      </c>
    </row>
    <row r="1046" spans="1:8" x14ac:dyDescent="0.25">
      <c r="A1046" t="s">
        <v>2081</v>
      </c>
      <c r="B1046" s="15" cm="1">
        <f t="array" ref="B1046">_xll.GetPrice("FP-LBR-0144",,"Low",_SPECIFIEDvarPubDate,)</f>
        <v>880</v>
      </c>
      <c r="C1046" s="1">
        <f t="shared" si="48"/>
        <v>45848</v>
      </c>
      <c r="D1046">
        <f t="shared" si="49"/>
        <v>2025</v>
      </c>
      <c r="E1046">
        <f t="shared" si="50"/>
        <v>7</v>
      </c>
      <c r="F1046" s="13" t="s">
        <v>2082</v>
      </c>
      <c r="G1046" s="13" t="s">
        <v>11</v>
      </c>
      <c r="H1046" s="13" t="s">
        <v>2792</v>
      </c>
    </row>
    <row r="1047" spans="1:8" x14ac:dyDescent="0.25">
      <c r="A1047" t="s">
        <v>2083</v>
      </c>
      <c r="B1047" s="15" cm="1">
        <f t="array" ref="B1047">_xll.GetPrice("FP-LBR-0145",,"Low",_SPECIFIEDvarPubDate,)</f>
        <v>985</v>
      </c>
      <c r="C1047" s="1">
        <f t="shared" si="48"/>
        <v>45848</v>
      </c>
      <c r="D1047">
        <f t="shared" si="49"/>
        <v>2025</v>
      </c>
      <c r="E1047">
        <f t="shared" si="50"/>
        <v>7</v>
      </c>
      <c r="F1047" s="13" t="s">
        <v>2084</v>
      </c>
      <c r="G1047" s="13" t="s">
        <v>11</v>
      </c>
      <c r="H1047" s="13" t="s">
        <v>2792</v>
      </c>
    </row>
    <row r="1048" spans="1:8" x14ac:dyDescent="0.25">
      <c r="A1048" t="s">
        <v>2085</v>
      </c>
      <c r="B1048" s="15" cm="1">
        <f t="array" ref="B1048">_xll.GetPrice("FP-LBR-0146",,"Low",_SPECIFIEDvarPubDate,)</f>
        <v>1165</v>
      </c>
      <c r="C1048" s="1">
        <f t="shared" si="48"/>
        <v>45848</v>
      </c>
      <c r="D1048">
        <f t="shared" si="49"/>
        <v>2025</v>
      </c>
      <c r="E1048">
        <f t="shared" si="50"/>
        <v>7</v>
      </c>
      <c r="F1048" s="13" t="s">
        <v>2086</v>
      </c>
      <c r="G1048" s="13" t="s">
        <v>11</v>
      </c>
      <c r="H1048" s="13" t="s">
        <v>2792</v>
      </c>
    </row>
    <row r="1049" spans="1:8" x14ac:dyDescent="0.25">
      <c r="A1049" t="s">
        <v>2087</v>
      </c>
      <c r="B1049" s="15" cm="1">
        <f t="array" ref="B1049">_xll.GetPrice("FP-LBR-0149",,"Low",_SPECIFIEDvarPubDate,)</f>
        <v>510</v>
      </c>
      <c r="C1049" s="1">
        <f t="shared" si="48"/>
        <v>45848</v>
      </c>
      <c r="D1049">
        <f t="shared" si="49"/>
        <v>2025</v>
      </c>
      <c r="E1049">
        <f t="shared" si="50"/>
        <v>7</v>
      </c>
      <c r="F1049" s="13" t="s">
        <v>2088</v>
      </c>
      <c r="G1049" s="13" t="s">
        <v>11</v>
      </c>
      <c r="H1049" s="13" t="s">
        <v>2792</v>
      </c>
    </row>
    <row r="1050" spans="1:8" x14ac:dyDescent="0.25">
      <c r="A1050" t="s">
        <v>2089</v>
      </c>
      <c r="B1050" s="15" cm="1">
        <f t="array" ref="B1050">_xll.GetPrice("FP-LBR-0254",,"Low",_SPECIFIEDvarPubDate,)</f>
        <v>520</v>
      </c>
      <c r="C1050" s="1">
        <f t="shared" si="48"/>
        <v>45848</v>
      </c>
      <c r="D1050">
        <f t="shared" si="49"/>
        <v>2025</v>
      </c>
      <c r="E1050">
        <f t="shared" si="50"/>
        <v>7</v>
      </c>
      <c r="F1050" s="13" t="s">
        <v>2090</v>
      </c>
      <c r="G1050" s="13" t="s">
        <v>11</v>
      </c>
      <c r="H1050" s="13" t="s">
        <v>2792</v>
      </c>
    </row>
    <row r="1051" spans="1:8" x14ac:dyDescent="0.25">
      <c r="A1051" t="s">
        <v>2091</v>
      </c>
      <c r="B1051" s="15" cm="1">
        <f t="array" ref="B1051">_xll.GetPrice("FP-LBR-0255",,"Low",_SPECIFIEDvarPubDate,)</f>
        <v>480</v>
      </c>
      <c r="C1051" s="1">
        <f t="shared" si="48"/>
        <v>45848</v>
      </c>
      <c r="D1051">
        <f t="shared" si="49"/>
        <v>2025</v>
      </c>
      <c r="E1051">
        <f t="shared" si="50"/>
        <v>7</v>
      </c>
      <c r="F1051" s="13" t="s">
        <v>2092</v>
      </c>
      <c r="G1051" s="13" t="s">
        <v>11</v>
      </c>
      <c r="H1051" s="13" t="s">
        <v>2792</v>
      </c>
    </row>
    <row r="1052" spans="1:8" x14ac:dyDescent="0.25">
      <c r="A1052" t="s">
        <v>2093</v>
      </c>
      <c r="B1052" s="15" cm="1">
        <f t="array" ref="B1052">_xll.GetPrice("FP-LBR-0256",,"Low",_SPECIFIEDvarPubDate,)</f>
        <v>385</v>
      </c>
      <c r="C1052" s="1">
        <f t="shared" si="48"/>
        <v>45848</v>
      </c>
      <c r="D1052">
        <f t="shared" si="49"/>
        <v>2025</v>
      </c>
      <c r="E1052">
        <f t="shared" si="50"/>
        <v>7</v>
      </c>
      <c r="F1052" s="13" t="s">
        <v>2094</v>
      </c>
      <c r="G1052" s="13" t="s">
        <v>11</v>
      </c>
      <c r="H1052" s="13" t="s">
        <v>2792</v>
      </c>
    </row>
    <row r="1053" spans="1:8" x14ac:dyDescent="0.25">
      <c r="A1053" t="s">
        <v>2095</v>
      </c>
      <c r="B1053" s="15" cm="1">
        <f t="array" ref="B1053">_xll.GetPrice("FP-LBR-0257",,"Low",_SPECIFIEDvarPubDate,)</f>
        <v>275</v>
      </c>
      <c r="C1053" s="1">
        <f t="shared" si="48"/>
        <v>45848</v>
      </c>
      <c r="D1053">
        <f t="shared" si="49"/>
        <v>2025</v>
      </c>
      <c r="E1053">
        <f t="shared" si="50"/>
        <v>7</v>
      </c>
      <c r="F1053" s="13" t="s">
        <v>2096</v>
      </c>
      <c r="G1053" s="13" t="s">
        <v>11</v>
      </c>
      <c r="H1053" s="13" t="s">
        <v>2792</v>
      </c>
    </row>
    <row r="1054" spans="1:8" x14ac:dyDescent="0.25">
      <c r="A1054" t="s">
        <v>2097</v>
      </c>
      <c r="B1054" s="15" cm="1">
        <f t="array" ref="B1054">_xll.GetPrice("FP-LBR-1203",,"Low",_SPECIFIEDvarPubDate,)</f>
        <v>60</v>
      </c>
      <c r="C1054" s="1">
        <f t="shared" si="48"/>
        <v>45848</v>
      </c>
      <c r="D1054">
        <f t="shared" si="49"/>
        <v>2025</v>
      </c>
      <c r="E1054">
        <f t="shared" si="50"/>
        <v>7</v>
      </c>
      <c r="F1054" s="13" t="s">
        <v>2098</v>
      </c>
      <c r="G1054" s="13" t="s">
        <v>11</v>
      </c>
      <c r="H1054" s="13" t="s">
        <v>2792</v>
      </c>
    </row>
    <row r="1055" spans="1:8" x14ac:dyDescent="0.25">
      <c r="A1055" t="s">
        <v>2099</v>
      </c>
      <c r="B1055" s="15" cm="1">
        <f t="array" ref="B1055">_xll.GetPrice("FP-LBR-1847",,"Low",_SPECIFIEDvarPubDate,)</f>
        <v>380</v>
      </c>
      <c r="C1055" s="1">
        <f t="shared" si="48"/>
        <v>45848</v>
      </c>
      <c r="D1055">
        <f t="shared" si="49"/>
        <v>2025</v>
      </c>
      <c r="E1055">
        <f t="shared" si="50"/>
        <v>7</v>
      </c>
      <c r="F1055" s="13" t="s">
        <v>2100</v>
      </c>
      <c r="G1055" s="13" t="s">
        <v>11</v>
      </c>
      <c r="H1055" s="13" t="s">
        <v>2792</v>
      </c>
    </row>
    <row r="1056" spans="1:8" x14ac:dyDescent="0.25">
      <c r="A1056" t="s">
        <v>2101</v>
      </c>
      <c r="B1056" s="15" cm="1">
        <f t="array" ref="B1056">_xll.GetPrice("FP-LBR-1855",,"Low",_SPECIFIEDvarPubDate,)</f>
        <v>620</v>
      </c>
      <c r="C1056" s="1">
        <f t="shared" si="48"/>
        <v>45848</v>
      </c>
      <c r="D1056">
        <f t="shared" si="49"/>
        <v>2025</v>
      </c>
      <c r="E1056">
        <f t="shared" si="50"/>
        <v>7</v>
      </c>
      <c r="F1056" s="13" t="s">
        <v>2102</v>
      </c>
      <c r="G1056" s="13" t="s">
        <v>11</v>
      </c>
      <c r="H1056" s="13" t="s">
        <v>2792</v>
      </c>
    </row>
    <row r="1057" spans="1:8" x14ac:dyDescent="0.25">
      <c r="A1057" t="s">
        <v>2103</v>
      </c>
      <c r="B1057" s="15" cm="1">
        <f t="array" ref="B1057">_xll.GetPrice("FP-LBR-1856",,"Low",_SPECIFIEDvarPubDate,)</f>
        <v>638</v>
      </c>
      <c r="C1057" s="1">
        <f t="shared" si="48"/>
        <v>45848</v>
      </c>
      <c r="D1057">
        <f t="shared" si="49"/>
        <v>2025</v>
      </c>
      <c r="E1057">
        <f t="shared" si="50"/>
        <v>7</v>
      </c>
      <c r="F1057" s="13" t="s">
        <v>2104</v>
      </c>
      <c r="G1057" s="13" t="s">
        <v>11</v>
      </c>
      <c r="H1057" s="13" t="s">
        <v>2792</v>
      </c>
    </row>
    <row r="1058" spans="1:8" x14ac:dyDescent="0.25">
      <c r="A1058" t="s">
        <v>2105</v>
      </c>
      <c r="B1058" s="15" cm="1">
        <f t="array" ref="B1058">_xll.GetPrice("FP-LBR-1857",,"Low",_SPECIFIEDvarPubDate,)</f>
        <v>640</v>
      </c>
      <c r="C1058" s="1">
        <f t="shared" si="48"/>
        <v>45848</v>
      </c>
      <c r="D1058">
        <f t="shared" si="49"/>
        <v>2025</v>
      </c>
      <c r="E1058">
        <f t="shared" si="50"/>
        <v>7</v>
      </c>
      <c r="F1058" s="13" t="s">
        <v>2106</v>
      </c>
      <c r="G1058" s="13" t="s">
        <v>11</v>
      </c>
      <c r="H1058" s="13" t="s">
        <v>2792</v>
      </c>
    </row>
    <row r="1059" spans="1:8" x14ac:dyDescent="0.25">
      <c r="A1059" t="s">
        <v>2107</v>
      </c>
      <c r="B1059" s="15" cm="1">
        <f t="array" ref="B1059">_xll.GetPrice("FP-LBR-1858",,"Low",_SPECIFIEDvarPubDate,)</f>
        <v>630</v>
      </c>
      <c r="C1059" s="1">
        <f t="shared" si="48"/>
        <v>45848</v>
      </c>
      <c r="D1059">
        <f t="shared" si="49"/>
        <v>2025</v>
      </c>
      <c r="E1059">
        <f t="shared" si="50"/>
        <v>7</v>
      </c>
      <c r="F1059" s="13" t="s">
        <v>2108</v>
      </c>
      <c r="G1059" s="13" t="s">
        <v>11</v>
      </c>
      <c r="H1059" s="13" t="s">
        <v>2792</v>
      </c>
    </row>
    <row r="1060" spans="1:8" x14ac:dyDescent="0.25">
      <c r="A1060" t="s">
        <v>2109</v>
      </c>
      <c r="B1060" s="15" cm="1">
        <f t="array" ref="B1060">_xll.GetPrice("FP-LBR-1859",,"Low",_SPECIFIEDvarPubDate,)</f>
        <v>631</v>
      </c>
      <c r="C1060" s="1">
        <f t="shared" si="48"/>
        <v>45848</v>
      </c>
      <c r="D1060">
        <f t="shared" si="49"/>
        <v>2025</v>
      </c>
      <c r="E1060">
        <f t="shared" si="50"/>
        <v>7</v>
      </c>
      <c r="F1060" s="13" t="s">
        <v>2110</v>
      </c>
      <c r="G1060" s="13" t="s">
        <v>11</v>
      </c>
      <c r="H1060" s="13" t="s">
        <v>2792</v>
      </c>
    </row>
    <row r="1061" spans="1:8" x14ac:dyDescent="0.25">
      <c r="A1061" t="s">
        <v>2111</v>
      </c>
      <c r="B1061" s="15" cm="1">
        <f t="array" ref="B1061">_xll.GetPrice("FP-LBR-1861",,"Low",_SPECIFIEDvarPubDate,)</f>
        <v>619</v>
      </c>
      <c r="C1061" s="1">
        <f t="shared" si="48"/>
        <v>45848</v>
      </c>
      <c r="D1061">
        <f t="shared" si="49"/>
        <v>2025</v>
      </c>
      <c r="E1061">
        <f t="shared" si="50"/>
        <v>7</v>
      </c>
      <c r="F1061" s="13" t="s">
        <v>2112</v>
      </c>
      <c r="G1061" s="13" t="s">
        <v>11</v>
      </c>
      <c r="H1061" s="13" t="s">
        <v>2792</v>
      </c>
    </row>
    <row r="1062" spans="1:8" x14ac:dyDescent="0.25">
      <c r="A1062" t="s">
        <v>2113</v>
      </c>
      <c r="B1062" s="15" cm="1">
        <f t="array" ref="B1062">_xll.GetPrice("FP-LBR-1866",,"Low",_SPECIFIEDvarPubDate,)</f>
        <v>600</v>
      </c>
      <c r="C1062" s="1">
        <f t="shared" si="48"/>
        <v>45848</v>
      </c>
      <c r="D1062">
        <f t="shared" si="49"/>
        <v>2025</v>
      </c>
      <c r="E1062">
        <f t="shared" si="50"/>
        <v>7</v>
      </c>
      <c r="F1062" s="13" t="s">
        <v>2114</v>
      </c>
      <c r="G1062" s="13" t="s">
        <v>11</v>
      </c>
      <c r="H1062" s="13" t="s">
        <v>2792</v>
      </c>
    </row>
    <row r="1063" spans="1:8" x14ac:dyDescent="0.25">
      <c r="A1063" t="s">
        <v>2115</v>
      </c>
      <c r="B1063" s="15" cm="1">
        <f t="array" ref="B1063">_xll.GetPrice("FP-LBR-1867",,"Low",_SPECIFIEDvarPubDate,)</f>
        <v>616</v>
      </c>
      <c r="C1063" s="1">
        <f t="shared" si="48"/>
        <v>45848</v>
      </c>
      <c r="D1063">
        <f t="shared" si="49"/>
        <v>2025</v>
      </c>
      <c r="E1063">
        <f t="shared" si="50"/>
        <v>7</v>
      </c>
      <c r="F1063" s="13" t="s">
        <v>2116</v>
      </c>
      <c r="G1063" s="13" t="s">
        <v>11</v>
      </c>
      <c r="H1063" s="13" t="s">
        <v>2792</v>
      </c>
    </row>
    <row r="1064" spans="1:8" x14ac:dyDescent="0.25">
      <c r="A1064" t="s">
        <v>2117</v>
      </c>
      <c r="B1064" s="15" cm="1">
        <f t="array" ref="B1064">_xll.GetPrice("FP-LBR-1868",,"Low",_SPECIFIEDvarPubDate,)</f>
        <v>615</v>
      </c>
      <c r="C1064" s="1">
        <f t="shared" si="48"/>
        <v>45848</v>
      </c>
      <c r="D1064">
        <f t="shared" si="49"/>
        <v>2025</v>
      </c>
      <c r="E1064">
        <f t="shared" si="50"/>
        <v>7</v>
      </c>
      <c r="F1064" s="13" t="s">
        <v>2118</v>
      </c>
      <c r="G1064" s="13" t="s">
        <v>11</v>
      </c>
      <c r="H1064" s="13" t="s">
        <v>2792</v>
      </c>
    </row>
    <row r="1065" spans="1:8" x14ac:dyDescent="0.25">
      <c r="A1065" t="s">
        <v>2119</v>
      </c>
      <c r="B1065" s="15" cm="1">
        <f t="array" ref="B1065">_xll.GetPrice("FP-LBR-1903",,"Low",_SPECIFIEDvarPubDate,)</f>
        <v>333</v>
      </c>
      <c r="C1065" s="1">
        <f t="shared" si="48"/>
        <v>45848</v>
      </c>
      <c r="D1065">
        <f t="shared" si="49"/>
        <v>2025</v>
      </c>
      <c r="E1065">
        <f t="shared" si="50"/>
        <v>7</v>
      </c>
      <c r="F1065" s="13" t="s">
        <v>2120</v>
      </c>
      <c r="G1065" s="13" t="s">
        <v>11</v>
      </c>
      <c r="H1065" s="13" t="s">
        <v>2792</v>
      </c>
    </row>
    <row r="1066" spans="1:8" x14ac:dyDescent="0.25">
      <c r="A1066" t="s">
        <v>2121</v>
      </c>
      <c r="B1066" s="15" cm="1">
        <f t="array" ref="B1066">_xll.GetPrice("FP-LBR-1913",,"Low",_SPECIFIEDvarPubDate,)</f>
        <v>580</v>
      </c>
      <c r="C1066" s="1">
        <f t="shared" si="48"/>
        <v>45848</v>
      </c>
      <c r="D1066">
        <f t="shared" si="49"/>
        <v>2025</v>
      </c>
      <c r="E1066">
        <f t="shared" si="50"/>
        <v>7</v>
      </c>
      <c r="F1066" s="13" t="s">
        <v>2122</v>
      </c>
      <c r="G1066" s="13" t="s">
        <v>11</v>
      </c>
      <c r="H1066" s="13" t="s">
        <v>2792</v>
      </c>
    </row>
    <row r="1067" spans="1:8" x14ac:dyDescent="0.25">
      <c r="A1067" t="s">
        <v>2123</v>
      </c>
      <c r="B1067" s="15" cm="1">
        <f t="array" ref="B1067">_xll.GetPrice("FP-LBR-1914",,"Low",_SPECIFIEDvarPubDate,)</f>
        <v>600</v>
      </c>
      <c r="C1067" s="1">
        <f t="shared" si="48"/>
        <v>45848</v>
      </c>
      <c r="D1067">
        <f t="shared" si="49"/>
        <v>2025</v>
      </c>
      <c r="E1067">
        <f t="shared" si="50"/>
        <v>7</v>
      </c>
      <c r="F1067" s="13" t="s">
        <v>2124</v>
      </c>
      <c r="G1067" s="13" t="s">
        <v>11</v>
      </c>
      <c r="H1067" s="13" t="s">
        <v>2792</v>
      </c>
    </row>
    <row r="1068" spans="1:8" x14ac:dyDescent="0.25">
      <c r="A1068" t="s">
        <v>2125</v>
      </c>
      <c r="B1068" s="15" cm="1">
        <f t="array" ref="B1068">_xll.GetPrice("FP-LBR-1915",,"Low",_SPECIFIEDvarPubDate,)</f>
        <v>601</v>
      </c>
      <c r="C1068" s="1">
        <f t="shared" si="48"/>
        <v>45848</v>
      </c>
      <c r="D1068">
        <f t="shared" si="49"/>
        <v>2025</v>
      </c>
      <c r="E1068">
        <f t="shared" si="50"/>
        <v>7</v>
      </c>
      <c r="F1068" s="13" t="s">
        <v>2126</v>
      </c>
      <c r="G1068" s="13" t="s">
        <v>11</v>
      </c>
      <c r="H1068" s="13" t="s">
        <v>2792</v>
      </c>
    </row>
    <row r="1069" spans="1:8" x14ac:dyDescent="0.25">
      <c r="A1069" t="s">
        <v>2127</v>
      </c>
      <c r="B1069" s="15" cm="1">
        <f t="array" ref="B1069">_xll.GetPrice("FP-LBR-1916",,"Low",_SPECIFIEDvarPubDate,)</f>
        <v>591</v>
      </c>
      <c r="C1069" s="1">
        <f t="shared" si="48"/>
        <v>45848</v>
      </c>
      <c r="D1069">
        <f t="shared" si="49"/>
        <v>2025</v>
      </c>
      <c r="E1069">
        <f t="shared" si="50"/>
        <v>7</v>
      </c>
      <c r="F1069" s="13" t="s">
        <v>2128</v>
      </c>
      <c r="G1069" s="13" t="s">
        <v>11</v>
      </c>
      <c r="H1069" s="13" t="s">
        <v>2792</v>
      </c>
    </row>
    <row r="1070" spans="1:8" x14ac:dyDescent="0.25">
      <c r="A1070" t="s">
        <v>2129</v>
      </c>
      <c r="B1070" s="15" cm="1">
        <f t="array" ref="B1070">_xll.GetPrice("FP-LBR-1917",,"Low",_SPECIFIEDvarPubDate,)</f>
        <v>591</v>
      </c>
      <c r="C1070" s="1">
        <f t="shared" si="48"/>
        <v>45848</v>
      </c>
      <c r="D1070">
        <f t="shared" si="49"/>
        <v>2025</v>
      </c>
      <c r="E1070">
        <f t="shared" si="50"/>
        <v>7</v>
      </c>
      <c r="F1070" s="13" t="s">
        <v>2130</v>
      </c>
      <c r="G1070" s="13" t="s">
        <v>11</v>
      </c>
      <c r="H1070" s="13" t="s">
        <v>2792</v>
      </c>
    </row>
    <row r="1071" spans="1:8" x14ac:dyDescent="0.25">
      <c r="A1071" t="s">
        <v>2131</v>
      </c>
      <c r="B1071" s="15" cm="1">
        <f t="array" ref="B1071">_xll.GetPrice("FP-LBR-1919",,"Low",_SPECIFIEDvarPubDate,)</f>
        <v>578</v>
      </c>
      <c r="C1071" s="1">
        <f t="shared" si="48"/>
        <v>45848</v>
      </c>
      <c r="D1071">
        <f t="shared" si="49"/>
        <v>2025</v>
      </c>
      <c r="E1071">
        <f t="shared" si="50"/>
        <v>7</v>
      </c>
      <c r="F1071" s="13" t="s">
        <v>2132</v>
      </c>
      <c r="G1071" s="13" t="s">
        <v>11</v>
      </c>
      <c r="H1071" s="13" t="s">
        <v>2792</v>
      </c>
    </row>
    <row r="1072" spans="1:8" x14ac:dyDescent="0.25">
      <c r="A1072" t="s">
        <v>2133</v>
      </c>
      <c r="B1072" s="15" cm="1">
        <f t="array" ref="B1072">_xll.GetPrice("FP-LBR-1924",,"Low",_SPECIFIEDvarPubDate,)</f>
        <v>558</v>
      </c>
      <c r="C1072" s="1">
        <f t="shared" si="48"/>
        <v>45848</v>
      </c>
      <c r="D1072">
        <f t="shared" si="49"/>
        <v>2025</v>
      </c>
      <c r="E1072">
        <f t="shared" si="50"/>
        <v>7</v>
      </c>
      <c r="F1072" s="13" t="s">
        <v>2134</v>
      </c>
      <c r="G1072" s="13" t="s">
        <v>11</v>
      </c>
      <c r="H1072" s="13" t="s">
        <v>2792</v>
      </c>
    </row>
    <row r="1073" spans="1:8" x14ac:dyDescent="0.25">
      <c r="A1073" t="s">
        <v>2135</v>
      </c>
      <c r="B1073" s="15" cm="1">
        <f t="array" ref="B1073">_xll.GetPrice("FP-LBR-1925",,"Low",_SPECIFIEDvarPubDate,)</f>
        <v>575</v>
      </c>
      <c r="C1073" s="1">
        <f t="shared" si="48"/>
        <v>45848</v>
      </c>
      <c r="D1073">
        <f t="shared" si="49"/>
        <v>2025</v>
      </c>
      <c r="E1073">
        <f t="shared" si="50"/>
        <v>7</v>
      </c>
      <c r="F1073" s="13" t="s">
        <v>2136</v>
      </c>
      <c r="G1073" s="13" t="s">
        <v>11</v>
      </c>
      <c r="H1073" s="13" t="s">
        <v>2792</v>
      </c>
    </row>
    <row r="1074" spans="1:8" x14ac:dyDescent="0.25">
      <c r="A1074" t="s">
        <v>2137</v>
      </c>
      <c r="B1074" s="15" cm="1">
        <f t="array" ref="B1074">_xll.GetPrice("FP-LBR-1926",,"Low",_SPECIFIEDvarPubDate,)</f>
        <v>574</v>
      </c>
      <c r="C1074" s="1">
        <f t="shared" si="48"/>
        <v>45848</v>
      </c>
      <c r="D1074">
        <f t="shared" si="49"/>
        <v>2025</v>
      </c>
      <c r="E1074">
        <f t="shared" si="50"/>
        <v>7</v>
      </c>
      <c r="F1074" s="13" t="s">
        <v>2138</v>
      </c>
      <c r="G1074" s="13" t="s">
        <v>11</v>
      </c>
      <c r="H1074" s="13" t="s">
        <v>2792</v>
      </c>
    </row>
    <row r="1075" spans="1:8" x14ac:dyDescent="0.25">
      <c r="A1075" t="s">
        <v>2139</v>
      </c>
      <c r="B1075" s="15" cm="1">
        <f t="array" ref="B1075">_xll.GetPrice("FP-LBR-1942",,"Low",_SPECIFIEDvarPubDate,)</f>
        <v>422</v>
      </c>
      <c r="C1075" s="1">
        <f t="shared" si="48"/>
        <v>45848</v>
      </c>
      <c r="D1075">
        <f t="shared" si="49"/>
        <v>2025</v>
      </c>
      <c r="E1075">
        <f t="shared" si="50"/>
        <v>7</v>
      </c>
      <c r="F1075" s="13" t="s">
        <v>2140</v>
      </c>
      <c r="G1075" s="13" t="s">
        <v>11</v>
      </c>
      <c r="H1075" s="13" t="s">
        <v>2792</v>
      </c>
    </row>
    <row r="1076" spans="1:8" x14ac:dyDescent="0.25">
      <c r="A1076" t="s">
        <v>2141</v>
      </c>
      <c r="B1076" s="15" cm="1">
        <f t="array" ref="B1076">_xll.GetPrice("FP-LBR-1949",,"Low",_SPECIFIEDvarPubDate,)</f>
        <v>492</v>
      </c>
      <c r="C1076" s="1">
        <f t="shared" si="48"/>
        <v>45848</v>
      </c>
      <c r="D1076">
        <f t="shared" si="49"/>
        <v>2025</v>
      </c>
      <c r="E1076">
        <f t="shared" si="50"/>
        <v>7</v>
      </c>
      <c r="F1076" s="13" t="s">
        <v>2142</v>
      </c>
      <c r="G1076" s="13" t="s">
        <v>11</v>
      </c>
      <c r="H1076" s="13" t="s">
        <v>2792</v>
      </c>
    </row>
    <row r="1077" spans="1:8" x14ac:dyDescent="0.25">
      <c r="A1077" t="s">
        <v>2143</v>
      </c>
      <c r="B1077" s="15" cm="1">
        <f t="array" ref="B1077">_xll.GetPrice("FP-LBR-1950",,"Low",_SPECIFIEDvarPubDate,)</f>
        <v>510</v>
      </c>
      <c r="C1077" s="1">
        <f t="shared" si="48"/>
        <v>45848</v>
      </c>
      <c r="D1077">
        <f t="shared" si="49"/>
        <v>2025</v>
      </c>
      <c r="E1077">
        <f t="shared" si="50"/>
        <v>7</v>
      </c>
      <c r="F1077" s="13" t="s">
        <v>2144</v>
      </c>
      <c r="G1077" s="13" t="s">
        <v>11</v>
      </c>
      <c r="H1077" s="13" t="s">
        <v>2792</v>
      </c>
    </row>
    <row r="1078" spans="1:8" x14ac:dyDescent="0.25">
      <c r="A1078" t="s">
        <v>2145</v>
      </c>
      <c r="B1078" s="15" cm="1">
        <f t="array" ref="B1078">_xll.GetPrice("FP-LBR-1951",,"Low",_SPECIFIEDvarPubDate,)</f>
        <v>512</v>
      </c>
      <c r="C1078" s="1">
        <f t="shared" si="48"/>
        <v>45848</v>
      </c>
      <c r="D1078">
        <f t="shared" si="49"/>
        <v>2025</v>
      </c>
      <c r="E1078">
        <f t="shared" si="50"/>
        <v>7</v>
      </c>
      <c r="F1078" s="13" t="s">
        <v>2146</v>
      </c>
      <c r="G1078" s="13" t="s">
        <v>11</v>
      </c>
      <c r="H1078" s="13" t="s">
        <v>2792</v>
      </c>
    </row>
    <row r="1079" spans="1:8" x14ac:dyDescent="0.25">
      <c r="A1079" t="s">
        <v>2147</v>
      </c>
      <c r="B1079" s="15" cm="1">
        <f t="array" ref="B1079">_xll.GetPrice("FP-LBR-1952",,"Low",_SPECIFIEDvarPubDate,)</f>
        <v>502</v>
      </c>
      <c r="C1079" s="1">
        <f t="shared" si="48"/>
        <v>45848</v>
      </c>
      <c r="D1079">
        <f t="shared" si="49"/>
        <v>2025</v>
      </c>
      <c r="E1079">
        <f t="shared" si="50"/>
        <v>7</v>
      </c>
      <c r="F1079" s="13" t="s">
        <v>2148</v>
      </c>
      <c r="G1079" s="13" t="s">
        <v>11</v>
      </c>
      <c r="H1079" s="13" t="s">
        <v>2792</v>
      </c>
    </row>
    <row r="1080" spans="1:8" x14ac:dyDescent="0.25">
      <c r="A1080" t="s">
        <v>2149</v>
      </c>
      <c r="B1080" s="15" cm="1">
        <f t="array" ref="B1080">_xll.GetPrice("FP-LBR-1953",,"Low",_SPECIFIEDvarPubDate,)</f>
        <v>503</v>
      </c>
      <c r="C1080" s="1">
        <f t="shared" si="48"/>
        <v>45848</v>
      </c>
      <c r="D1080">
        <f t="shared" si="49"/>
        <v>2025</v>
      </c>
      <c r="E1080">
        <f t="shared" si="50"/>
        <v>7</v>
      </c>
      <c r="F1080" s="13" t="s">
        <v>2150</v>
      </c>
      <c r="G1080" s="13" t="s">
        <v>11</v>
      </c>
      <c r="H1080" s="13" t="s">
        <v>2792</v>
      </c>
    </row>
    <row r="1081" spans="1:8" x14ac:dyDescent="0.25">
      <c r="A1081" t="s">
        <v>2151</v>
      </c>
      <c r="B1081" s="15" cm="1">
        <f t="array" ref="B1081">_xll.GetPrice("FP-LBR-1955",,"Low",_SPECIFIEDvarPubDate,)</f>
        <v>491</v>
      </c>
      <c r="C1081" s="1">
        <f t="shared" si="48"/>
        <v>45848</v>
      </c>
      <c r="D1081">
        <f t="shared" si="49"/>
        <v>2025</v>
      </c>
      <c r="E1081">
        <f t="shared" si="50"/>
        <v>7</v>
      </c>
      <c r="F1081" s="13" t="s">
        <v>2152</v>
      </c>
      <c r="G1081" s="13" t="s">
        <v>11</v>
      </c>
      <c r="H1081" s="13" t="s">
        <v>2792</v>
      </c>
    </row>
    <row r="1082" spans="1:8" x14ac:dyDescent="0.25">
      <c r="A1082" t="s">
        <v>2153</v>
      </c>
      <c r="B1082" s="15" cm="1">
        <f t="array" ref="B1082">_xll.GetPrice("FP-LBR-1960",,"Low",_SPECIFIEDvarPubDate,)</f>
        <v>472</v>
      </c>
      <c r="C1082" s="1">
        <f t="shared" si="48"/>
        <v>45848</v>
      </c>
      <c r="D1082">
        <f t="shared" si="49"/>
        <v>2025</v>
      </c>
      <c r="E1082">
        <f t="shared" si="50"/>
        <v>7</v>
      </c>
      <c r="F1082" s="13" t="s">
        <v>2154</v>
      </c>
      <c r="G1082" s="13" t="s">
        <v>11</v>
      </c>
      <c r="H1082" s="13" t="s">
        <v>2792</v>
      </c>
    </row>
    <row r="1083" spans="1:8" x14ac:dyDescent="0.25">
      <c r="A1083" t="s">
        <v>2155</v>
      </c>
      <c r="B1083" s="15" cm="1">
        <f t="array" ref="B1083">_xll.GetPrice("FP-LBR-1961",,"Low",_SPECIFIEDvarPubDate,)</f>
        <v>488</v>
      </c>
      <c r="C1083" s="1">
        <f t="shared" si="48"/>
        <v>45848</v>
      </c>
      <c r="D1083">
        <f t="shared" si="49"/>
        <v>2025</v>
      </c>
      <c r="E1083">
        <f t="shared" si="50"/>
        <v>7</v>
      </c>
      <c r="F1083" s="13" t="s">
        <v>2156</v>
      </c>
      <c r="G1083" s="13" t="s">
        <v>11</v>
      </c>
      <c r="H1083" s="13" t="s">
        <v>2792</v>
      </c>
    </row>
    <row r="1084" spans="1:8" x14ac:dyDescent="0.25">
      <c r="A1084" t="s">
        <v>2157</v>
      </c>
      <c r="B1084" s="15" cm="1">
        <f t="array" ref="B1084">_xll.GetPrice("FP-LBR-1962",,"Low",_SPECIFIEDvarPubDate,)</f>
        <v>487</v>
      </c>
      <c r="C1084" s="1">
        <f t="shared" si="48"/>
        <v>45848</v>
      </c>
      <c r="D1084">
        <f t="shared" si="49"/>
        <v>2025</v>
      </c>
      <c r="E1084">
        <f t="shared" si="50"/>
        <v>7</v>
      </c>
      <c r="F1084" s="13" t="s">
        <v>2158</v>
      </c>
      <c r="G1084" s="13" t="s">
        <v>11</v>
      </c>
      <c r="H1084" s="13" t="s">
        <v>2792</v>
      </c>
    </row>
    <row r="1085" spans="1:8" x14ac:dyDescent="0.25">
      <c r="A1085" t="s">
        <v>2159</v>
      </c>
      <c r="B1085" s="15" cm="1">
        <f t="array" ref="B1085">_xll.GetPrice("FP-LBR-2174",,"Low",_SPECIFIEDvarPubDate,)</f>
        <v>560</v>
      </c>
      <c r="C1085" s="1">
        <f t="shared" si="48"/>
        <v>45848</v>
      </c>
      <c r="D1085">
        <f t="shared" si="49"/>
        <v>2025</v>
      </c>
      <c r="E1085">
        <f t="shared" si="50"/>
        <v>7</v>
      </c>
      <c r="F1085" s="13" t="s">
        <v>2160</v>
      </c>
      <c r="G1085" s="13" t="s">
        <v>11</v>
      </c>
      <c r="H1085" s="13" t="s">
        <v>2792</v>
      </c>
    </row>
    <row r="1086" spans="1:8" x14ac:dyDescent="0.25">
      <c r="A1086" t="s">
        <v>2161</v>
      </c>
      <c r="B1086" s="15" cm="1">
        <f t="array" ref="B1086">_xll.GetPrice("FP-LBR-2175",,"Low",_SPECIFIEDvarPubDate,)</f>
        <v>560</v>
      </c>
      <c r="C1086" s="1">
        <f t="shared" si="48"/>
        <v>45848</v>
      </c>
      <c r="D1086">
        <f t="shared" si="49"/>
        <v>2025</v>
      </c>
      <c r="E1086">
        <f t="shared" si="50"/>
        <v>7</v>
      </c>
      <c r="F1086" s="13" t="s">
        <v>2162</v>
      </c>
      <c r="G1086" s="13" t="s">
        <v>11</v>
      </c>
      <c r="H1086" s="13" t="s">
        <v>2792</v>
      </c>
    </row>
    <row r="1087" spans="1:8" x14ac:dyDescent="0.25">
      <c r="A1087" t="s">
        <v>2163</v>
      </c>
      <c r="B1087" s="15" cm="1">
        <f t="array" ref="B1087">_xll.GetPrice("FP-LBR-2176",,"Low",_SPECIFIEDvarPubDate,)</f>
        <v>500</v>
      </c>
      <c r="C1087" s="1">
        <f t="shared" si="48"/>
        <v>45848</v>
      </c>
      <c r="D1087">
        <f t="shared" si="49"/>
        <v>2025</v>
      </c>
      <c r="E1087">
        <f t="shared" si="50"/>
        <v>7</v>
      </c>
      <c r="F1087" s="13" t="s">
        <v>2164</v>
      </c>
      <c r="G1087" s="13" t="s">
        <v>11</v>
      </c>
      <c r="H1087" s="13" t="s">
        <v>2792</v>
      </c>
    </row>
    <row r="1088" spans="1:8" x14ac:dyDescent="0.25">
      <c r="A1088" t="s">
        <v>2165</v>
      </c>
      <c r="B1088" s="15" cm="1">
        <f t="array" ref="B1088">_xll.GetPrice("FP-LBR-2177",,"Low",_SPECIFIEDvarPubDate,)</f>
        <v>430</v>
      </c>
      <c r="C1088" s="1">
        <f t="shared" si="48"/>
        <v>45848</v>
      </c>
      <c r="D1088">
        <f t="shared" si="49"/>
        <v>2025</v>
      </c>
      <c r="E1088">
        <f t="shared" si="50"/>
        <v>7</v>
      </c>
      <c r="F1088" s="13" t="s">
        <v>2166</v>
      </c>
      <c r="G1088" s="13" t="s">
        <v>11</v>
      </c>
      <c r="H1088" s="13" t="s">
        <v>2792</v>
      </c>
    </row>
    <row r="1089" spans="1:8" x14ac:dyDescent="0.25">
      <c r="A1089" t="s">
        <v>2167</v>
      </c>
      <c r="B1089" s="15" cm="1">
        <f t="array" ref="B1089">_xll.GetPrice("FP-LBR-2178",,"Low",_SPECIFIEDvarPubDate,)</f>
        <v>520</v>
      </c>
      <c r="C1089" s="1">
        <f t="shared" ref="C1089:C1152" si="51">_SPECIFIEDvarPubDate</f>
        <v>45848</v>
      </c>
      <c r="D1089">
        <f t="shared" ref="D1089:D1152" si="52">_SPECIFIEDvarYear</f>
        <v>2025</v>
      </c>
      <c r="E1089">
        <f t="shared" ref="E1089:E1152" si="53">_SPECIFIEDvarMonth</f>
        <v>7</v>
      </c>
      <c r="F1089" s="13" t="s">
        <v>2168</v>
      </c>
      <c r="G1089" s="13" t="s">
        <v>11</v>
      </c>
      <c r="H1089" s="13" t="s">
        <v>2792</v>
      </c>
    </row>
    <row r="1090" spans="1:8" x14ac:dyDescent="0.25">
      <c r="A1090" t="s">
        <v>2169</v>
      </c>
      <c r="B1090" s="15" cm="1">
        <f t="array" ref="B1090">_xll.GetPrice("FP-LBR-2179",,"Low",_SPECIFIEDvarPubDate,)</f>
        <v>585</v>
      </c>
      <c r="C1090" s="1">
        <f t="shared" si="51"/>
        <v>45848</v>
      </c>
      <c r="D1090">
        <f t="shared" si="52"/>
        <v>2025</v>
      </c>
      <c r="E1090">
        <f t="shared" si="53"/>
        <v>7</v>
      </c>
      <c r="F1090" s="13" t="s">
        <v>2170</v>
      </c>
      <c r="G1090" s="13" t="s">
        <v>11</v>
      </c>
      <c r="H1090" s="13" t="s">
        <v>2792</v>
      </c>
    </row>
    <row r="1091" spans="1:8" x14ac:dyDescent="0.25">
      <c r="A1091" t="s">
        <v>2171</v>
      </c>
      <c r="B1091" s="15" cm="1">
        <f t="array" ref="B1091">_xll.GetPrice("FP-LBR-2180",,"Low",_SPECIFIEDvarPubDate,)</f>
        <v>590</v>
      </c>
      <c r="C1091" s="1">
        <f t="shared" si="51"/>
        <v>45848</v>
      </c>
      <c r="D1091">
        <f t="shared" si="52"/>
        <v>2025</v>
      </c>
      <c r="E1091">
        <f t="shared" si="53"/>
        <v>7</v>
      </c>
      <c r="F1091" s="13" t="s">
        <v>2172</v>
      </c>
      <c r="G1091" s="13" t="s">
        <v>11</v>
      </c>
      <c r="H1091" s="13" t="s">
        <v>2792</v>
      </c>
    </row>
    <row r="1092" spans="1:8" x14ac:dyDescent="0.25">
      <c r="A1092" t="s">
        <v>2173</v>
      </c>
      <c r="B1092" s="15" cm="1">
        <f t="array" ref="B1092">_xll.GetPrice("FP-LBR-2181",,"Low",_SPECIFIEDvarPubDate,)</f>
        <v>570</v>
      </c>
      <c r="C1092" s="1">
        <f t="shared" si="51"/>
        <v>45848</v>
      </c>
      <c r="D1092">
        <f t="shared" si="52"/>
        <v>2025</v>
      </c>
      <c r="E1092">
        <f t="shared" si="53"/>
        <v>7</v>
      </c>
      <c r="F1092" s="13" t="s">
        <v>2174</v>
      </c>
      <c r="G1092" s="13" t="s">
        <v>11</v>
      </c>
      <c r="H1092" s="13" t="s">
        <v>2792</v>
      </c>
    </row>
    <row r="1093" spans="1:8" x14ac:dyDescent="0.25">
      <c r="A1093" t="s">
        <v>2175</v>
      </c>
      <c r="B1093" s="15" cm="1">
        <f t="array" ref="B1093">_xll.GetPrice("FP-LBR-2182",,"Low",_SPECIFIEDvarPubDate,)</f>
        <v>480</v>
      </c>
      <c r="C1093" s="1">
        <f t="shared" si="51"/>
        <v>45848</v>
      </c>
      <c r="D1093">
        <f t="shared" si="52"/>
        <v>2025</v>
      </c>
      <c r="E1093">
        <f t="shared" si="53"/>
        <v>7</v>
      </c>
      <c r="F1093" s="13" t="s">
        <v>2176</v>
      </c>
      <c r="G1093" s="13" t="s">
        <v>11</v>
      </c>
      <c r="H1093" s="13" t="s">
        <v>2792</v>
      </c>
    </row>
    <row r="1094" spans="1:8" x14ac:dyDescent="0.25">
      <c r="A1094" t="s">
        <v>2177</v>
      </c>
      <c r="B1094" s="15" cm="1">
        <f t="array" ref="B1094">_xll.GetPrice("FP-LBR-2183",,"Low",_SPECIFIEDvarPubDate,)</f>
        <v>645</v>
      </c>
      <c r="C1094" s="1">
        <f t="shared" si="51"/>
        <v>45848</v>
      </c>
      <c r="D1094">
        <f t="shared" si="52"/>
        <v>2025</v>
      </c>
      <c r="E1094">
        <f t="shared" si="53"/>
        <v>7</v>
      </c>
      <c r="F1094" s="13" t="s">
        <v>2178</v>
      </c>
      <c r="G1094" s="13" t="s">
        <v>11</v>
      </c>
      <c r="H1094" s="13" t="s">
        <v>2792</v>
      </c>
    </row>
    <row r="1095" spans="1:8" x14ac:dyDescent="0.25">
      <c r="A1095" t="s">
        <v>2179</v>
      </c>
      <c r="B1095" s="15" cm="1">
        <f t="array" ref="B1095">_xll.GetPrice("FP-LBR-2164",,"Low",_SPECIFIEDvarPubDate,)</f>
        <v>555</v>
      </c>
      <c r="C1095" s="1">
        <f t="shared" si="51"/>
        <v>45848</v>
      </c>
      <c r="D1095">
        <f t="shared" si="52"/>
        <v>2025</v>
      </c>
      <c r="E1095">
        <f t="shared" si="53"/>
        <v>7</v>
      </c>
      <c r="F1095" s="13" t="s">
        <v>2180</v>
      </c>
      <c r="G1095" s="13" t="s">
        <v>11</v>
      </c>
      <c r="H1095" s="13" t="s">
        <v>2792</v>
      </c>
    </row>
    <row r="1096" spans="1:8" x14ac:dyDescent="0.25">
      <c r="A1096" t="s">
        <v>2181</v>
      </c>
      <c r="B1096" s="15" cm="1">
        <f t="array" ref="B1096">_xll.GetPrice("FP-LBR-2165",,"Low",_SPECIFIEDvarPubDate,)</f>
        <v>550</v>
      </c>
      <c r="C1096" s="1">
        <f t="shared" si="51"/>
        <v>45848</v>
      </c>
      <c r="D1096">
        <f t="shared" si="52"/>
        <v>2025</v>
      </c>
      <c r="E1096">
        <f t="shared" si="53"/>
        <v>7</v>
      </c>
      <c r="F1096" s="13" t="s">
        <v>2182</v>
      </c>
      <c r="G1096" s="13" t="s">
        <v>11</v>
      </c>
      <c r="H1096" s="13" t="s">
        <v>2792</v>
      </c>
    </row>
    <row r="1097" spans="1:8" x14ac:dyDescent="0.25">
      <c r="A1097" t="s">
        <v>2183</v>
      </c>
      <c r="B1097" s="15" cm="1">
        <f t="array" ref="B1097">_xll.GetPrice("FP-LBR-2166",,"Low",_SPECIFIEDvarPubDate,)</f>
        <v>485</v>
      </c>
      <c r="C1097" s="1">
        <f t="shared" si="51"/>
        <v>45848</v>
      </c>
      <c r="D1097">
        <f t="shared" si="52"/>
        <v>2025</v>
      </c>
      <c r="E1097">
        <f t="shared" si="53"/>
        <v>7</v>
      </c>
      <c r="F1097" s="13" t="s">
        <v>2184</v>
      </c>
      <c r="G1097" s="13" t="s">
        <v>11</v>
      </c>
      <c r="H1097" s="13" t="s">
        <v>2792</v>
      </c>
    </row>
    <row r="1098" spans="1:8" x14ac:dyDescent="0.25">
      <c r="A1098" t="s">
        <v>2185</v>
      </c>
      <c r="B1098" s="15" cm="1">
        <f t="array" ref="B1098">_xll.GetPrice("FP-LBR-2167",,"Low",_SPECIFIEDvarPubDate,)</f>
        <v>395</v>
      </c>
      <c r="C1098" s="1">
        <f t="shared" si="51"/>
        <v>45848</v>
      </c>
      <c r="D1098">
        <f t="shared" si="52"/>
        <v>2025</v>
      </c>
      <c r="E1098">
        <f t="shared" si="53"/>
        <v>7</v>
      </c>
      <c r="F1098" s="13" t="s">
        <v>2186</v>
      </c>
      <c r="G1098" s="13" t="s">
        <v>11</v>
      </c>
      <c r="H1098" s="13" t="s">
        <v>2792</v>
      </c>
    </row>
    <row r="1099" spans="1:8" x14ac:dyDescent="0.25">
      <c r="A1099" t="s">
        <v>2187</v>
      </c>
      <c r="B1099" s="15" cm="1">
        <f t="array" ref="B1099">_xll.GetPrice("FP-LBR-2168",,"Low",_SPECIFIEDvarPubDate,)</f>
        <v>495</v>
      </c>
      <c r="C1099" s="1">
        <f t="shared" si="51"/>
        <v>45848</v>
      </c>
      <c r="D1099">
        <f t="shared" si="52"/>
        <v>2025</v>
      </c>
      <c r="E1099">
        <f t="shared" si="53"/>
        <v>7</v>
      </c>
      <c r="F1099" s="13" t="s">
        <v>2188</v>
      </c>
      <c r="G1099" s="13" t="s">
        <v>11</v>
      </c>
      <c r="H1099" s="13" t="s">
        <v>2792</v>
      </c>
    </row>
    <row r="1100" spans="1:8" x14ac:dyDescent="0.25">
      <c r="A1100" t="s">
        <v>2189</v>
      </c>
      <c r="B1100" s="15" cm="1">
        <f t="array" ref="B1100">_xll.GetPrice("FP-LBR-2169",,"Low",_SPECIFIEDvarPubDate,)</f>
        <v>600</v>
      </c>
      <c r="C1100" s="1">
        <f t="shared" si="51"/>
        <v>45848</v>
      </c>
      <c r="D1100">
        <f t="shared" si="52"/>
        <v>2025</v>
      </c>
      <c r="E1100">
        <f t="shared" si="53"/>
        <v>7</v>
      </c>
      <c r="F1100" s="13" t="s">
        <v>2190</v>
      </c>
      <c r="G1100" s="13" t="s">
        <v>11</v>
      </c>
      <c r="H1100" s="13" t="s">
        <v>2792</v>
      </c>
    </row>
    <row r="1101" spans="1:8" x14ac:dyDescent="0.25">
      <c r="A1101" t="s">
        <v>2191</v>
      </c>
      <c r="B1101" s="15" cm="1">
        <f t="array" ref="B1101">_xll.GetPrice("FP-LBR-2170",,"Low",_SPECIFIEDvarPubDate,)</f>
        <v>605</v>
      </c>
      <c r="C1101" s="1">
        <f t="shared" si="51"/>
        <v>45848</v>
      </c>
      <c r="D1101">
        <f t="shared" si="52"/>
        <v>2025</v>
      </c>
      <c r="E1101">
        <f t="shared" si="53"/>
        <v>7</v>
      </c>
      <c r="F1101" s="13" t="s">
        <v>2192</v>
      </c>
      <c r="G1101" s="13" t="s">
        <v>11</v>
      </c>
      <c r="H1101" s="13" t="s">
        <v>2792</v>
      </c>
    </row>
    <row r="1102" spans="1:8" x14ac:dyDescent="0.25">
      <c r="A1102" t="s">
        <v>2193</v>
      </c>
      <c r="B1102" s="15" cm="1">
        <f t="array" ref="B1102">_xll.GetPrice("FP-LBR-2171",,"Low",_SPECIFIEDvarPubDate,)</f>
        <v>565</v>
      </c>
      <c r="C1102" s="1">
        <f t="shared" si="51"/>
        <v>45848</v>
      </c>
      <c r="D1102">
        <f t="shared" si="52"/>
        <v>2025</v>
      </c>
      <c r="E1102">
        <f t="shared" si="53"/>
        <v>7</v>
      </c>
      <c r="F1102" s="13" t="s">
        <v>2194</v>
      </c>
      <c r="G1102" s="13" t="s">
        <v>11</v>
      </c>
      <c r="H1102" s="13" t="s">
        <v>2792</v>
      </c>
    </row>
    <row r="1103" spans="1:8" x14ac:dyDescent="0.25">
      <c r="A1103" t="s">
        <v>2195</v>
      </c>
      <c r="B1103" s="15" cm="1">
        <f t="array" ref="B1103">_xll.GetPrice("FP-LBR-2172",,"Low",_SPECIFIEDvarPubDate,)</f>
        <v>495</v>
      </c>
      <c r="C1103" s="1">
        <f t="shared" si="51"/>
        <v>45848</v>
      </c>
      <c r="D1103">
        <f t="shared" si="52"/>
        <v>2025</v>
      </c>
      <c r="E1103">
        <f t="shared" si="53"/>
        <v>7</v>
      </c>
      <c r="F1103" s="13" t="s">
        <v>2196</v>
      </c>
      <c r="G1103" s="13" t="s">
        <v>11</v>
      </c>
      <c r="H1103" s="13" t="s">
        <v>2792</v>
      </c>
    </row>
    <row r="1104" spans="1:8" x14ac:dyDescent="0.25">
      <c r="A1104" t="s">
        <v>2197</v>
      </c>
      <c r="B1104" s="15" cm="1">
        <f t="array" ref="B1104">_xll.GetPrice("FP-LBR-2173",,"Low",_SPECIFIEDvarPubDate,)</f>
        <v>700</v>
      </c>
      <c r="C1104" s="1">
        <f t="shared" si="51"/>
        <v>45848</v>
      </c>
      <c r="D1104">
        <f t="shared" si="52"/>
        <v>2025</v>
      </c>
      <c r="E1104">
        <f t="shared" si="53"/>
        <v>7</v>
      </c>
      <c r="F1104" s="13" t="s">
        <v>2198</v>
      </c>
      <c r="G1104" s="13" t="s">
        <v>11</v>
      </c>
      <c r="H1104" s="13" t="s">
        <v>2792</v>
      </c>
    </row>
    <row r="1105" spans="1:8" x14ac:dyDescent="0.25">
      <c r="A1105" t="s">
        <v>2199</v>
      </c>
      <c r="B1105" s="15" cm="1">
        <f t="array" ref="B1105">_xll.GetPrice("FP-LBR-1186",,"Low",_SPECIFIEDvarPubDate,)</f>
        <v>431</v>
      </c>
      <c r="C1105" s="1">
        <f t="shared" si="51"/>
        <v>45848</v>
      </c>
      <c r="D1105">
        <f t="shared" si="52"/>
        <v>2025</v>
      </c>
      <c r="E1105">
        <f t="shared" si="53"/>
        <v>7</v>
      </c>
      <c r="F1105" s="13" t="s">
        <v>2200</v>
      </c>
      <c r="G1105" s="13" t="s">
        <v>11</v>
      </c>
      <c r="H1105" s="13" t="s">
        <v>2792</v>
      </c>
    </row>
    <row r="1106" spans="1:8" x14ac:dyDescent="0.25">
      <c r="A1106" t="s">
        <v>2201</v>
      </c>
      <c r="B1106" s="15" cm="1">
        <f t="array" ref="B1106">_xll.GetPrice("FP-LBR-1187",,"Low",_SPECIFIEDvarPubDate,)</f>
        <v>443</v>
      </c>
      <c r="C1106" s="1">
        <f t="shared" si="51"/>
        <v>45848</v>
      </c>
      <c r="D1106">
        <f t="shared" si="52"/>
        <v>2025</v>
      </c>
      <c r="E1106">
        <f t="shared" si="53"/>
        <v>7</v>
      </c>
      <c r="F1106" s="13" t="s">
        <v>2202</v>
      </c>
      <c r="G1106" s="13" t="s">
        <v>11</v>
      </c>
      <c r="H1106" s="13" t="s">
        <v>2792</v>
      </c>
    </row>
    <row r="1107" spans="1:8" x14ac:dyDescent="0.25">
      <c r="A1107" t="s">
        <v>2203</v>
      </c>
      <c r="B1107" s="15" cm="1">
        <f t="array" ref="B1107">_xll.GetPrice("FP-LBR-1188",,"Low",_SPECIFIEDvarPubDate,)</f>
        <v>274</v>
      </c>
      <c r="C1107" s="1">
        <f t="shared" si="51"/>
        <v>45848</v>
      </c>
      <c r="D1107">
        <f t="shared" si="52"/>
        <v>2025</v>
      </c>
      <c r="E1107">
        <f t="shared" si="53"/>
        <v>7</v>
      </c>
      <c r="F1107" s="13" t="s">
        <v>2204</v>
      </c>
      <c r="G1107" s="13" t="s">
        <v>11</v>
      </c>
      <c r="H1107" s="13" t="s">
        <v>2792</v>
      </c>
    </row>
    <row r="1108" spans="1:8" x14ac:dyDescent="0.25">
      <c r="A1108" t="s">
        <v>2205</v>
      </c>
      <c r="B1108" s="15" cm="1">
        <f t="array" ref="B1108">_xll.GetPrice("FP-LBR-1189",,"Low",_SPECIFIEDvarPubDate,)</f>
        <v>949</v>
      </c>
      <c r="C1108" s="1">
        <f t="shared" si="51"/>
        <v>45848</v>
      </c>
      <c r="D1108">
        <f t="shared" si="52"/>
        <v>2025</v>
      </c>
      <c r="E1108">
        <f t="shared" si="53"/>
        <v>7</v>
      </c>
      <c r="F1108" s="13" t="s">
        <v>2206</v>
      </c>
      <c r="G1108" s="13" t="s">
        <v>11</v>
      </c>
      <c r="H1108" s="13" t="s">
        <v>2792</v>
      </c>
    </row>
    <row r="1109" spans="1:8" x14ac:dyDescent="0.25">
      <c r="A1109" t="s">
        <v>2207</v>
      </c>
      <c r="B1109" s="15" cm="1">
        <f t="array" ref="B1109">_xll.GetPrice("FP-LBR-1190",,"Low",_SPECIFIEDvarPubDate,)</f>
        <v>942</v>
      </c>
      <c r="C1109" s="1">
        <f t="shared" si="51"/>
        <v>45848</v>
      </c>
      <c r="D1109">
        <f t="shared" si="52"/>
        <v>2025</v>
      </c>
      <c r="E1109">
        <f t="shared" si="53"/>
        <v>7</v>
      </c>
      <c r="F1109" s="13" t="s">
        <v>2208</v>
      </c>
      <c r="G1109" s="13" t="s">
        <v>11</v>
      </c>
      <c r="H1109" s="13" t="s">
        <v>2792</v>
      </c>
    </row>
    <row r="1110" spans="1:8" x14ac:dyDescent="0.25">
      <c r="A1110" t="s">
        <v>2209</v>
      </c>
      <c r="B1110" s="15" cm="1">
        <f t="array" ref="B1110">_xll.GetPrice("FP-LBR-1191",,"Low",_SPECIFIEDvarPubDate,)</f>
        <v>446</v>
      </c>
      <c r="C1110" s="1">
        <f t="shared" si="51"/>
        <v>45848</v>
      </c>
      <c r="D1110">
        <f t="shared" si="52"/>
        <v>2025</v>
      </c>
      <c r="E1110">
        <f t="shared" si="53"/>
        <v>7</v>
      </c>
      <c r="F1110" s="13" t="s">
        <v>2210</v>
      </c>
      <c r="G1110" s="13" t="s">
        <v>11</v>
      </c>
      <c r="H1110" s="13" t="s">
        <v>2792</v>
      </c>
    </row>
    <row r="1111" spans="1:8" x14ac:dyDescent="0.25">
      <c r="A1111" t="s">
        <v>2211</v>
      </c>
      <c r="B1111" s="15" cm="1">
        <f t="array" ref="B1111">_xll.GetPrice("FP-LBR-1192",,"Low",_SPECIFIEDvarPubDate,)</f>
        <v>560</v>
      </c>
      <c r="C1111" s="1">
        <f t="shared" si="51"/>
        <v>45848</v>
      </c>
      <c r="D1111">
        <f t="shared" si="52"/>
        <v>2025</v>
      </c>
      <c r="E1111">
        <f t="shared" si="53"/>
        <v>7</v>
      </c>
      <c r="F1111" s="13" t="s">
        <v>2212</v>
      </c>
      <c r="G1111" s="13" t="s">
        <v>11</v>
      </c>
      <c r="H1111" s="13" t="s">
        <v>2792</v>
      </c>
    </row>
    <row r="1112" spans="1:8" x14ac:dyDescent="0.25">
      <c r="A1112" t="s">
        <v>2213</v>
      </c>
      <c r="B1112" s="15" cm="1">
        <f t="array" ref="B1112">_xll.GetPrice("FP-LBR-1193",,"Low",_SPECIFIEDvarPubDate,)</f>
        <v>350</v>
      </c>
      <c r="C1112" s="1">
        <f t="shared" si="51"/>
        <v>45848</v>
      </c>
      <c r="D1112">
        <f t="shared" si="52"/>
        <v>2025</v>
      </c>
      <c r="E1112">
        <f t="shared" si="53"/>
        <v>7</v>
      </c>
      <c r="F1112" s="13" t="s">
        <v>2214</v>
      </c>
      <c r="G1112" s="13" t="s">
        <v>11</v>
      </c>
      <c r="H1112" s="13" t="s">
        <v>2792</v>
      </c>
    </row>
    <row r="1113" spans="1:8" x14ac:dyDescent="0.25">
      <c r="A1113" t="s">
        <v>2215</v>
      </c>
      <c r="B1113" s="15" cm="1">
        <f t="array" ref="B1113">_xll.GetPrice("FP-LBR-1194",,"Low",_SPECIFIEDvarPubDate,)</f>
        <v>439</v>
      </c>
      <c r="C1113" s="1">
        <f t="shared" si="51"/>
        <v>45848</v>
      </c>
      <c r="D1113">
        <f t="shared" si="52"/>
        <v>2025</v>
      </c>
      <c r="E1113">
        <f t="shared" si="53"/>
        <v>7</v>
      </c>
      <c r="F1113" s="13" t="s">
        <v>2216</v>
      </c>
      <c r="G1113" s="13" t="s">
        <v>11</v>
      </c>
      <c r="H1113" s="13" t="s">
        <v>2792</v>
      </c>
    </row>
    <row r="1114" spans="1:8" x14ac:dyDescent="0.25">
      <c r="A1114" t="s">
        <v>2217</v>
      </c>
      <c r="B1114" s="15" cm="1">
        <f t="array" ref="B1114">_xll.GetPrice("FP-LBR-1195",,"Low",_SPECIFIEDvarPubDate,)</f>
        <v>532</v>
      </c>
      <c r="C1114" s="1">
        <f t="shared" si="51"/>
        <v>45848</v>
      </c>
      <c r="D1114">
        <f t="shared" si="52"/>
        <v>2025</v>
      </c>
      <c r="E1114">
        <f t="shared" si="53"/>
        <v>7</v>
      </c>
      <c r="F1114" s="13" t="s">
        <v>2218</v>
      </c>
      <c r="G1114" s="13" t="s">
        <v>11</v>
      </c>
      <c r="H1114" s="13" t="s">
        <v>2792</v>
      </c>
    </row>
    <row r="1115" spans="1:8" x14ac:dyDescent="0.25">
      <c r="A1115" t="s">
        <v>2219</v>
      </c>
      <c r="B1115" s="15" cm="1">
        <f t="array" ref="B1115">_xll.GetPrice("FP-LBR-1196",,"Low",_SPECIFIEDvarPubDate,)</f>
        <v>487</v>
      </c>
      <c r="C1115" s="1">
        <f t="shared" si="51"/>
        <v>45848</v>
      </c>
      <c r="D1115">
        <f t="shared" si="52"/>
        <v>2025</v>
      </c>
      <c r="E1115">
        <f t="shared" si="53"/>
        <v>7</v>
      </c>
      <c r="F1115" s="13" t="s">
        <v>2220</v>
      </c>
      <c r="G1115" s="13" t="s">
        <v>11</v>
      </c>
      <c r="H1115" s="13" t="s">
        <v>2792</v>
      </c>
    </row>
    <row r="1116" spans="1:8" x14ac:dyDescent="0.25">
      <c r="A1116" t="s">
        <v>2221</v>
      </c>
      <c r="B1116" s="15" cm="1">
        <f t="array" ref="B1116">_xll.GetPrice("FP-LBR-1186",,"Low",_SPECIFIEDvarPrvWeekDate,)</f>
        <v>428</v>
      </c>
      <c r="C1116" s="1">
        <f t="shared" si="51"/>
        <v>45848</v>
      </c>
      <c r="D1116">
        <f t="shared" si="52"/>
        <v>2025</v>
      </c>
      <c r="E1116">
        <f t="shared" si="53"/>
        <v>7</v>
      </c>
      <c r="F1116" s="13" t="s">
        <v>2200</v>
      </c>
      <c r="G1116" s="13" t="s">
        <v>11</v>
      </c>
      <c r="H1116" s="13" t="s">
        <v>2793</v>
      </c>
    </row>
    <row r="1117" spans="1:8" x14ac:dyDescent="0.25">
      <c r="A1117" t="s">
        <v>2222</v>
      </c>
      <c r="B1117" s="15" cm="1">
        <f t="array" ref="B1117">_xll.GetPrice("FP-LBR-1187",,"Low",_SPECIFIEDvarPrvWeekDate,)</f>
        <v>439</v>
      </c>
      <c r="C1117" s="1">
        <f t="shared" si="51"/>
        <v>45848</v>
      </c>
      <c r="D1117">
        <f t="shared" si="52"/>
        <v>2025</v>
      </c>
      <c r="E1117">
        <f t="shared" si="53"/>
        <v>7</v>
      </c>
      <c r="F1117" s="13" t="s">
        <v>2202</v>
      </c>
      <c r="G1117" s="13" t="s">
        <v>11</v>
      </c>
      <c r="H1117" s="13" t="s">
        <v>2793</v>
      </c>
    </row>
    <row r="1118" spans="1:8" x14ac:dyDescent="0.25">
      <c r="A1118" t="s">
        <v>2223</v>
      </c>
      <c r="B1118" s="15" cm="1">
        <f t="array" ref="B1118">_xll.GetPrice("FP-LBR-1188",,"Low",_SPECIFIEDvarPrvWeekDate,)</f>
        <v>276</v>
      </c>
      <c r="C1118" s="1">
        <f t="shared" si="51"/>
        <v>45848</v>
      </c>
      <c r="D1118">
        <f t="shared" si="52"/>
        <v>2025</v>
      </c>
      <c r="E1118">
        <f t="shared" si="53"/>
        <v>7</v>
      </c>
      <c r="F1118" s="13" t="s">
        <v>2204</v>
      </c>
      <c r="G1118" s="13" t="s">
        <v>11</v>
      </c>
      <c r="H1118" s="13" t="s">
        <v>2793</v>
      </c>
    </row>
    <row r="1119" spans="1:8" x14ac:dyDescent="0.25">
      <c r="A1119" t="s">
        <v>2224</v>
      </c>
      <c r="B1119" s="15" cm="1">
        <f t="array" ref="B1119">_xll.GetPrice("FP-LBR-1189",,"Low",_SPECIFIEDvarPrvWeekDate,)</f>
        <v>953</v>
      </c>
      <c r="C1119" s="1">
        <f t="shared" si="51"/>
        <v>45848</v>
      </c>
      <c r="D1119">
        <f t="shared" si="52"/>
        <v>2025</v>
      </c>
      <c r="E1119">
        <f t="shared" si="53"/>
        <v>7</v>
      </c>
      <c r="F1119" s="13" t="s">
        <v>2206</v>
      </c>
      <c r="G1119" s="13" t="s">
        <v>11</v>
      </c>
      <c r="H1119" s="13" t="s">
        <v>2793</v>
      </c>
    </row>
    <row r="1120" spans="1:8" x14ac:dyDescent="0.25">
      <c r="A1120" t="s">
        <v>2225</v>
      </c>
      <c r="B1120" s="15" cm="1">
        <f t="array" ref="B1120">_xll.GetPrice("FP-LBR-1190",,"Low",_SPECIFIEDvarPrvWeekDate,)</f>
        <v>943</v>
      </c>
      <c r="C1120" s="1">
        <f t="shared" si="51"/>
        <v>45848</v>
      </c>
      <c r="D1120">
        <f t="shared" si="52"/>
        <v>2025</v>
      </c>
      <c r="E1120">
        <f t="shared" si="53"/>
        <v>7</v>
      </c>
      <c r="F1120" s="13" t="s">
        <v>2208</v>
      </c>
      <c r="G1120" s="13" t="s">
        <v>11</v>
      </c>
      <c r="H1120" s="13" t="s">
        <v>2793</v>
      </c>
    </row>
    <row r="1121" spans="1:8" x14ac:dyDescent="0.25">
      <c r="A1121" t="s">
        <v>2226</v>
      </c>
      <c r="B1121" s="15" cm="1">
        <f t="array" ref="B1121">_xll.GetPrice("FP-LBR-1191",,"Low",_SPECIFIEDvarPrvWeekDate,)</f>
        <v>446</v>
      </c>
      <c r="C1121" s="1">
        <f t="shared" si="51"/>
        <v>45848</v>
      </c>
      <c r="D1121">
        <f t="shared" si="52"/>
        <v>2025</v>
      </c>
      <c r="E1121">
        <f t="shared" si="53"/>
        <v>7</v>
      </c>
      <c r="F1121" s="13" t="s">
        <v>2210</v>
      </c>
      <c r="G1121" s="13" t="s">
        <v>11</v>
      </c>
      <c r="H1121" s="13" t="s">
        <v>2793</v>
      </c>
    </row>
    <row r="1122" spans="1:8" x14ac:dyDescent="0.25">
      <c r="A1122" t="s">
        <v>2227</v>
      </c>
      <c r="B1122" s="15" cm="1">
        <f t="array" ref="B1122">_xll.GetPrice("FP-LBR-1192",,"Low",_SPECIFIEDvarPrvWeekDate,)</f>
        <v>558</v>
      </c>
      <c r="C1122" s="1">
        <f t="shared" si="51"/>
        <v>45848</v>
      </c>
      <c r="D1122">
        <f t="shared" si="52"/>
        <v>2025</v>
      </c>
      <c r="E1122">
        <f t="shared" si="53"/>
        <v>7</v>
      </c>
      <c r="F1122" s="13" t="s">
        <v>2212</v>
      </c>
      <c r="G1122" s="13" t="s">
        <v>11</v>
      </c>
      <c r="H1122" s="13" t="s">
        <v>2793</v>
      </c>
    </row>
    <row r="1123" spans="1:8" x14ac:dyDescent="0.25">
      <c r="A1123" t="s">
        <v>2228</v>
      </c>
      <c r="B1123" s="15" cm="1">
        <f t="array" ref="B1123">_xll.GetPrice("FP-LBR-1193",,"Low",_SPECIFIEDvarPrvWeekDate,)</f>
        <v>350</v>
      </c>
      <c r="C1123" s="1">
        <f t="shared" si="51"/>
        <v>45848</v>
      </c>
      <c r="D1123">
        <f t="shared" si="52"/>
        <v>2025</v>
      </c>
      <c r="E1123">
        <f t="shared" si="53"/>
        <v>7</v>
      </c>
      <c r="F1123" s="13" t="s">
        <v>2214</v>
      </c>
      <c r="G1123" s="13" t="s">
        <v>11</v>
      </c>
      <c r="H1123" s="13" t="s">
        <v>2793</v>
      </c>
    </row>
    <row r="1124" spans="1:8" x14ac:dyDescent="0.25">
      <c r="A1124" t="s">
        <v>2229</v>
      </c>
      <c r="B1124" s="15" cm="1">
        <f t="array" ref="B1124">_xll.GetPrice("FP-LBR-1194",,"Low",_SPECIFIEDvarPrvWeekDate,)</f>
        <v>434</v>
      </c>
      <c r="C1124" s="1">
        <f t="shared" si="51"/>
        <v>45848</v>
      </c>
      <c r="D1124">
        <f t="shared" si="52"/>
        <v>2025</v>
      </c>
      <c r="E1124">
        <f t="shared" si="53"/>
        <v>7</v>
      </c>
      <c r="F1124" s="13" t="s">
        <v>2216</v>
      </c>
      <c r="G1124" s="13" t="s">
        <v>11</v>
      </c>
      <c r="H1124" s="13" t="s">
        <v>2793</v>
      </c>
    </row>
    <row r="1125" spans="1:8" x14ac:dyDescent="0.25">
      <c r="A1125" t="s">
        <v>2230</v>
      </c>
      <c r="B1125" s="15" cm="1">
        <f t="array" ref="B1125">_xll.GetPrice("FP-LBR-1195",,"Low",_SPECIFIEDvarPrvWeekDate,)</f>
        <v>525</v>
      </c>
      <c r="C1125" s="1">
        <f t="shared" si="51"/>
        <v>45848</v>
      </c>
      <c r="D1125">
        <f t="shared" si="52"/>
        <v>2025</v>
      </c>
      <c r="E1125">
        <f t="shared" si="53"/>
        <v>7</v>
      </c>
      <c r="F1125" s="13" t="s">
        <v>2218</v>
      </c>
      <c r="G1125" s="13" t="s">
        <v>11</v>
      </c>
      <c r="H1125" s="13" t="s">
        <v>2793</v>
      </c>
    </row>
    <row r="1126" spans="1:8" x14ac:dyDescent="0.25">
      <c r="A1126" t="s">
        <v>2231</v>
      </c>
      <c r="B1126" s="15" cm="1">
        <f t="array" ref="B1126">_xll.GetPrice("FP-LBR-1196",,"Low",_SPECIFIEDvarPrvWeekDate,)</f>
        <v>493</v>
      </c>
      <c r="C1126" s="1">
        <f t="shared" si="51"/>
        <v>45848</v>
      </c>
      <c r="D1126">
        <f t="shared" si="52"/>
        <v>2025</v>
      </c>
      <c r="E1126">
        <f t="shared" si="53"/>
        <v>7</v>
      </c>
      <c r="F1126" s="13" t="s">
        <v>2220</v>
      </c>
      <c r="G1126" s="13" t="s">
        <v>11</v>
      </c>
      <c r="H1126" s="13" t="s">
        <v>2793</v>
      </c>
    </row>
    <row r="1127" spans="1:8" x14ac:dyDescent="0.25">
      <c r="A1127" t="s">
        <v>2232</v>
      </c>
      <c r="B1127" s="15" cm="1">
        <f t="array" ref="B1127">_xll.GetPrice("FP-LBR-1186",,"Low",_SPECIFIEDvarPrvYearDate,)</f>
        <v>368</v>
      </c>
      <c r="C1127" s="1">
        <f t="shared" si="51"/>
        <v>45848</v>
      </c>
      <c r="D1127">
        <f t="shared" si="52"/>
        <v>2025</v>
      </c>
      <c r="E1127">
        <f t="shared" si="53"/>
        <v>7</v>
      </c>
      <c r="F1127" s="13" t="s">
        <v>2200</v>
      </c>
      <c r="G1127" s="13" t="s">
        <v>11</v>
      </c>
      <c r="H1127" s="13" t="s">
        <v>2794</v>
      </c>
    </row>
    <row r="1128" spans="1:8" x14ac:dyDescent="0.25">
      <c r="A1128" t="s">
        <v>2233</v>
      </c>
      <c r="B1128" s="15" cm="1">
        <f t="array" ref="B1128">_xll.GetPrice("FP-LBR-1187",,"Low",_SPECIFIEDvarPrvYearDate,)</f>
        <v>356</v>
      </c>
      <c r="C1128" s="1">
        <f t="shared" si="51"/>
        <v>45848</v>
      </c>
      <c r="D1128">
        <f t="shared" si="52"/>
        <v>2025</v>
      </c>
      <c r="E1128">
        <f t="shared" si="53"/>
        <v>7</v>
      </c>
      <c r="F1128" s="13" t="s">
        <v>2202</v>
      </c>
      <c r="G1128" s="13" t="s">
        <v>11</v>
      </c>
      <c r="H1128" s="13" t="s">
        <v>2794</v>
      </c>
    </row>
    <row r="1129" spans="1:8" x14ac:dyDescent="0.25">
      <c r="A1129" t="s">
        <v>2234</v>
      </c>
      <c r="B1129" s="15" cm="1">
        <f t="array" ref="B1129">_xll.GetPrice("FP-LBR-1188",,"Low",_SPECIFIEDvarPrvYearDate,)</f>
        <v>247</v>
      </c>
      <c r="C1129" s="1">
        <f t="shared" si="51"/>
        <v>45848</v>
      </c>
      <c r="D1129">
        <f t="shared" si="52"/>
        <v>2025</v>
      </c>
      <c r="E1129">
        <f t="shared" si="53"/>
        <v>7</v>
      </c>
      <c r="F1129" s="13" t="s">
        <v>2204</v>
      </c>
      <c r="G1129" s="13" t="s">
        <v>11</v>
      </c>
      <c r="H1129" s="13" t="s">
        <v>2794</v>
      </c>
    </row>
    <row r="1130" spans="1:8" x14ac:dyDescent="0.25">
      <c r="A1130" t="s">
        <v>2235</v>
      </c>
      <c r="B1130" s="15" cm="1">
        <f t="array" ref="B1130">_xll.GetPrice("FP-LBR-1189",,"Low",_SPECIFIEDvarPrvYearDate,)</f>
        <v>933</v>
      </c>
      <c r="C1130" s="1">
        <f t="shared" si="51"/>
        <v>45848</v>
      </c>
      <c r="D1130">
        <f t="shared" si="52"/>
        <v>2025</v>
      </c>
      <c r="E1130">
        <f t="shared" si="53"/>
        <v>7</v>
      </c>
      <c r="F1130" s="13" t="s">
        <v>2206</v>
      </c>
      <c r="G1130" s="13" t="s">
        <v>11</v>
      </c>
      <c r="H1130" s="13" t="s">
        <v>2794</v>
      </c>
    </row>
    <row r="1131" spans="1:8" x14ac:dyDescent="0.25">
      <c r="A1131" t="s">
        <v>2236</v>
      </c>
      <c r="B1131" s="15" cm="1">
        <f t="array" ref="B1131">_xll.GetPrice("FP-LBR-1190",,"Low",_SPECIFIEDvarPrvYearDate,)</f>
        <v>1044</v>
      </c>
      <c r="C1131" s="1">
        <f t="shared" si="51"/>
        <v>45848</v>
      </c>
      <c r="D1131">
        <f t="shared" si="52"/>
        <v>2025</v>
      </c>
      <c r="E1131">
        <f t="shared" si="53"/>
        <v>7</v>
      </c>
      <c r="F1131" s="13" t="s">
        <v>2208</v>
      </c>
      <c r="G1131" s="13" t="s">
        <v>11</v>
      </c>
      <c r="H1131" s="13" t="s">
        <v>2794</v>
      </c>
    </row>
    <row r="1132" spans="1:8" x14ac:dyDescent="0.25">
      <c r="A1132" t="s">
        <v>2237</v>
      </c>
      <c r="B1132" s="15" cm="1">
        <f t="array" ref="B1132">_xll.GetPrice("FP-LBR-1191",,"Low",_SPECIFIEDvarPrvYearDate,)</f>
        <v>384</v>
      </c>
      <c r="C1132" s="1">
        <f t="shared" si="51"/>
        <v>45848</v>
      </c>
      <c r="D1132">
        <f t="shared" si="52"/>
        <v>2025</v>
      </c>
      <c r="E1132">
        <f t="shared" si="53"/>
        <v>7</v>
      </c>
      <c r="F1132" s="13" t="s">
        <v>2210</v>
      </c>
      <c r="G1132" s="13" t="s">
        <v>11</v>
      </c>
      <c r="H1132" s="13" t="s">
        <v>2794</v>
      </c>
    </row>
    <row r="1133" spans="1:8" x14ac:dyDescent="0.25">
      <c r="A1133" t="s">
        <v>2238</v>
      </c>
      <c r="B1133" s="15" cm="1">
        <f t="array" ref="B1133">_xll.GetPrice("FP-LBR-1192",,"Low",_SPECIFIEDvarPrvYearDate,)</f>
        <v>510</v>
      </c>
      <c r="C1133" s="1">
        <f t="shared" si="51"/>
        <v>45848</v>
      </c>
      <c r="D1133">
        <f t="shared" si="52"/>
        <v>2025</v>
      </c>
      <c r="E1133">
        <f t="shared" si="53"/>
        <v>7</v>
      </c>
      <c r="F1133" s="13" t="s">
        <v>2212</v>
      </c>
      <c r="G1133" s="13" t="s">
        <v>11</v>
      </c>
      <c r="H1133" s="13" t="s">
        <v>2794</v>
      </c>
    </row>
    <row r="1134" spans="1:8" x14ac:dyDescent="0.25">
      <c r="A1134" t="s">
        <v>2239</v>
      </c>
      <c r="B1134" s="15" cm="1">
        <f t="array" ref="B1134">_xll.GetPrice("FP-LBR-1193",,"Low",_SPECIFIEDvarPrvYearDate,)</f>
        <v>330</v>
      </c>
      <c r="C1134" s="1">
        <f t="shared" si="51"/>
        <v>45848</v>
      </c>
      <c r="D1134">
        <f t="shared" si="52"/>
        <v>2025</v>
      </c>
      <c r="E1134">
        <f t="shared" si="53"/>
        <v>7</v>
      </c>
      <c r="F1134" s="13" t="s">
        <v>2214</v>
      </c>
      <c r="G1134" s="13" t="s">
        <v>11</v>
      </c>
      <c r="H1134" s="13" t="s">
        <v>2794</v>
      </c>
    </row>
    <row r="1135" spans="1:8" x14ac:dyDescent="0.25">
      <c r="A1135" t="s">
        <v>2240</v>
      </c>
      <c r="B1135" s="15" cm="1">
        <f t="array" ref="B1135">_xll.GetPrice("FP-LBR-1194",,"Low",_SPECIFIEDvarPrvYearDate,)</f>
        <v>345</v>
      </c>
      <c r="C1135" s="1">
        <f t="shared" si="51"/>
        <v>45848</v>
      </c>
      <c r="D1135">
        <f t="shared" si="52"/>
        <v>2025</v>
      </c>
      <c r="E1135">
        <f t="shared" si="53"/>
        <v>7</v>
      </c>
      <c r="F1135" s="13" t="s">
        <v>2216</v>
      </c>
      <c r="G1135" s="13" t="s">
        <v>11</v>
      </c>
      <c r="H1135" s="13" t="s">
        <v>2794</v>
      </c>
    </row>
    <row r="1136" spans="1:8" x14ac:dyDescent="0.25">
      <c r="A1136" t="s">
        <v>2241</v>
      </c>
      <c r="B1136" s="15" cm="1">
        <f t="array" ref="B1136">_xll.GetPrice("FP-LBR-1195",,"Low",_SPECIFIEDvarPrvYearDate,)</f>
        <v>433</v>
      </c>
      <c r="C1136" s="1">
        <f t="shared" si="51"/>
        <v>45848</v>
      </c>
      <c r="D1136">
        <f t="shared" si="52"/>
        <v>2025</v>
      </c>
      <c r="E1136">
        <f t="shared" si="53"/>
        <v>7</v>
      </c>
      <c r="F1136" s="13" t="s">
        <v>2218</v>
      </c>
      <c r="G1136" s="13" t="s">
        <v>11</v>
      </c>
      <c r="H1136" s="13" t="s">
        <v>2794</v>
      </c>
    </row>
    <row r="1137" spans="1:8" x14ac:dyDescent="0.25">
      <c r="A1137" t="s">
        <v>2242</v>
      </c>
      <c r="B1137" s="15" cm="1">
        <f t="array" ref="B1137">_xll.GetPrice("FP-LBR-1196",,"Low",_SPECIFIEDvarPrvYearDate,)</f>
        <v>441</v>
      </c>
      <c r="C1137" s="1">
        <f t="shared" si="51"/>
        <v>45848</v>
      </c>
      <c r="D1137">
        <f t="shared" si="52"/>
        <v>2025</v>
      </c>
      <c r="E1137">
        <f t="shared" si="53"/>
        <v>7</v>
      </c>
      <c r="F1137" s="13" t="s">
        <v>2220</v>
      </c>
      <c r="G1137" s="13" t="s">
        <v>11</v>
      </c>
      <c r="H1137" s="13" t="s">
        <v>2794</v>
      </c>
    </row>
    <row r="1138" spans="1:8" x14ac:dyDescent="0.25">
      <c r="A1138" t="s">
        <v>2243</v>
      </c>
      <c r="B1138" s="15" cm="1">
        <f t="array" ref="B1138">_xll.GetPrice("FP-LBR-0751",,"Low",_SPECIFIEDvarPubDate,)</f>
        <v>555</v>
      </c>
      <c r="C1138" s="1">
        <f t="shared" si="51"/>
        <v>45848</v>
      </c>
      <c r="D1138">
        <f t="shared" si="52"/>
        <v>2025</v>
      </c>
      <c r="E1138">
        <f t="shared" si="53"/>
        <v>7</v>
      </c>
      <c r="F1138" s="13" t="s">
        <v>2244</v>
      </c>
      <c r="G1138" s="13" t="s">
        <v>11</v>
      </c>
      <c r="H1138" s="13" t="s">
        <v>2792</v>
      </c>
    </row>
    <row r="1139" spans="1:8" x14ac:dyDescent="0.25">
      <c r="A1139" t="s">
        <v>2245</v>
      </c>
      <c r="B1139" s="15" cm="1">
        <f t="array" ref="B1139">_xll.GetPrice("FP-LBR-0756",,"Low",_SPECIFIEDvarPubDate,)</f>
        <v>450</v>
      </c>
      <c r="C1139" s="1">
        <f t="shared" si="51"/>
        <v>45848</v>
      </c>
      <c r="D1139">
        <f t="shared" si="52"/>
        <v>2025</v>
      </c>
      <c r="E1139">
        <f t="shared" si="53"/>
        <v>7</v>
      </c>
      <c r="F1139" s="13" t="s">
        <v>2246</v>
      </c>
      <c r="G1139" s="13" t="s">
        <v>11</v>
      </c>
      <c r="H1139" s="13" t="s">
        <v>2792</v>
      </c>
    </row>
    <row r="1140" spans="1:8" x14ac:dyDescent="0.25">
      <c r="A1140" t="s">
        <v>2247</v>
      </c>
      <c r="B1140" s="15" cm="1">
        <f t="array" ref="B1140">_xll.GetPrice("FP-LBR-0761",,"Low",_SPECIFIEDvarPubDate,)</f>
        <v>470</v>
      </c>
      <c r="C1140" s="1">
        <f t="shared" si="51"/>
        <v>45848</v>
      </c>
      <c r="D1140">
        <f t="shared" si="52"/>
        <v>2025</v>
      </c>
      <c r="E1140">
        <f t="shared" si="53"/>
        <v>7</v>
      </c>
      <c r="F1140" s="13" t="s">
        <v>2248</v>
      </c>
      <c r="G1140" s="13" t="s">
        <v>11</v>
      </c>
      <c r="H1140" s="13" t="s">
        <v>2792</v>
      </c>
    </row>
    <row r="1141" spans="1:8" x14ac:dyDescent="0.25">
      <c r="A1141" t="s">
        <v>2249</v>
      </c>
      <c r="B1141" s="15" cm="1">
        <f t="array" ref="B1141">_xll.GetPrice("FP-LBR-0766",,"Low",_SPECIFIEDvarPubDate,)</f>
        <v>450</v>
      </c>
      <c r="C1141" s="1">
        <f t="shared" si="51"/>
        <v>45848</v>
      </c>
      <c r="D1141">
        <f t="shared" si="52"/>
        <v>2025</v>
      </c>
      <c r="E1141">
        <f t="shared" si="53"/>
        <v>7</v>
      </c>
      <c r="F1141" s="13" t="s">
        <v>2250</v>
      </c>
      <c r="G1141" s="13" t="s">
        <v>11</v>
      </c>
      <c r="H1141" s="13" t="s">
        <v>2792</v>
      </c>
    </row>
    <row r="1142" spans="1:8" x14ac:dyDescent="0.25">
      <c r="A1142" t="s">
        <v>2251</v>
      </c>
      <c r="B1142" s="15" cm="1">
        <f t="array" ref="B1142">_xll.GetPrice("FP-LBR-0771",,"Low",_SPECIFIEDvarPubDate,)</f>
        <v>445</v>
      </c>
      <c r="C1142" s="1">
        <f t="shared" si="51"/>
        <v>45848</v>
      </c>
      <c r="D1142">
        <f t="shared" si="52"/>
        <v>2025</v>
      </c>
      <c r="E1142">
        <f t="shared" si="53"/>
        <v>7</v>
      </c>
      <c r="F1142" s="13" t="s">
        <v>2252</v>
      </c>
      <c r="G1142" s="13" t="s">
        <v>11</v>
      </c>
      <c r="H1142" s="13" t="s">
        <v>2792</v>
      </c>
    </row>
    <row r="1143" spans="1:8" x14ac:dyDescent="0.25">
      <c r="A1143" t="s">
        <v>2253</v>
      </c>
      <c r="B1143" s="15" cm="1">
        <f t="array" ref="B1143">_xll.GetPrice("FP-LBR-0752",,"Low",_SPECIFIEDvarPubDate,)</f>
        <v>500</v>
      </c>
      <c r="C1143" s="1">
        <f t="shared" si="51"/>
        <v>45848</v>
      </c>
      <c r="D1143">
        <f t="shared" si="52"/>
        <v>2025</v>
      </c>
      <c r="E1143">
        <f t="shared" si="53"/>
        <v>7</v>
      </c>
      <c r="F1143" s="13" t="s">
        <v>2254</v>
      </c>
      <c r="G1143" s="13" t="s">
        <v>11</v>
      </c>
      <c r="H1143" s="13" t="s">
        <v>2792</v>
      </c>
    </row>
    <row r="1144" spans="1:8" x14ac:dyDescent="0.25">
      <c r="A1144" t="s">
        <v>2255</v>
      </c>
      <c r="B1144" s="15" cm="1">
        <f t="array" ref="B1144">_xll.GetPrice("FP-LBR-0757",,"Low",_SPECIFIEDvarPubDate,)</f>
        <v>460</v>
      </c>
      <c r="C1144" s="1">
        <f t="shared" si="51"/>
        <v>45848</v>
      </c>
      <c r="D1144">
        <f t="shared" si="52"/>
        <v>2025</v>
      </c>
      <c r="E1144">
        <f t="shared" si="53"/>
        <v>7</v>
      </c>
      <c r="F1144" s="13" t="s">
        <v>2256</v>
      </c>
      <c r="G1144" s="13" t="s">
        <v>11</v>
      </c>
      <c r="H1144" s="13" t="s">
        <v>2792</v>
      </c>
    </row>
    <row r="1145" spans="1:8" x14ac:dyDescent="0.25">
      <c r="A1145" t="s">
        <v>2257</v>
      </c>
      <c r="B1145" s="15" cm="1">
        <f t="array" ref="B1145">_xll.GetPrice("FP-LBR-0762",,"Low",_SPECIFIEDvarPubDate,)</f>
        <v>460</v>
      </c>
      <c r="C1145" s="1">
        <f t="shared" si="51"/>
        <v>45848</v>
      </c>
      <c r="D1145">
        <f t="shared" si="52"/>
        <v>2025</v>
      </c>
      <c r="E1145">
        <f t="shared" si="53"/>
        <v>7</v>
      </c>
      <c r="F1145" s="13" t="s">
        <v>2258</v>
      </c>
      <c r="G1145" s="13" t="s">
        <v>11</v>
      </c>
      <c r="H1145" s="13" t="s">
        <v>2792</v>
      </c>
    </row>
    <row r="1146" spans="1:8" x14ac:dyDescent="0.25">
      <c r="A1146" t="s">
        <v>2259</v>
      </c>
      <c r="B1146" s="15" cm="1">
        <f t="array" ref="B1146">_xll.GetPrice("FP-LBR-0767",,"Low",_SPECIFIEDvarPubDate,)</f>
        <v>500</v>
      </c>
      <c r="C1146" s="1">
        <f t="shared" si="51"/>
        <v>45848</v>
      </c>
      <c r="D1146">
        <f t="shared" si="52"/>
        <v>2025</v>
      </c>
      <c r="E1146">
        <f t="shared" si="53"/>
        <v>7</v>
      </c>
      <c r="F1146" s="13" t="s">
        <v>2260</v>
      </c>
      <c r="G1146" s="13" t="s">
        <v>11</v>
      </c>
      <c r="H1146" s="13" t="s">
        <v>2792</v>
      </c>
    </row>
    <row r="1147" spans="1:8" x14ac:dyDescent="0.25">
      <c r="A1147" t="s">
        <v>2261</v>
      </c>
      <c r="B1147" s="15" cm="1">
        <f t="array" ref="B1147">_xll.GetPrice("FP-LBR-0772",,"Low",_SPECIFIEDvarPubDate,)</f>
        <v>445</v>
      </c>
      <c r="C1147" s="1">
        <f t="shared" si="51"/>
        <v>45848</v>
      </c>
      <c r="D1147">
        <f t="shared" si="52"/>
        <v>2025</v>
      </c>
      <c r="E1147">
        <f t="shared" si="53"/>
        <v>7</v>
      </c>
      <c r="F1147" s="13" t="s">
        <v>2262</v>
      </c>
      <c r="G1147" s="13" t="s">
        <v>11</v>
      </c>
      <c r="H1147" s="13" t="s">
        <v>2792</v>
      </c>
    </row>
    <row r="1148" spans="1:8" x14ac:dyDescent="0.25">
      <c r="A1148" t="s">
        <v>2263</v>
      </c>
      <c r="B1148" s="15" cm="1">
        <f t="array" ref="B1148">_xll.GetPrice("FP-LBR-0903",,"Low",_SPECIFIEDvarPubDate,)</f>
        <v>60</v>
      </c>
      <c r="C1148" s="1">
        <f t="shared" si="51"/>
        <v>45848</v>
      </c>
      <c r="D1148">
        <f t="shared" si="52"/>
        <v>2025</v>
      </c>
      <c r="E1148">
        <f t="shared" si="53"/>
        <v>7</v>
      </c>
      <c r="F1148" s="13" t="s">
        <v>2264</v>
      </c>
      <c r="G1148" s="13" t="s">
        <v>11</v>
      </c>
      <c r="H1148" s="13" t="s">
        <v>2792</v>
      </c>
    </row>
    <row r="1149" spans="1:8" x14ac:dyDescent="0.25">
      <c r="A1149" t="s">
        <v>2265</v>
      </c>
      <c r="B1149" s="15" cm="1">
        <f t="array" ref="B1149">_xll.GetPrice("FP-LBR-0753",,"Low",_SPECIFIEDvarPubDate,)</f>
        <v>505</v>
      </c>
      <c r="C1149" s="1">
        <f t="shared" si="51"/>
        <v>45848</v>
      </c>
      <c r="D1149">
        <f t="shared" si="52"/>
        <v>2025</v>
      </c>
      <c r="E1149">
        <f t="shared" si="53"/>
        <v>7</v>
      </c>
      <c r="F1149" s="13" t="s">
        <v>2266</v>
      </c>
      <c r="G1149" s="13" t="s">
        <v>11</v>
      </c>
      <c r="H1149" s="13" t="s">
        <v>2792</v>
      </c>
    </row>
    <row r="1150" spans="1:8" x14ac:dyDescent="0.25">
      <c r="A1150" t="s">
        <v>2267</v>
      </c>
      <c r="B1150" s="15" cm="1">
        <f t="array" ref="B1150">_xll.GetPrice("FP-LBR-0758",,"Low",_SPECIFIEDvarPubDate,)</f>
        <v>470</v>
      </c>
      <c r="C1150" s="1">
        <f t="shared" si="51"/>
        <v>45848</v>
      </c>
      <c r="D1150">
        <f t="shared" si="52"/>
        <v>2025</v>
      </c>
      <c r="E1150">
        <f t="shared" si="53"/>
        <v>7</v>
      </c>
      <c r="F1150" s="13" t="s">
        <v>2268</v>
      </c>
      <c r="G1150" s="13" t="s">
        <v>11</v>
      </c>
      <c r="H1150" s="13" t="s">
        <v>2792</v>
      </c>
    </row>
    <row r="1151" spans="1:8" x14ac:dyDescent="0.25">
      <c r="A1151" t="s">
        <v>2269</v>
      </c>
      <c r="B1151" s="15" cm="1">
        <f t="array" ref="B1151">_xll.GetPrice("FP-LBR-0763",,"Low",_SPECIFIEDvarPubDate,)</f>
        <v>465</v>
      </c>
      <c r="C1151" s="1">
        <f t="shared" si="51"/>
        <v>45848</v>
      </c>
      <c r="D1151">
        <f t="shared" si="52"/>
        <v>2025</v>
      </c>
      <c r="E1151">
        <f t="shared" si="53"/>
        <v>7</v>
      </c>
      <c r="F1151" s="13" t="s">
        <v>2270</v>
      </c>
      <c r="G1151" s="13" t="s">
        <v>11</v>
      </c>
      <c r="H1151" s="13" t="s">
        <v>2792</v>
      </c>
    </row>
    <row r="1152" spans="1:8" x14ac:dyDescent="0.25">
      <c r="A1152" t="s">
        <v>2271</v>
      </c>
      <c r="B1152" s="15" cm="1">
        <f t="array" ref="B1152">_xll.GetPrice("FP-LBR-0768",,"Low",_SPECIFIEDvarPubDate,)</f>
        <v>515</v>
      </c>
      <c r="C1152" s="1">
        <f t="shared" si="51"/>
        <v>45848</v>
      </c>
      <c r="D1152">
        <f t="shared" si="52"/>
        <v>2025</v>
      </c>
      <c r="E1152">
        <f t="shared" si="53"/>
        <v>7</v>
      </c>
      <c r="F1152" s="13" t="s">
        <v>2272</v>
      </c>
      <c r="G1152" s="13" t="s">
        <v>11</v>
      </c>
      <c r="H1152" s="13" t="s">
        <v>2792</v>
      </c>
    </row>
    <row r="1153" spans="1:8" x14ac:dyDescent="0.25">
      <c r="A1153" t="s">
        <v>2273</v>
      </c>
      <c r="B1153" s="15" cm="1">
        <f t="array" ref="B1153">_xll.GetPrice("FP-LBR-0773",,"Low",_SPECIFIEDvarPubDate,)</f>
        <v>485</v>
      </c>
      <c r="C1153" s="1">
        <f t="shared" ref="C1153:C1216" si="54">_SPECIFIEDvarPubDate</f>
        <v>45848</v>
      </c>
      <c r="D1153">
        <f t="shared" ref="D1153:D1216" si="55">_SPECIFIEDvarYear</f>
        <v>2025</v>
      </c>
      <c r="E1153">
        <f t="shared" ref="E1153:E1216" si="56">_SPECIFIEDvarMonth</f>
        <v>7</v>
      </c>
      <c r="F1153" s="13" t="s">
        <v>2274</v>
      </c>
      <c r="G1153" s="13" t="s">
        <v>11</v>
      </c>
      <c r="H1153" s="13" t="s">
        <v>2792</v>
      </c>
    </row>
    <row r="1154" spans="1:8" x14ac:dyDescent="0.25">
      <c r="A1154" t="s">
        <v>2275</v>
      </c>
      <c r="B1154" s="15" cm="1">
        <f t="array" ref="B1154">_xll.GetPrice("FP-LBR-0903",,"High",_SPECIFIEDvarPubDate,)</f>
        <v>70</v>
      </c>
      <c r="C1154" s="1">
        <f t="shared" si="54"/>
        <v>45848</v>
      </c>
      <c r="D1154">
        <f t="shared" si="55"/>
        <v>2025</v>
      </c>
      <c r="E1154">
        <f t="shared" si="56"/>
        <v>7</v>
      </c>
      <c r="F1154" s="13" t="s">
        <v>2264</v>
      </c>
      <c r="G1154" s="13" t="s">
        <v>112</v>
      </c>
      <c r="H1154" s="13" t="s">
        <v>2792</v>
      </c>
    </row>
    <row r="1155" spans="1:8" x14ac:dyDescent="0.25">
      <c r="A1155" t="s">
        <v>2276</v>
      </c>
      <c r="B1155" s="15" cm="1">
        <f t="array" ref="B1155">_xll.GetPrice("FP-LBR-0754",,"Low",_SPECIFIEDvarPubDate,)</f>
        <v>550</v>
      </c>
      <c r="C1155" s="1">
        <f t="shared" si="54"/>
        <v>45848</v>
      </c>
      <c r="D1155">
        <f t="shared" si="55"/>
        <v>2025</v>
      </c>
      <c r="E1155">
        <f t="shared" si="56"/>
        <v>7</v>
      </c>
      <c r="F1155" s="13" t="s">
        <v>2277</v>
      </c>
      <c r="G1155" s="13" t="s">
        <v>11</v>
      </c>
      <c r="H1155" s="13" t="s">
        <v>2792</v>
      </c>
    </row>
    <row r="1156" spans="1:8" x14ac:dyDescent="0.25">
      <c r="A1156" t="s">
        <v>2278</v>
      </c>
      <c r="B1156" s="15" cm="1">
        <f t="array" ref="B1156">_xll.GetPrice("FP-LBR-0759",,"Low",_SPECIFIEDvarPubDate,)</f>
        <v>495</v>
      </c>
      <c r="C1156" s="1">
        <f t="shared" si="54"/>
        <v>45848</v>
      </c>
      <c r="D1156">
        <f t="shared" si="55"/>
        <v>2025</v>
      </c>
      <c r="E1156">
        <f t="shared" si="56"/>
        <v>7</v>
      </c>
      <c r="F1156" s="13" t="s">
        <v>2279</v>
      </c>
      <c r="G1156" s="13" t="s">
        <v>11</v>
      </c>
      <c r="H1156" s="13" t="s">
        <v>2792</v>
      </c>
    </row>
    <row r="1157" spans="1:8" x14ac:dyDescent="0.25">
      <c r="A1157" t="s">
        <v>2280</v>
      </c>
      <c r="B1157" s="15" cm="1">
        <f t="array" ref="B1157">_xll.GetPrice("FP-LBR-0764",,"Low",_SPECIFIEDvarPubDate,)</f>
        <v>465</v>
      </c>
      <c r="C1157" s="1">
        <f t="shared" si="54"/>
        <v>45848</v>
      </c>
      <c r="D1157">
        <f t="shared" si="55"/>
        <v>2025</v>
      </c>
      <c r="E1157">
        <f t="shared" si="56"/>
        <v>7</v>
      </c>
      <c r="F1157" s="13" t="s">
        <v>2281</v>
      </c>
      <c r="G1157" s="13" t="s">
        <v>11</v>
      </c>
      <c r="H1157" s="13" t="s">
        <v>2792</v>
      </c>
    </row>
    <row r="1158" spans="1:8" x14ac:dyDescent="0.25">
      <c r="A1158" t="s">
        <v>2282</v>
      </c>
      <c r="B1158" s="15" cm="1">
        <f t="array" ref="B1158">_xll.GetPrice("FP-LBR-0769",,"Low",_SPECIFIEDvarPubDate,)</f>
        <v>540</v>
      </c>
      <c r="C1158" s="1">
        <f t="shared" si="54"/>
        <v>45848</v>
      </c>
      <c r="D1158">
        <f t="shared" si="55"/>
        <v>2025</v>
      </c>
      <c r="E1158">
        <f t="shared" si="56"/>
        <v>7</v>
      </c>
      <c r="F1158" s="13" t="s">
        <v>2283</v>
      </c>
      <c r="G1158" s="13" t="s">
        <v>11</v>
      </c>
      <c r="H1158" s="13" t="s">
        <v>2792</v>
      </c>
    </row>
    <row r="1159" spans="1:8" x14ac:dyDescent="0.25">
      <c r="A1159" t="s">
        <v>2284</v>
      </c>
      <c r="B1159" s="15" cm="1">
        <f t="array" ref="B1159">_xll.GetPrice("FP-LBR-0774",,"Low",_SPECIFIEDvarPubDate,)</f>
        <v>445</v>
      </c>
      <c r="C1159" s="1">
        <f t="shared" si="54"/>
        <v>45848</v>
      </c>
      <c r="D1159">
        <f t="shared" si="55"/>
        <v>2025</v>
      </c>
      <c r="E1159">
        <f t="shared" si="56"/>
        <v>7</v>
      </c>
      <c r="F1159" s="13" t="s">
        <v>2285</v>
      </c>
      <c r="G1159" s="13" t="s">
        <v>11</v>
      </c>
      <c r="H1159" s="13" t="s">
        <v>2792</v>
      </c>
    </row>
    <row r="1160" spans="1:8" x14ac:dyDescent="0.25">
      <c r="A1160" t="s">
        <v>2286</v>
      </c>
      <c r="B1160" s="15" cm="1">
        <f t="array" ref="B1160">_xll.GetPrice("FP-LBR-0755",,"Low",_SPECIFIEDvarPubDate,)</f>
        <v>570</v>
      </c>
      <c r="C1160" s="1">
        <f t="shared" si="54"/>
        <v>45848</v>
      </c>
      <c r="D1160">
        <f t="shared" si="55"/>
        <v>2025</v>
      </c>
      <c r="E1160">
        <f t="shared" si="56"/>
        <v>7</v>
      </c>
      <c r="F1160" s="13" t="s">
        <v>2287</v>
      </c>
      <c r="G1160" s="13" t="s">
        <v>11</v>
      </c>
      <c r="H1160" s="13" t="s">
        <v>2792</v>
      </c>
    </row>
    <row r="1161" spans="1:8" x14ac:dyDescent="0.25">
      <c r="A1161" t="s">
        <v>2288</v>
      </c>
      <c r="B1161" s="15" cm="1">
        <f t="array" ref="B1161">_xll.GetPrice("FP-LBR-0760",,"Low",_SPECIFIEDvarPubDate,)</f>
        <v>480</v>
      </c>
      <c r="C1161" s="1">
        <f t="shared" si="54"/>
        <v>45848</v>
      </c>
      <c r="D1161">
        <f t="shared" si="55"/>
        <v>2025</v>
      </c>
      <c r="E1161">
        <f t="shared" si="56"/>
        <v>7</v>
      </c>
      <c r="F1161" s="13" t="s">
        <v>2289</v>
      </c>
      <c r="G1161" s="13" t="s">
        <v>11</v>
      </c>
      <c r="H1161" s="13" t="s">
        <v>2792</v>
      </c>
    </row>
    <row r="1162" spans="1:8" x14ac:dyDescent="0.25">
      <c r="A1162" t="s">
        <v>2290</v>
      </c>
      <c r="B1162" s="15" cm="1">
        <f t="array" ref="B1162">_xll.GetPrice("FP-LBR-0765",,"Low",_SPECIFIEDvarPubDate,)</f>
        <v>475</v>
      </c>
      <c r="C1162" s="1">
        <f t="shared" si="54"/>
        <v>45848</v>
      </c>
      <c r="D1162">
        <f t="shared" si="55"/>
        <v>2025</v>
      </c>
      <c r="E1162">
        <f t="shared" si="56"/>
        <v>7</v>
      </c>
      <c r="F1162" s="13" t="s">
        <v>2291</v>
      </c>
      <c r="G1162" s="13" t="s">
        <v>11</v>
      </c>
      <c r="H1162" s="13" t="s">
        <v>2792</v>
      </c>
    </row>
    <row r="1163" spans="1:8" x14ac:dyDescent="0.25">
      <c r="A1163" t="s">
        <v>2292</v>
      </c>
      <c r="B1163" s="15" cm="1">
        <f t="array" ref="B1163">_xll.GetPrice("FP-LBR-0770",,"Low",_SPECIFIEDvarPubDate,)</f>
        <v>535</v>
      </c>
      <c r="C1163" s="1">
        <f t="shared" si="54"/>
        <v>45848</v>
      </c>
      <c r="D1163">
        <f t="shared" si="55"/>
        <v>2025</v>
      </c>
      <c r="E1163">
        <f t="shared" si="56"/>
        <v>7</v>
      </c>
      <c r="F1163" s="13" t="s">
        <v>2293</v>
      </c>
      <c r="G1163" s="13" t="s">
        <v>11</v>
      </c>
      <c r="H1163" s="13" t="s">
        <v>2792</v>
      </c>
    </row>
    <row r="1164" spans="1:8" x14ac:dyDescent="0.25">
      <c r="A1164" t="s">
        <v>2294</v>
      </c>
      <c r="B1164" s="15" cm="1">
        <f t="array" ref="B1164">_xll.GetPrice("FP-LBR-0775",,"Low",_SPECIFIEDvarPubDate,)</f>
        <v>500</v>
      </c>
      <c r="C1164" s="1">
        <f t="shared" si="54"/>
        <v>45848</v>
      </c>
      <c r="D1164">
        <f t="shared" si="55"/>
        <v>2025</v>
      </c>
      <c r="E1164">
        <f t="shared" si="56"/>
        <v>7</v>
      </c>
      <c r="F1164" s="13" t="s">
        <v>2295</v>
      </c>
      <c r="G1164" s="13" t="s">
        <v>11</v>
      </c>
      <c r="H1164" s="13" t="s">
        <v>2792</v>
      </c>
    </row>
    <row r="1165" spans="1:8" x14ac:dyDescent="0.25">
      <c r="A1165" t="s">
        <v>2296</v>
      </c>
      <c r="B1165" s="15" cm="1">
        <f t="array" ref="B1165">_xll.GetPrice("FP-LBR-0796",,"Low",_SPECIFIEDvarPubDate,)</f>
        <v>710</v>
      </c>
      <c r="C1165" s="1">
        <f t="shared" si="54"/>
        <v>45848</v>
      </c>
      <c r="D1165">
        <f t="shared" si="55"/>
        <v>2025</v>
      </c>
      <c r="E1165">
        <f t="shared" si="56"/>
        <v>7</v>
      </c>
      <c r="F1165" s="13" t="s">
        <v>2297</v>
      </c>
      <c r="G1165" s="13" t="s">
        <v>11</v>
      </c>
      <c r="H1165" s="13" t="s">
        <v>2792</v>
      </c>
    </row>
    <row r="1166" spans="1:8" x14ac:dyDescent="0.25">
      <c r="A1166" t="s">
        <v>2298</v>
      </c>
      <c r="B1166" s="15" cm="1">
        <f t="array" ref="B1166">_xll.GetPrice("FP-LBR-0801",,"Low",_SPECIFIEDvarPubDate,)</f>
        <v>685</v>
      </c>
      <c r="C1166" s="1">
        <f t="shared" si="54"/>
        <v>45848</v>
      </c>
      <c r="D1166">
        <f t="shared" si="55"/>
        <v>2025</v>
      </c>
      <c r="E1166">
        <f t="shared" si="56"/>
        <v>7</v>
      </c>
      <c r="F1166" s="13" t="s">
        <v>2299</v>
      </c>
      <c r="G1166" s="13" t="s">
        <v>11</v>
      </c>
      <c r="H1166" s="13" t="s">
        <v>2792</v>
      </c>
    </row>
    <row r="1167" spans="1:8" x14ac:dyDescent="0.25">
      <c r="A1167" t="s">
        <v>2300</v>
      </c>
      <c r="B1167" s="15" cm="1">
        <f t="array" ref="B1167">_xll.GetPrice("FP-LBR-0806",,"Low",_SPECIFIEDvarPubDate,)</f>
        <v>795</v>
      </c>
      <c r="C1167" s="1">
        <f t="shared" si="54"/>
        <v>45848</v>
      </c>
      <c r="D1167">
        <f t="shared" si="55"/>
        <v>2025</v>
      </c>
      <c r="E1167">
        <f t="shared" si="56"/>
        <v>7</v>
      </c>
      <c r="F1167" s="13" t="s">
        <v>2301</v>
      </c>
      <c r="G1167" s="13" t="s">
        <v>11</v>
      </c>
      <c r="H1167" s="13" t="s">
        <v>2792</v>
      </c>
    </row>
    <row r="1168" spans="1:8" x14ac:dyDescent="0.25">
      <c r="A1168" t="s">
        <v>2302</v>
      </c>
      <c r="B1168" s="15" cm="1">
        <f t="array" ref="B1168">_xll.GetPrice("FP-LBR-0776",,"Low",_SPECIFIEDvarPubDate,)</f>
        <v>915</v>
      </c>
      <c r="C1168" s="1">
        <f t="shared" si="54"/>
        <v>45848</v>
      </c>
      <c r="D1168">
        <f t="shared" si="55"/>
        <v>2025</v>
      </c>
      <c r="E1168">
        <f t="shared" si="56"/>
        <v>7</v>
      </c>
      <c r="F1168" s="13" t="s">
        <v>2303</v>
      </c>
      <c r="G1168" s="13" t="s">
        <v>11</v>
      </c>
      <c r="H1168" s="13" t="s">
        <v>2792</v>
      </c>
    </row>
    <row r="1169" spans="1:8" x14ac:dyDescent="0.25">
      <c r="A1169" t="s">
        <v>2304</v>
      </c>
      <c r="B1169" s="15" cm="1">
        <f t="array" ref="B1169">_xll.GetPrice("FP-LBR-0781",,"Low",_SPECIFIEDvarPubDate,)</f>
        <v>860</v>
      </c>
      <c r="C1169" s="1">
        <f t="shared" si="54"/>
        <v>45848</v>
      </c>
      <c r="D1169">
        <f t="shared" si="55"/>
        <v>2025</v>
      </c>
      <c r="E1169">
        <f t="shared" si="56"/>
        <v>7</v>
      </c>
      <c r="F1169" s="13" t="s">
        <v>2305</v>
      </c>
      <c r="G1169" s="13" t="s">
        <v>11</v>
      </c>
      <c r="H1169" s="13" t="s">
        <v>2792</v>
      </c>
    </row>
    <row r="1170" spans="1:8" x14ac:dyDescent="0.25">
      <c r="A1170" t="s">
        <v>2306</v>
      </c>
      <c r="B1170" s="15" cm="1">
        <f t="array" ref="B1170">_xll.GetPrice("FP-LBR-0786",,"Low",_SPECIFIEDvarPubDate,)</f>
        <v>720</v>
      </c>
      <c r="C1170" s="1">
        <f t="shared" si="54"/>
        <v>45848</v>
      </c>
      <c r="D1170">
        <f t="shared" si="55"/>
        <v>2025</v>
      </c>
      <c r="E1170">
        <f t="shared" si="56"/>
        <v>7</v>
      </c>
      <c r="F1170" s="13" t="s">
        <v>2307</v>
      </c>
      <c r="G1170" s="13" t="s">
        <v>11</v>
      </c>
      <c r="H1170" s="13" t="s">
        <v>2792</v>
      </c>
    </row>
    <row r="1171" spans="1:8" x14ac:dyDescent="0.25">
      <c r="A1171" t="s">
        <v>2308</v>
      </c>
      <c r="B1171" s="15" cm="1">
        <f t="array" ref="B1171">_xll.GetPrice("FP-LBR-0791",,"Low",_SPECIFIEDvarPubDate,)</f>
        <v>825</v>
      </c>
      <c r="C1171" s="1">
        <f t="shared" si="54"/>
        <v>45848</v>
      </c>
      <c r="D1171">
        <f t="shared" si="55"/>
        <v>2025</v>
      </c>
      <c r="E1171">
        <f t="shared" si="56"/>
        <v>7</v>
      </c>
      <c r="F1171" s="13" t="s">
        <v>2309</v>
      </c>
      <c r="G1171" s="13" t="s">
        <v>11</v>
      </c>
      <c r="H1171" s="13" t="s">
        <v>2792</v>
      </c>
    </row>
    <row r="1172" spans="1:8" x14ac:dyDescent="0.25">
      <c r="A1172" t="s">
        <v>2310</v>
      </c>
      <c r="B1172" s="15" cm="1">
        <f t="array" ref="B1172">_xll.GetPrice("FP-LBR-0797",,"Low",_SPECIFIEDvarPubDate,)</f>
        <v>710</v>
      </c>
      <c r="C1172" s="1">
        <f t="shared" si="54"/>
        <v>45848</v>
      </c>
      <c r="D1172">
        <f t="shared" si="55"/>
        <v>2025</v>
      </c>
      <c r="E1172">
        <f t="shared" si="56"/>
        <v>7</v>
      </c>
      <c r="F1172" s="13" t="s">
        <v>2311</v>
      </c>
      <c r="G1172" s="13" t="s">
        <v>11</v>
      </c>
      <c r="H1172" s="13" t="s">
        <v>2792</v>
      </c>
    </row>
    <row r="1173" spans="1:8" x14ac:dyDescent="0.25">
      <c r="A1173" t="s">
        <v>2312</v>
      </c>
      <c r="B1173" s="15" cm="1">
        <f t="array" ref="B1173">_xll.GetPrice("FP-LBR-0802",,"Low",_SPECIFIEDvarPubDate,)</f>
        <v>650</v>
      </c>
      <c r="C1173" s="1">
        <f t="shared" si="54"/>
        <v>45848</v>
      </c>
      <c r="D1173">
        <f t="shared" si="55"/>
        <v>2025</v>
      </c>
      <c r="E1173">
        <f t="shared" si="56"/>
        <v>7</v>
      </c>
      <c r="F1173" s="13" t="s">
        <v>2313</v>
      </c>
      <c r="G1173" s="13" t="s">
        <v>11</v>
      </c>
      <c r="H1173" s="13" t="s">
        <v>2792</v>
      </c>
    </row>
    <row r="1174" spans="1:8" x14ac:dyDescent="0.25">
      <c r="A1174" t="s">
        <v>2314</v>
      </c>
      <c r="B1174" s="15" cm="1">
        <f t="array" ref="B1174">_xll.GetPrice("FP-LBR-0807",,"Low",_SPECIFIEDvarPubDate,)</f>
        <v>845</v>
      </c>
      <c r="C1174" s="1">
        <f t="shared" si="54"/>
        <v>45848</v>
      </c>
      <c r="D1174">
        <f t="shared" si="55"/>
        <v>2025</v>
      </c>
      <c r="E1174">
        <f t="shared" si="56"/>
        <v>7</v>
      </c>
      <c r="F1174" s="13" t="s">
        <v>2315</v>
      </c>
      <c r="G1174" s="13" t="s">
        <v>11</v>
      </c>
      <c r="H1174" s="13" t="s">
        <v>2792</v>
      </c>
    </row>
    <row r="1175" spans="1:8" x14ac:dyDescent="0.25">
      <c r="A1175" t="s">
        <v>2316</v>
      </c>
      <c r="B1175" s="15" cm="1">
        <f t="array" ref="B1175">_xll.GetPrice("FP-LBR-0777",,"Low",_SPECIFIEDvarPubDate,)</f>
        <v>870</v>
      </c>
      <c r="C1175" s="1">
        <f t="shared" si="54"/>
        <v>45848</v>
      </c>
      <c r="D1175">
        <f t="shared" si="55"/>
        <v>2025</v>
      </c>
      <c r="E1175">
        <f t="shared" si="56"/>
        <v>7</v>
      </c>
      <c r="F1175" s="13" t="s">
        <v>2317</v>
      </c>
      <c r="G1175" s="13" t="s">
        <v>11</v>
      </c>
      <c r="H1175" s="13" t="s">
        <v>2792</v>
      </c>
    </row>
    <row r="1176" spans="1:8" x14ac:dyDescent="0.25">
      <c r="A1176" t="s">
        <v>2318</v>
      </c>
      <c r="B1176" s="15" cm="1">
        <f t="array" ref="B1176">_xll.GetPrice("FP-LBR-0782",,"Low",_SPECIFIEDvarPubDate,)</f>
        <v>885</v>
      </c>
      <c r="C1176" s="1">
        <f t="shared" si="54"/>
        <v>45848</v>
      </c>
      <c r="D1176">
        <f t="shared" si="55"/>
        <v>2025</v>
      </c>
      <c r="E1176">
        <f t="shared" si="56"/>
        <v>7</v>
      </c>
      <c r="F1176" s="13" t="s">
        <v>2319</v>
      </c>
      <c r="G1176" s="13" t="s">
        <v>11</v>
      </c>
      <c r="H1176" s="13" t="s">
        <v>2792</v>
      </c>
    </row>
    <row r="1177" spans="1:8" x14ac:dyDescent="0.25">
      <c r="A1177" t="s">
        <v>2320</v>
      </c>
      <c r="B1177" s="15" cm="1">
        <f t="array" ref="B1177">_xll.GetPrice("FP-LBR-0787",,"Low",_SPECIFIEDvarPubDate,)</f>
        <v>715</v>
      </c>
      <c r="C1177" s="1">
        <f t="shared" si="54"/>
        <v>45848</v>
      </c>
      <c r="D1177">
        <f t="shared" si="55"/>
        <v>2025</v>
      </c>
      <c r="E1177">
        <f t="shared" si="56"/>
        <v>7</v>
      </c>
      <c r="F1177" s="13" t="s">
        <v>2321</v>
      </c>
      <c r="G1177" s="13" t="s">
        <v>11</v>
      </c>
      <c r="H1177" s="13" t="s">
        <v>2792</v>
      </c>
    </row>
    <row r="1178" spans="1:8" x14ac:dyDescent="0.25">
      <c r="A1178" t="s">
        <v>2322</v>
      </c>
      <c r="B1178" s="15" cm="1">
        <f t="array" ref="B1178">_xll.GetPrice("FP-LBR-0792",,"Low",_SPECIFIEDvarPubDate,)</f>
        <v>800</v>
      </c>
      <c r="C1178" s="1">
        <f t="shared" si="54"/>
        <v>45848</v>
      </c>
      <c r="D1178">
        <f t="shared" si="55"/>
        <v>2025</v>
      </c>
      <c r="E1178">
        <f t="shared" si="56"/>
        <v>7</v>
      </c>
      <c r="F1178" s="13" t="s">
        <v>2323</v>
      </c>
      <c r="G1178" s="13" t="s">
        <v>11</v>
      </c>
      <c r="H1178" s="13" t="s">
        <v>2792</v>
      </c>
    </row>
    <row r="1179" spans="1:8" x14ac:dyDescent="0.25">
      <c r="A1179" t="s">
        <v>2324</v>
      </c>
      <c r="B1179" s="15" cm="1">
        <f t="array" ref="B1179">_xll.GetPrice("FP-LBR-0902",,"Low",_SPECIFIEDvarPubDate,)</f>
        <v>60</v>
      </c>
      <c r="C1179" s="1">
        <f t="shared" si="54"/>
        <v>45848</v>
      </c>
      <c r="D1179">
        <f t="shared" si="55"/>
        <v>2025</v>
      </c>
      <c r="E1179">
        <f t="shared" si="56"/>
        <v>7</v>
      </c>
      <c r="F1179" s="13" t="s">
        <v>2325</v>
      </c>
      <c r="G1179" s="13" t="s">
        <v>11</v>
      </c>
      <c r="H1179" s="13" t="s">
        <v>2792</v>
      </c>
    </row>
    <row r="1180" spans="1:8" x14ac:dyDescent="0.25">
      <c r="A1180" t="s">
        <v>2326</v>
      </c>
      <c r="B1180" s="15" cm="1">
        <f t="array" ref="B1180">_xll.GetPrice("FP-LBR-0798",,"Low",_SPECIFIEDvarPubDate,)</f>
        <v>640</v>
      </c>
      <c r="C1180" s="1">
        <f t="shared" si="54"/>
        <v>45848</v>
      </c>
      <c r="D1180">
        <f t="shared" si="55"/>
        <v>2025</v>
      </c>
      <c r="E1180">
        <f t="shared" si="56"/>
        <v>7</v>
      </c>
      <c r="F1180" s="13" t="s">
        <v>2327</v>
      </c>
      <c r="G1180" s="13" t="s">
        <v>11</v>
      </c>
      <c r="H1180" s="13" t="s">
        <v>2792</v>
      </c>
    </row>
    <row r="1181" spans="1:8" x14ac:dyDescent="0.25">
      <c r="A1181" t="s">
        <v>2328</v>
      </c>
      <c r="B1181" s="15" cm="1">
        <f t="array" ref="B1181">_xll.GetPrice("FP-LBR-0803",,"Low",_SPECIFIEDvarPubDate,)</f>
        <v>690</v>
      </c>
      <c r="C1181" s="1">
        <f t="shared" si="54"/>
        <v>45848</v>
      </c>
      <c r="D1181">
        <f t="shared" si="55"/>
        <v>2025</v>
      </c>
      <c r="E1181">
        <f t="shared" si="56"/>
        <v>7</v>
      </c>
      <c r="F1181" s="13" t="s">
        <v>2329</v>
      </c>
      <c r="G1181" s="13" t="s">
        <v>11</v>
      </c>
      <c r="H1181" s="13" t="s">
        <v>2792</v>
      </c>
    </row>
    <row r="1182" spans="1:8" x14ac:dyDescent="0.25">
      <c r="A1182" t="s">
        <v>2330</v>
      </c>
      <c r="B1182" s="15" cm="1">
        <f t="array" ref="B1182">_xll.GetPrice("FP-LBR-0808",,"Low",_SPECIFIEDvarPubDate,)</f>
        <v>740</v>
      </c>
      <c r="C1182" s="1">
        <f t="shared" si="54"/>
        <v>45848</v>
      </c>
      <c r="D1182">
        <f t="shared" si="55"/>
        <v>2025</v>
      </c>
      <c r="E1182">
        <f t="shared" si="56"/>
        <v>7</v>
      </c>
      <c r="F1182" s="13" t="s">
        <v>2331</v>
      </c>
      <c r="G1182" s="13" t="s">
        <v>11</v>
      </c>
      <c r="H1182" s="13" t="s">
        <v>2792</v>
      </c>
    </row>
    <row r="1183" spans="1:8" x14ac:dyDescent="0.25">
      <c r="A1183" t="s">
        <v>2332</v>
      </c>
      <c r="B1183" s="15" cm="1">
        <f t="array" ref="B1183">_xll.GetPrice("FP-LBR-0778",,"Low",_SPECIFIEDvarPubDate,)</f>
        <v>805</v>
      </c>
      <c r="C1183" s="1">
        <f t="shared" si="54"/>
        <v>45848</v>
      </c>
      <c r="D1183">
        <f t="shared" si="55"/>
        <v>2025</v>
      </c>
      <c r="E1183">
        <f t="shared" si="56"/>
        <v>7</v>
      </c>
      <c r="F1183" s="13" t="s">
        <v>2333</v>
      </c>
      <c r="G1183" s="13" t="s">
        <v>11</v>
      </c>
      <c r="H1183" s="13" t="s">
        <v>2792</v>
      </c>
    </row>
    <row r="1184" spans="1:8" x14ac:dyDescent="0.25">
      <c r="A1184" t="s">
        <v>2334</v>
      </c>
      <c r="B1184" s="15" cm="1">
        <f t="array" ref="B1184">_xll.GetPrice("FP-LBR-0783",,"Low",_SPECIFIEDvarPubDate,)</f>
        <v>965</v>
      </c>
      <c r="C1184" s="1">
        <f t="shared" si="54"/>
        <v>45848</v>
      </c>
      <c r="D1184">
        <f t="shared" si="55"/>
        <v>2025</v>
      </c>
      <c r="E1184">
        <f t="shared" si="56"/>
        <v>7</v>
      </c>
      <c r="F1184" s="13" t="s">
        <v>2335</v>
      </c>
      <c r="G1184" s="13" t="s">
        <v>11</v>
      </c>
      <c r="H1184" s="13" t="s">
        <v>2792</v>
      </c>
    </row>
    <row r="1185" spans="1:8" x14ac:dyDescent="0.25">
      <c r="A1185" t="s">
        <v>2336</v>
      </c>
      <c r="B1185" s="15" cm="1">
        <f t="array" ref="B1185">_xll.GetPrice("FP-LBR-0788",,"Low",_SPECIFIEDvarPubDate,)</f>
        <v>650</v>
      </c>
      <c r="C1185" s="1">
        <f t="shared" si="54"/>
        <v>45848</v>
      </c>
      <c r="D1185">
        <f t="shared" si="55"/>
        <v>2025</v>
      </c>
      <c r="E1185">
        <f t="shared" si="56"/>
        <v>7</v>
      </c>
      <c r="F1185" s="13" t="s">
        <v>2337</v>
      </c>
      <c r="G1185" s="13" t="s">
        <v>11</v>
      </c>
      <c r="H1185" s="13" t="s">
        <v>2792</v>
      </c>
    </row>
    <row r="1186" spans="1:8" x14ac:dyDescent="0.25">
      <c r="A1186" t="s">
        <v>2338</v>
      </c>
      <c r="B1186" s="15" cm="1">
        <f t="array" ref="B1186">_xll.GetPrice("FP-LBR-0793",,"Low",_SPECIFIEDvarPubDate,)</f>
        <v>770</v>
      </c>
      <c r="C1186" s="1">
        <f t="shared" si="54"/>
        <v>45848</v>
      </c>
      <c r="D1186">
        <f t="shared" si="55"/>
        <v>2025</v>
      </c>
      <c r="E1186">
        <f t="shared" si="56"/>
        <v>7</v>
      </c>
      <c r="F1186" s="13" t="s">
        <v>2339</v>
      </c>
      <c r="G1186" s="13" t="s">
        <v>11</v>
      </c>
      <c r="H1186" s="13" t="s">
        <v>2792</v>
      </c>
    </row>
    <row r="1187" spans="1:8" x14ac:dyDescent="0.25">
      <c r="A1187" t="s">
        <v>2340</v>
      </c>
      <c r="B1187" s="15" cm="1">
        <f t="array" ref="B1187">_xll.GetPrice("FP-LBR-0902",,"High",_SPECIFIEDvarPubDate,)</f>
        <v>70</v>
      </c>
      <c r="C1187" s="1">
        <f t="shared" si="54"/>
        <v>45848</v>
      </c>
      <c r="D1187">
        <f t="shared" si="55"/>
        <v>2025</v>
      </c>
      <c r="E1187">
        <f t="shared" si="56"/>
        <v>7</v>
      </c>
      <c r="F1187" s="13" t="s">
        <v>2325</v>
      </c>
      <c r="G1187" s="13" t="s">
        <v>112</v>
      </c>
      <c r="H1187" s="13" t="s">
        <v>2792</v>
      </c>
    </row>
    <row r="1188" spans="1:8" x14ac:dyDescent="0.25">
      <c r="A1188" t="s">
        <v>2341</v>
      </c>
      <c r="B1188" s="15" cm="1">
        <f t="array" ref="B1188">_xll.GetPrice("FP-LBR-0799",,"Low",_SPECIFIEDvarPubDate,)</f>
        <v>610</v>
      </c>
      <c r="C1188" s="1">
        <f t="shared" si="54"/>
        <v>45848</v>
      </c>
      <c r="D1188">
        <f t="shared" si="55"/>
        <v>2025</v>
      </c>
      <c r="E1188">
        <f t="shared" si="56"/>
        <v>7</v>
      </c>
      <c r="F1188" s="13" t="s">
        <v>2342</v>
      </c>
      <c r="G1188" s="13" t="s">
        <v>11</v>
      </c>
      <c r="H1188" s="13" t="s">
        <v>2792</v>
      </c>
    </row>
    <row r="1189" spans="1:8" x14ac:dyDescent="0.25">
      <c r="A1189" t="s">
        <v>2343</v>
      </c>
      <c r="B1189" s="15" cm="1">
        <f t="array" ref="B1189">_xll.GetPrice("FP-LBR-0804",,"Low",_SPECIFIEDvarPubDate,)</f>
        <v>655</v>
      </c>
      <c r="C1189" s="1">
        <f t="shared" si="54"/>
        <v>45848</v>
      </c>
      <c r="D1189">
        <f t="shared" si="55"/>
        <v>2025</v>
      </c>
      <c r="E1189">
        <f t="shared" si="56"/>
        <v>7</v>
      </c>
      <c r="F1189" s="13" t="s">
        <v>2344</v>
      </c>
      <c r="G1189" s="13" t="s">
        <v>11</v>
      </c>
      <c r="H1189" s="13" t="s">
        <v>2792</v>
      </c>
    </row>
    <row r="1190" spans="1:8" x14ac:dyDescent="0.25">
      <c r="A1190" t="s">
        <v>2345</v>
      </c>
      <c r="B1190" s="15" cm="1">
        <f t="array" ref="B1190">_xll.GetPrice("FP-LBR-0809",,"Low",_SPECIFIEDvarPubDate,)</f>
        <v>675</v>
      </c>
      <c r="C1190" s="1">
        <f t="shared" si="54"/>
        <v>45848</v>
      </c>
      <c r="D1190">
        <f t="shared" si="55"/>
        <v>2025</v>
      </c>
      <c r="E1190">
        <f t="shared" si="56"/>
        <v>7</v>
      </c>
      <c r="F1190" s="13" t="s">
        <v>2346</v>
      </c>
      <c r="G1190" s="13" t="s">
        <v>11</v>
      </c>
      <c r="H1190" s="13" t="s">
        <v>2792</v>
      </c>
    </row>
    <row r="1191" spans="1:8" x14ac:dyDescent="0.25">
      <c r="A1191" t="s">
        <v>2347</v>
      </c>
      <c r="B1191" s="15" cm="1">
        <f t="array" ref="B1191">_xll.GetPrice("FP-LBR-0779",,"Low",_SPECIFIEDvarPubDate,)</f>
        <v>780</v>
      </c>
      <c r="C1191" s="1">
        <f t="shared" si="54"/>
        <v>45848</v>
      </c>
      <c r="D1191">
        <f t="shared" si="55"/>
        <v>2025</v>
      </c>
      <c r="E1191">
        <f t="shared" si="56"/>
        <v>7</v>
      </c>
      <c r="F1191" s="13" t="s">
        <v>2348</v>
      </c>
      <c r="G1191" s="13" t="s">
        <v>11</v>
      </c>
      <c r="H1191" s="13" t="s">
        <v>2792</v>
      </c>
    </row>
    <row r="1192" spans="1:8" x14ac:dyDescent="0.25">
      <c r="A1192" t="s">
        <v>2349</v>
      </c>
      <c r="B1192" s="15" cm="1">
        <f t="array" ref="B1192">_xll.GetPrice("FP-LBR-0784",,"Low",_SPECIFIEDvarPubDate,)</f>
        <v>745</v>
      </c>
      <c r="C1192" s="1">
        <f t="shared" si="54"/>
        <v>45848</v>
      </c>
      <c r="D1192">
        <f t="shared" si="55"/>
        <v>2025</v>
      </c>
      <c r="E1192">
        <f t="shared" si="56"/>
        <v>7</v>
      </c>
      <c r="F1192" s="13" t="s">
        <v>2350</v>
      </c>
      <c r="G1192" s="13" t="s">
        <v>11</v>
      </c>
      <c r="H1192" s="13" t="s">
        <v>2792</v>
      </c>
    </row>
    <row r="1193" spans="1:8" x14ac:dyDescent="0.25">
      <c r="A1193" t="s">
        <v>2351</v>
      </c>
      <c r="B1193" s="15" cm="1">
        <f t="array" ref="B1193">_xll.GetPrice("FP-LBR-0789",,"Low",_SPECIFIEDvarPubDate,)</f>
        <v>580</v>
      </c>
      <c r="C1193" s="1">
        <f t="shared" si="54"/>
        <v>45848</v>
      </c>
      <c r="D1193">
        <f t="shared" si="55"/>
        <v>2025</v>
      </c>
      <c r="E1193">
        <f t="shared" si="56"/>
        <v>7</v>
      </c>
      <c r="F1193" s="13" t="s">
        <v>2352</v>
      </c>
      <c r="G1193" s="13" t="s">
        <v>11</v>
      </c>
      <c r="H1193" s="13" t="s">
        <v>2792</v>
      </c>
    </row>
    <row r="1194" spans="1:8" x14ac:dyDescent="0.25">
      <c r="A1194" t="s">
        <v>2353</v>
      </c>
      <c r="B1194" s="15" cm="1">
        <f t="array" ref="B1194">_xll.GetPrice("FP-LBR-0794",,"Low",_SPECIFIEDvarPubDate,)</f>
        <v>705</v>
      </c>
      <c r="C1194" s="1">
        <f t="shared" si="54"/>
        <v>45848</v>
      </c>
      <c r="D1194">
        <f t="shared" si="55"/>
        <v>2025</v>
      </c>
      <c r="E1194">
        <f t="shared" si="56"/>
        <v>7</v>
      </c>
      <c r="F1194" s="13" t="s">
        <v>2354</v>
      </c>
      <c r="G1194" s="13" t="s">
        <v>11</v>
      </c>
      <c r="H1194" s="13" t="s">
        <v>2792</v>
      </c>
    </row>
    <row r="1195" spans="1:8" x14ac:dyDescent="0.25">
      <c r="A1195" t="s">
        <v>2355</v>
      </c>
      <c r="B1195" s="15" cm="1">
        <f t="array" ref="B1195">_xll.GetPrice("FP-LBR-0800",,"Low",_SPECIFIEDvarPubDate,)</f>
        <v>700</v>
      </c>
      <c r="C1195" s="1">
        <f t="shared" si="54"/>
        <v>45848</v>
      </c>
      <c r="D1195">
        <f t="shared" si="55"/>
        <v>2025</v>
      </c>
      <c r="E1195">
        <f t="shared" si="56"/>
        <v>7</v>
      </c>
      <c r="F1195" s="13" t="s">
        <v>2356</v>
      </c>
      <c r="G1195" s="13" t="s">
        <v>11</v>
      </c>
      <c r="H1195" s="13" t="s">
        <v>2792</v>
      </c>
    </row>
    <row r="1196" spans="1:8" x14ac:dyDescent="0.25">
      <c r="A1196" t="s">
        <v>2357</v>
      </c>
      <c r="B1196" s="15" cm="1">
        <f t="array" ref="B1196">_xll.GetPrice("FP-LBR-0805",,"Low",_SPECIFIEDvarPubDate,)</f>
        <v>690</v>
      </c>
      <c r="C1196" s="1">
        <f t="shared" si="54"/>
        <v>45848</v>
      </c>
      <c r="D1196">
        <f t="shared" si="55"/>
        <v>2025</v>
      </c>
      <c r="E1196">
        <f t="shared" si="56"/>
        <v>7</v>
      </c>
      <c r="F1196" s="13" t="s">
        <v>2358</v>
      </c>
      <c r="G1196" s="13" t="s">
        <v>11</v>
      </c>
      <c r="H1196" s="13" t="s">
        <v>2792</v>
      </c>
    </row>
    <row r="1197" spans="1:8" x14ac:dyDescent="0.25">
      <c r="A1197" t="s">
        <v>2359</v>
      </c>
      <c r="B1197" s="15" cm="1">
        <f t="array" ref="B1197">_xll.GetPrice("FP-LBR-0810",,"Low",_SPECIFIEDvarPubDate,)</f>
        <v>785</v>
      </c>
      <c r="C1197" s="1">
        <f t="shared" si="54"/>
        <v>45848</v>
      </c>
      <c r="D1197">
        <f t="shared" si="55"/>
        <v>2025</v>
      </c>
      <c r="E1197">
        <f t="shared" si="56"/>
        <v>7</v>
      </c>
      <c r="F1197" s="13" t="s">
        <v>2360</v>
      </c>
      <c r="G1197" s="13" t="s">
        <v>11</v>
      </c>
      <c r="H1197" s="13" t="s">
        <v>2792</v>
      </c>
    </row>
    <row r="1198" spans="1:8" x14ac:dyDescent="0.25">
      <c r="A1198" t="s">
        <v>2361</v>
      </c>
      <c r="B1198" s="15" cm="1">
        <f t="array" ref="B1198">_xll.GetPrice("FP-LBR-0780",,"Low",_SPECIFIEDvarPubDate,)</f>
        <v>895</v>
      </c>
      <c r="C1198" s="1">
        <f t="shared" si="54"/>
        <v>45848</v>
      </c>
      <c r="D1198">
        <f t="shared" si="55"/>
        <v>2025</v>
      </c>
      <c r="E1198">
        <f t="shared" si="56"/>
        <v>7</v>
      </c>
      <c r="F1198" s="13" t="s">
        <v>2362</v>
      </c>
      <c r="G1198" s="13" t="s">
        <v>11</v>
      </c>
      <c r="H1198" s="13" t="s">
        <v>2792</v>
      </c>
    </row>
    <row r="1199" spans="1:8" x14ac:dyDescent="0.25">
      <c r="A1199" t="s">
        <v>2363</v>
      </c>
      <c r="B1199" s="15" cm="1">
        <f t="array" ref="B1199">_xll.GetPrice("FP-LBR-0785",,"Low",_SPECIFIEDvarPubDate,)</f>
        <v>1110</v>
      </c>
      <c r="C1199" s="1">
        <f t="shared" si="54"/>
        <v>45848</v>
      </c>
      <c r="D1199">
        <f t="shared" si="55"/>
        <v>2025</v>
      </c>
      <c r="E1199">
        <f t="shared" si="56"/>
        <v>7</v>
      </c>
      <c r="F1199" s="13" t="s">
        <v>2364</v>
      </c>
      <c r="G1199" s="13" t="s">
        <v>11</v>
      </c>
      <c r="H1199" s="13" t="s">
        <v>2792</v>
      </c>
    </row>
    <row r="1200" spans="1:8" x14ac:dyDescent="0.25">
      <c r="A1200" t="s">
        <v>2365</v>
      </c>
      <c r="B1200" s="15" cm="1">
        <f t="array" ref="B1200">_xll.GetPrice("FP-LBR-0790",,"Low",_SPECIFIEDvarPubDate,)</f>
        <v>660</v>
      </c>
      <c r="C1200" s="1">
        <f t="shared" si="54"/>
        <v>45848</v>
      </c>
      <c r="D1200">
        <f t="shared" si="55"/>
        <v>2025</v>
      </c>
      <c r="E1200">
        <f t="shared" si="56"/>
        <v>7</v>
      </c>
      <c r="F1200" s="13" t="s">
        <v>2366</v>
      </c>
      <c r="G1200" s="13" t="s">
        <v>11</v>
      </c>
      <c r="H1200" s="13" t="s">
        <v>2792</v>
      </c>
    </row>
    <row r="1201" spans="1:8" x14ac:dyDescent="0.25">
      <c r="A1201" t="s">
        <v>2367</v>
      </c>
      <c r="B1201" s="15" cm="1">
        <f t="array" ref="B1201">_xll.GetPrice("FP-LBR-0795",,"Low",_SPECIFIEDvarPubDate,)</f>
        <v>845</v>
      </c>
      <c r="C1201" s="1">
        <f t="shared" si="54"/>
        <v>45848</v>
      </c>
      <c r="D1201">
        <f t="shared" si="55"/>
        <v>2025</v>
      </c>
      <c r="E1201">
        <f t="shared" si="56"/>
        <v>7</v>
      </c>
      <c r="F1201" s="13" t="s">
        <v>2368</v>
      </c>
      <c r="G1201" s="13" t="s">
        <v>11</v>
      </c>
      <c r="H1201" s="13" t="s">
        <v>2792</v>
      </c>
    </row>
    <row r="1202" spans="1:8" x14ac:dyDescent="0.25">
      <c r="A1202" t="s">
        <v>2369</v>
      </c>
      <c r="B1202" s="15" cm="1">
        <f t="array" ref="B1202">_xll.GetPrice("FP-LBR-1862",,"Low",_SPECIFIEDvarPubDate,)</f>
        <v>625</v>
      </c>
      <c r="C1202" s="1">
        <f t="shared" si="54"/>
        <v>45848</v>
      </c>
      <c r="D1202">
        <f t="shared" si="55"/>
        <v>2025</v>
      </c>
      <c r="E1202">
        <f t="shared" si="56"/>
        <v>7</v>
      </c>
      <c r="F1202" s="13" t="s">
        <v>2370</v>
      </c>
      <c r="G1202" s="13" t="s">
        <v>11</v>
      </c>
      <c r="H1202" s="13" t="s">
        <v>2792</v>
      </c>
    </row>
    <row r="1203" spans="1:8" x14ac:dyDescent="0.25">
      <c r="A1203" t="s">
        <v>2371</v>
      </c>
      <c r="B1203" s="15" cm="1">
        <f t="array" ref="B1203">_xll.GetPrice("FP-LBR-1920",,"Low",_SPECIFIEDvarPubDate,)</f>
        <v>585</v>
      </c>
      <c r="C1203" s="1">
        <f t="shared" si="54"/>
        <v>45848</v>
      </c>
      <c r="D1203">
        <f t="shared" si="55"/>
        <v>2025</v>
      </c>
      <c r="E1203">
        <f t="shared" si="56"/>
        <v>7</v>
      </c>
      <c r="F1203" s="13" t="s">
        <v>2372</v>
      </c>
      <c r="G1203" s="13" t="s">
        <v>11</v>
      </c>
      <c r="H1203" s="13" t="s">
        <v>2792</v>
      </c>
    </row>
    <row r="1204" spans="1:8" x14ac:dyDescent="0.25">
      <c r="A1204" t="s">
        <v>2373</v>
      </c>
      <c r="B1204" s="15" cm="1">
        <f t="array" ref="B1204">_xll.GetPrice("FP-LBR-1956",,"Low",_SPECIFIEDvarPubDate,)</f>
        <v>497</v>
      </c>
      <c r="C1204" s="1">
        <f t="shared" si="54"/>
        <v>45848</v>
      </c>
      <c r="D1204">
        <f t="shared" si="55"/>
        <v>2025</v>
      </c>
      <c r="E1204">
        <f t="shared" si="56"/>
        <v>7</v>
      </c>
      <c r="F1204" s="13" t="s">
        <v>2374</v>
      </c>
      <c r="G1204" s="13" t="s">
        <v>11</v>
      </c>
      <c r="H1204" s="13" t="s">
        <v>2792</v>
      </c>
    </row>
    <row r="1205" spans="1:8" x14ac:dyDescent="0.25">
      <c r="A1205" t="s">
        <v>2375</v>
      </c>
      <c r="B1205" s="15" cm="1">
        <f t="array" ref="B1205">_xll.GetPrice("FP-LBR-1323",,"Low",_SPECIFIEDvarPubDate,)</f>
        <v>455</v>
      </c>
      <c r="C1205" s="1">
        <f t="shared" si="54"/>
        <v>45848</v>
      </c>
      <c r="D1205">
        <f t="shared" si="55"/>
        <v>2025</v>
      </c>
      <c r="E1205">
        <f t="shared" si="56"/>
        <v>7</v>
      </c>
      <c r="F1205" s="13" t="s">
        <v>2376</v>
      </c>
      <c r="G1205" s="13" t="s">
        <v>11</v>
      </c>
      <c r="H1205" s="13" t="s">
        <v>2792</v>
      </c>
    </row>
    <row r="1206" spans="1:8" x14ac:dyDescent="0.25">
      <c r="A1206" t="s">
        <v>2377</v>
      </c>
      <c r="B1206" s="15" cm="1">
        <f t="array" ref="B1206">_xll.GetPrice("FP-LBR-1325",,"Low",_SPECIFIEDvarPubDate,)</f>
        <v>455</v>
      </c>
      <c r="C1206" s="1">
        <f t="shared" si="54"/>
        <v>45848</v>
      </c>
      <c r="D1206">
        <f t="shared" si="55"/>
        <v>2025</v>
      </c>
      <c r="E1206">
        <f t="shared" si="56"/>
        <v>7</v>
      </c>
      <c r="F1206" s="13" t="s">
        <v>2378</v>
      </c>
      <c r="G1206" s="13" t="s">
        <v>11</v>
      </c>
      <c r="H1206" s="13" t="s">
        <v>2792</v>
      </c>
    </row>
    <row r="1207" spans="1:8" x14ac:dyDescent="0.25">
      <c r="A1207" t="s">
        <v>2379</v>
      </c>
      <c r="B1207" s="15" cm="1">
        <f t="array" ref="B1207">_xll.GetPrice("FP-LBR-1326",,"Low",_SPECIFIEDvarPubDate,)</f>
        <v>460</v>
      </c>
      <c r="C1207" s="1">
        <f t="shared" si="54"/>
        <v>45848</v>
      </c>
      <c r="D1207">
        <f t="shared" si="55"/>
        <v>2025</v>
      </c>
      <c r="E1207">
        <f t="shared" si="56"/>
        <v>7</v>
      </c>
      <c r="F1207" s="13" t="s">
        <v>2380</v>
      </c>
      <c r="G1207" s="13" t="s">
        <v>11</v>
      </c>
      <c r="H1207" s="13" t="s">
        <v>2792</v>
      </c>
    </row>
    <row r="1208" spans="1:8" x14ac:dyDescent="0.25">
      <c r="A1208" t="s">
        <v>2381</v>
      </c>
      <c r="B1208" s="15" cm="1">
        <f t="array" ref="B1208">_xll.GetPrice("FP-LBR-1327",,"Low",_SPECIFIEDvarPubDate,)</f>
        <v>585</v>
      </c>
      <c r="C1208" s="1">
        <f t="shared" si="54"/>
        <v>45848</v>
      </c>
      <c r="D1208">
        <f t="shared" si="55"/>
        <v>2025</v>
      </c>
      <c r="E1208">
        <f t="shared" si="56"/>
        <v>7</v>
      </c>
      <c r="F1208" s="13" t="s">
        <v>2382</v>
      </c>
      <c r="G1208" s="13" t="s">
        <v>11</v>
      </c>
      <c r="H1208" s="13" t="s">
        <v>2792</v>
      </c>
    </row>
    <row r="1209" spans="1:8" x14ac:dyDescent="0.25">
      <c r="A1209" t="s">
        <v>2383</v>
      </c>
      <c r="B1209" s="15" cm="1">
        <f t="array" ref="B1209">_xll.GetPrice("FP-LBR-1328",,"Low",_SPECIFIEDvarPubDate,)</f>
        <v>530</v>
      </c>
      <c r="C1209" s="1">
        <f t="shared" si="54"/>
        <v>45848</v>
      </c>
      <c r="D1209">
        <f t="shared" si="55"/>
        <v>2025</v>
      </c>
      <c r="E1209">
        <f t="shared" si="56"/>
        <v>7</v>
      </c>
      <c r="F1209" s="13" t="s">
        <v>2384</v>
      </c>
      <c r="G1209" s="13" t="s">
        <v>11</v>
      </c>
      <c r="H1209" s="13" t="s">
        <v>2792</v>
      </c>
    </row>
    <row r="1210" spans="1:8" x14ac:dyDescent="0.25">
      <c r="A1210" t="s">
        <v>2385</v>
      </c>
      <c r="B1210" s="15" cm="1">
        <f t="array" ref="B1210">_xll.GetPrice("FP-LBR-0147",,"Low",_SPECIFIEDvarPubDate,)</f>
        <v>1315</v>
      </c>
      <c r="C1210" s="1">
        <f t="shared" si="54"/>
        <v>45848</v>
      </c>
      <c r="D1210">
        <f t="shared" si="55"/>
        <v>2025</v>
      </c>
      <c r="E1210">
        <f t="shared" si="56"/>
        <v>7</v>
      </c>
      <c r="F1210" s="13" t="s">
        <v>2386</v>
      </c>
      <c r="G1210" s="13" t="s">
        <v>11</v>
      </c>
      <c r="H1210" s="13" t="s">
        <v>2792</v>
      </c>
    </row>
    <row r="1211" spans="1:8" x14ac:dyDescent="0.25">
      <c r="A1211" t="s">
        <v>2387</v>
      </c>
      <c r="B1211" s="15" cm="1">
        <f t="array" ref="B1211">_xll.GetPrice("FP-LBR-0148",,"Low",_SPECIFIEDvarPubDate,)</f>
        <v>1470</v>
      </c>
      <c r="C1211" s="1">
        <f t="shared" si="54"/>
        <v>45848</v>
      </c>
      <c r="D1211">
        <f t="shared" si="55"/>
        <v>2025</v>
      </c>
      <c r="E1211">
        <f t="shared" si="56"/>
        <v>7</v>
      </c>
      <c r="F1211" s="13" t="s">
        <v>2388</v>
      </c>
      <c r="G1211" s="13" t="s">
        <v>11</v>
      </c>
      <c r="H1211" s="13" t="s">
        <v>2792</v>
      </c>
    </row>
    <row r="1212" spans="1:8" x14ac:dyDescent="0.25">
      <c r="A1212" t="s">
        <v>2389</v>
      </c>
      <c r="B1212" s="15" cm="1">
        <f t="array" ref="B1212">_xll.GetPrice("FP-LBR-0258",,"Low",_SPECIFIEDvarPubDate,)</f>
        <v>525</v>
      </c>
      <c r="C1212" s="1">
        <f t="shared" si="54"/>
        <v>45848</v>
      </c>
      <c r="D1212">
        <f t="shared" si="55"/>
        <v>2025</v>
      </c>
      <c r="E1212">
        <f t="shared" si="56"/>
        <v>7</v>
      </c>
      <c r="F1212" s="13" t="s">
        <v>2390</v>
      </c>
      <c r="G1212" s="13" t="s">
        <v>11</v>
      </c>
      <c r="H1212" s="13" t="s">
        <v>2792</v>
      </c>
    </row>
    <row r="1213" spans="1:8" x14ac:dyDescent="0.25">
      <c r="A1213" t="s">
        <v>2391</v>
      </c>
      <c r="B1213" s="15" cm="1">
        <f t="array" ref="B1213">_xll.GetPrice("FP-LBR-0408",,"Low",_SPECIFIEDvarPubDate,)</f>
        <v>330</v>
      </c>
      <c r="C1213" s="1">
        <f t="shared" si="54"/>
        <v>45848</v>
      </c>
      <c r="D1213">
        <f t="shared" si="55"/>
        <v>2025</v>
      </c>
      <c r="E1213">
        <f t="shared" si="56"/>
        <v>7</v>
      </c>
      <c r="F1213" s="13" t="s">
        <v>2392</v>
      </c>
      <c r="G1213" s="13" t="s">
        <v>11</v>
      </c>
      <c r="H1213" s="13" t="s">
        <v>2792</v>
      </c>
    </row>
    <row r="1214" spans="1:8" x14ac:dyDescent="0.25">
      <c r="A1214" t="s">
        <v>2393</v>
      </c>
      <c r="B1214" s="15" cm="1">
        <f t="array" ref="B1214">_xll.GetPrice("FP-LBR-0421",,"Low",_SPECIFIEDvarPubDate,)</f>
        <v>433</v>
      </c>
      <c r="C1214" s="1">
        <f t="shared" si="54"/>
        <v>45848</v>
      </c>
      <c r="D1214">
        <f t="shared" si="55"/>
        <v>2025</v>
      </c>
      <c r="E1214">
        <f t="shared" si="56"/>
        <v>7</v>
      </c>
      <c r="F1214" s="13" t="s">
        <v>2394</v>
      </c>
      <c r="G1214" s="13" t="s">
        <v>11</v>
      </c>
      <c r="H1214" s="13" t="s">
        <v>2792</v>
      </c>
    </row>
    <row r="1215" spans="1:8" x14ac:dyDescent="0.25">
      <c r="A1215" t="s">
        <v>2395</v>
      </c>
      <c r="B1215" s="15" cm="1">
        <f t="array" ref="B1215">_xll.GetPrice("FP-LBR-0543",,"Low",_SPECIFIEDvarPubDate,)</f>
        <v>549</v>
      </c>
      <c r="C1215" s="1">
        <f t="shared" si="54"/>
        <v>45848</v>
      </c>
      <c r="D1215">
        <f t="shared" si="55"/>
        <v>2025</v>
      </c>
      <c r="E1215">
        <f t="shared" si="56"/>
        <v>7</v>
      </c>
      <c r="F1215" s="13" t="s">
        <v>2396</v>
      </c>
      <c r="G1215" s="13" t="s">
        <v>11</v>
      </c>
      <c r="H1215" s="13" t="s">
        <v>2792</v>
      </c>
    </row>
    <row r="1216" spans="1:8" x14ac:dyDescent="0.25">
      <c r="A1216" t="s">
        <v>2397</v>
      </c>
      <c r="B1216" s="15" cm="1">
        <f t="array" ref="B1216">_xll.GetPrice("FP-LBR-0550",,"Low",_SPECIFIEDvarPubDate,)</f>
        <v>573</v>
      </c>
      <c r="C1216" s="1">
        <f t="shared" si="54"/>
        <v>45848</v>
      </c>
      <c r="D1216">
        <f t="shared" si="55"/>
        <v>2025</v>
      </c>
      <c r="E1216">
        <f t="shared" si="56"/>
        <v>7</v>
      </c>
      <c r="F1216" s="13" t="s">
        <v>2398</v>
      </c>
      <c r="G1216" s="13" t="s">
        <v>11</v>
      </c>
      <c r="H1216" s="13" t="s">
        <v>2792</v>
      </c>
    </row>
    <row r="1217" spans="1:8" x14ac:dyDescent="0.25">
      <c r="A1217" t="s">
        <v>2399</v>
      </c>
      <c r="B1217" s="15" cm="1">
        <f t="array" ref="B1217">_xll.GetPrice("FP-LBR-1205",,"Low",_SPECIFIEDvarPubDate,)</f>
        <v>130</v>
      </c>
      <c r="C1217" s="1">
        <f t="shared" ref="C1217:C1280" si="57">_SPECIFIEDvarPubDate</f>
        <v>45848</v>
      </c>
      <c r="D1217">
        <f t="shared" ref="D1217:D1280" si="58">_SPECIFIEDvarYear</f>
        <v>2025</v>
      </c>
      <c r="E1217">
        <f t="shared" ref="E1217:E1280" si="59">_SPECIFIEDvarMonth</f>
        <v>7</v>
      </c>
      <c r="F1217" s="13" t="s">
        <v>2400</v>
      </c>
      <c r="G1217" s="13" t="s">
        <v>11</v>
      </c>
      <c r="H1217" s="13" t="s">
        <v>2792</v>
      </c>
    </row>
    <row r="1218" spans="1:8" x14ac:dyDescent="0.25">
      <c r="A1218" t="s">
        <v>2401</v>
      </c>
      <c r="B1218" s="15" cm="1">
        <f t="array" ref="B1218">_xll.GetPrice("FP-LBR-1318",,"Low",_SPECIFIEDvarPubDate,)</f>
        <v>460</v>
      </c>
      <c r="C1218" s="1">
        <f t="shared" si="57"/>
        <v>45848</v>
      </c>
      <c r="D1218">
        <f t="shared" si="58"/>
        <v>2025</v>
      </c>
      <c r="E1218">
        <f t="shared" si="59"/>
        <v>7</v>
      </c>
      <c r="F1218" s="13" t="s">
        <v>2402</v>
      </c>
      <c r="G1218" s="13" t="s">
        <v>11</v>
      </c>
      <c r="H1218" s="13" t="s">
        <v>2792</v>
      </c>
    </row>
    <row r="1219" spans="1:8" x14ac:dyDescent="0.25">
      <c r="A1219" t="s">
        <v>2403</v>
      </c>
      <c r="B1219" s="15" cm="1">
        <f t="array" ref="B1219">_xll.GetPrice("FP-LBR-1324",,"Low",_SPECIFIEDvarPubDate,)</f>
        <v>505</v>
      </c>
      <c r="C1219" s="1">
        <f t="shared" si="57"/>
        <v>45848</v>
      </c>
      <c r="D1219">
        <f t="shared" si="58"/>
        <v>2025</v>
      </c>
      <c r="E1219">
        <f t="shared" si="59"/>
        <v>7</v>
      </c>
      <c r="F1219" s="13" t="s">
        <v>2404</v>
      </c>
      <c r="G1219" s="13" t="s">
        <v>11</v>
      </c>
      <c r="H1219" s="13" t="s">
        <v>2792</v>
      </c>
    </row>
    <row r="1220" spans="1:8" x14ac:dyDescent="0.25">
      <c r="A1220" t="s">
        <v>2405</v>
      </c>
      <c r="B1220" s="15" cm="1">
        <f t="array" ref="B1220">_xll.GetPrice("FP-LBR-1207",,"Low",_SPECIFIEDvarPubDate,)</f>
        <v>625</v>
      </c>
      <c r="C1220" s="1">
        <f t="shared" si="57"/>
        <v>45848</v>
      </c>
      <c r="D1220">
        <f t="shared" si="58"/>
        <v>2025</v>
      </c>
      <c r="E1220">
        <f t="shared" si="59"/>
        <v>7</v>
      </c>
      <c r="F1220" s="13" t="s">
        <v>2406</v>
      </c>
      <c r="G1220" s="13" t="s">
        <v>11</v>
      </c>
      <c r="H1220" s="13" t="s">
        <v>2792</v>
      </c>
    </row>
    <row r="1221" spans="1:8" x14ac:dyDescent="0.25">
      <c r="A1221" t="s">
        <v>2407</v>
      </c>
      <c r="B1221" s="15" cm="1">
        <f t="array" ref="B1221">_xll.GetPrice("FP-LBR-0510",,"Low",_SPECIFIEDvarPubDate,)</f>
        <v>112</v>
      </c>
      <c r="C1221" s="1">
        <f t="shared" si="57"/>
        <v>45848</v>
      </c>
      <c r="D1221">
        <f t="shared" si="58"/>
        <v>2025</v>
      </c>
      <c r="E1221">
        <f t="shared" si="59"/>
        <v>7</v>
      </c>
      <c r="F1221" s="13" t="s">
        <v>2408</v>
      </c>
      <c r="G1221" s="13" t="s">
        <v>11</v>
      </c>
      <c r="H1221" s="13" t="s">
        <v>2792</v>
      </c>
    </row>
    <row r="1222" spans="1:8" x14ac:dyDescent="0.25">
      <c r="A1222" t="s">
        <v>2409</v>
      </c>
      <c r="B1222" s="15" cm="1">
        <f t="array" ref="B1222">_xll.GetPrice("FP-LBR-0511",,"Low",_SPECIFIEDvarPubDate,)</f>
        <v>116</v>
      </c>
      <c r="C1222" s="1">
        <f t="shared" si="57"/>
        <v>45848</v>
      </c>
      <c r="D1222">
        <f t="shared" si="58"/>
        <v>2025</v>
      </c>
      <c r="E1222">
        <f t="shared" si="59"/>
        <v>7</v>
      </c>
      <c r="F1222" s="13" t="s">
        <v>2410</v>
      </c>
      <c r="G1222" s="13" t="s">
        <v>11</v>
      </c>
      <c r="H1222" s="13" t="s">
        <v>2792</v>
      </c>
    </row>
    <row r="1223" spans="1:8" x14ac:dyDescent="0.25">
      <c r="A1223" t="s">
        <v>2411</v>
      </c>
      <c r="B1223" s="15" cm="1">
        <f t="array" ref="B1223">_xll.GetPrice("FP-LBR-0512",,"Low",_SPECIFIEDvarPubDate,)</f>
        <v>112</v>
      </c>
      <c r="C1223" s="1">
        <f t="shared" si="57"/>
        <v>45848</v>
      </c>
      <c r="D1223">
        <f t="shared" si="58"/>
        <v>2025</v>
      </c>
      <c r="E1223">
        <f t="shared" si="59"/>
        <v>7</v>
      </c>
      <c r="F1223" s="13" t="s">
        <v>2412</v>
      </c>
      <c r="G1223" s="13" t="s">
        <v>11</v>
      </c>
      <c r="H1223" s="13" t="s">
        <v>2792</v>
      </c>
    </row>
    <row r="1224" spans="1:8" x14ac:dyDescent="0.25">
      <c r="A1224" t="s">
        <v>2413</v>
      </c>
      <c r="B1224" s="15" cm="1">
        <f t="array" ref="B1224">_xll.GetPrice("FP-LBR-0513",,"Low",_SPECIFIEDvarPubDate,)</f>
        <v>126</v>
      </c>
      <c r="C1224" s="1">
        <f t="shared" si="57"/>
        <v>45848</v>
      </c>
      <c r="D1224">
        <f t="shared" si="58"/>
        <v>2025</v>
      </c>
      <c r="E1224">
        <f t="shared" si="59"/>
        <v>7</v>
      </c>
      <c r="F1224" s="13" t="s">
        <v>2414</v>
      </c>
      <c r="G1224" s="13" t="s">
        <v>11</v>
      </c>
      <c r="H1224" s="13" t="s">
        <v>2792</v>
      </c>
    </row>
    <row r="1225" spans="1:8" x14ac:dyDescent="0.25">
      <c r="A1225" t="s">
        <v>2415</v>
      </c>
      <c r="B1225" s="15" cm="1">
        <f t="array" ref="B1225">_xll.GetPrice("FP-LBR-0514",,"Low",_SPECIFIEDvarPubDate,)</f>
        <v>132</v>
      </c>
      <c r="C1225" s="1">
        <f t="shared" si="57"/>
        <v>45848</v>
      </c>
      <c r="D1225">
        <f t="shared" si="58"/>
        <v>2025</v>
      </c>
      <c r="E1225">
        <f t="shared" si="59"/>
        <v>7</v>
      </c>
      <c r="F1225" s="13" t="s">
        <v>2416</v>
      </c>
      <c r="G1225" s="13" t="s">
        <v>11</v>
      </c>
      <c r="H1225" s="13" t="s">
        <v>2792</v>
      </c>
    </row>
    <row r="1226" spans="1:8" x14ac:dyDescent="0.25">
      <c r="A1226" t="s">
        <v>2417</v>
      </c>
      <c r="B1226" s="15" cm="1">
        <f t="array" ref="B1226">_xll.GetPrice("FP-LBR-1399",,"Low",_SPECIFIEDvarPubDate,)</f>
        <v>555</v>
      </c>
      <c r="C1226" s="1">
        <f t="shared" si="57"/>
        <v>45848</v>
      </c>
      <c r="D1226">
        <f t="shared" si="58"/>
        <v>2025</v>
      </c>
      <c r="E1226">
        <f t="shared" si="59"/>
        <v>7</v>
      </c>
      <c r="F1226" s="13" t="s">
        <v>2418</v>
      </c>
      <c r="G1226" s="13" t="s">
        <v>11</v>
      </c>
      <c r="H1226" s="13" t="s">
        <v>2792</v>
      </c>
    </row>
    <row r="1227" spans="1:8" x14ac:dyDescent="0.25">
      <c r="A1227" t="s">
        <v>2419</v>
      </c>
      <c r="B1227" s="15" cm="1">
        <f t="array" ref="B1227">_xll.GetPrice("FP-LBR-1404",,"Low",_SPECIFIEDvarPubDate,)</f>
        <v>575</v>
      </c>
      <c r="C1227" s="1">
        <f t="shared" si="57"/>
        <v>45848</v>
      </c>
      <c r="D1227">
        <f t="shared" si="58"/>
        <v>2025</v>
      </c>
      <c r="E1227">
        <f t="shared" si="59"/>
        <v>7</v>
      </c>
      <c r="F1227" s="13" t="s">
        <v>2420</v>
      </c>
      <c r="G1227" s="13" t="s">
        <v>11</v>
      </c>
      <c r="H1227" s="13" t="s">
        <v>2792</v>
      </c>
    </row>
    <row r="1228" spans="1:8" x14ac:dyDescent="0.25">
      <c r="A1228" t="s">
        <v>2421</v>
      </c>
      <c r="B1228" s="15" cm="1">
        <f t="array" ref="B1228">_xll.GetPrice("FP-LBR-0279",,"Low",_SPECIFIEDvarPubDate,)</f>
        <v>790</v>
      </c>
      <c r="C1228" s="1">
        <f t="shared" si="57"/>
        <v>45848</v>
      </c>
      <c r="D1228">
        <f t="shared" si="58"/>
        <v>2025</v>
      </c>
      <c r="E1228">
        <f t="shared" si="59"/>
        <v>7</v>
      </c>
      <c r="F1228" s="13" t="s">
        <v>2422</v>
      </c>
      <c r="G1228" s="13" t="s">
        <v>11</v>
      </c>
      <c r="H1228" s="13" t="s">
        <v>2792</v>
      </c>
    </row>
    <row r="1229" spans="1:8" x14ac:dyDescent="0.25">
      <c r="A1229" t="s">
        <v>2423</v>
      </c>
      <c r="B1229" s="15" cm="1">
        <f t="array" ref="B1229">_xll.GetPrice("FP-LBR-0280",,"Low",_SPECIFIEDvarPubDate,)</f>
        <v>790</v>
      </c>
      <c r="C1229" s="1">
        <f t="shared" si="57"/>
        <v>45848</v>
      </c>
      <c r="D1229">
        <f t="shared" si="58"/>
        <v>2025</v>
      </c>
      <c r="E1229">
        <f t="shared" si="59"/>
        <v>7</v>
      </c>
      <c r="F1229" s="13" t="s">
        <v>2424</v>
      </c>
      <c r="G1229" s="13" t="s">
        <v>11</v>
      </c>
      <c r="H1229" s="13" t="s">
        <v>2792</v>
      </c>
    </row>
    <row r="1230" spans="1:8" x14ac:dyDescent="0.25">
      <c r="A1230" t="s">
        <v>2425</v>
      </c>
      <c r="B1230" s="15" cm="1">
        <f t="array" ref="B1230">_xll.GetPrice("FP-LBR-0281",,"Low",_SPECIFIEDvarPubDate,)</f>
        <v>795</v>
      </c>
      <c r="C1230" s="1">
        <f t="shared" si="57"/>
        <v>45848</v>
      </c>
      <c r="D1230">
        <f t="shared" si="58"/>
        <v>2025</v>
      </c>
      <c r="E1230">
        <f t="shared" si="59"/>
        <v>7</v>
      </c>
      <c r="F1230" s="13" t="s">
        <v>2426</v>
      </c>
      <c r="G1230" s="13" t="s">
        <v>11</v>
      </c>
      <c r="H1230" s="13" t="s">
        <v>2792</v>
      </c>
    </row>
    <row r="1231" spans="1:8" x14ac:dyDescent="0.25">
      <c r="A1231" t="s">
        <v>2427</v>
      </c>
      <c r="B1231" s="15" cm="1">
        <f t="array" ref="B1231">_xll.GetPrice("FP-LBR-1930",,"Low",_SPECIFIEDvarPubDate,)</f>
        <v>738</v>
      </c>
      <c r="C1231" s="1">
        <f t="shared" si="57"/>
        <v>45848</v>
      </c>
      <c r="D1231">
        <f t="shared" si="58"/>
        <v>2025</v>
      </c>
      <c r="E1231">
        <f t="shared" si="59"/>
        <v>7</v>
      </c>
      <c r="F1231" s="13" t="s">
        <v>2428</v>
      </c>
      <c r="G1231" s="13" t="s">
        <v>11</v>
      </c>
      <c r="H1231" s="13" t="s">
        <v>2792</v>
      </c>
    </row>
    <row r="1232" spans="1:8" x14ac:dyDescent="0.25">
      <c r="A1232" t="s">
        <v>2429</v>
      </c>
      <c r="B1232" s="15" cm="1">
        <f t="array" ref="B1232">_xll.GetPrice("FP-LBR-1885",,"Low",_SPECIFIEDvarPubDate,)</f>
        <v>608</v>
      </c>
      <c r="C1232" s="1">
        <f t="shared" si="57"/>
        <v>45848</v>
      </c>
      <c r="D1232">
        <f t="shared" si="58"/>
        <v>2025</v>
      </c>
      <c r="E1232">
        <f t="shared" si="59"/>
        <v>7</v>
      </c>
      <c r="F1232" s="13" t="s">
        <v>2430</v>
      </c>
      <c r="G1232" s="13" t="s">
        <v>11</v>
      </c>
      <c r="H1232" s="13" t="s">
        <v>2792</v>
      </c>
    </row>
    <row r="1233" spans="1:8" x14ac:dyDescent="0.25">
      <c r="A1233" t="s">
        <v>2431</v>
      </c>
      <c r="B1233" s="15" cm="1">
        <f t="array" ref="B1233">_xll.GetPrice("FP-LBR-1977",,"Low",_SPECIFIEDvarPubDate,)</f>
        <v>518</v>
      </c>
      <c r="C1233" s="1">
        <f t="shared" si="57"/>
        <v>45848</v>
      </c>
      <c r="D1233">
        <f t="shared" si="58"/>
        <v>2025</v>
      </c>
      <c r="E1233">
        <f t="shared" si="59"/>
        <v>7</v>
      </c>
      <c r="F1233" s="13" t="s">
        <v>2432</v>
      </c>
      <c r="G1233" s="13" t="s">
        <v>11</v>
      </c>
      <c r="H1233" s="13" t="s">
        <v>2792</v>
      </c>
    </row>
    <row r="1234" spans="1:8" x14ac:dyDescent="0.25">
      <c r="A1234" t="s">
        <v>2433</v>
      </c>
      <c r="B1234" s="15" cm="1">
        <f t="array" ref="B1234">_xll.GetPrice("FP-LBR-0319",,"Low",_SPECIFIEDvarPubDate,)</f>
        <v>385</v>
      </c>
      <c r="C1234" s="1">
        <f t="shared" si="57"/>
        <v>45848</v>
      </c>
      <c r="D1234">
        <f t="shared" si="58"/>
        <v>2025</v>
      </c>
      <c r="E1234">
        <f t="shared" si="59"/>
        <v>7</v>
      </c>
      <c r="F1234" s="13" t="s">
        <v>2434</v>
      </c>
      <c r="G1234" s="13" t="s">
        <v>11</v>
      </c>
      <c r="H1234" s="13" t="s">
        <v>2792</v>
      </c>
    </row>
    <row r="1235" spans="1:8" x14ac:dyDescent="0.25">
      <c r="A1235" t="s">
        <v>2435</v>
      </c>
      <c r="B1235" s="15" cm="1">
        <f t="array" ref="B1235">_xll.GetPrice("FP-LBR-1835",,"Low",_SPECIFIEDvarPubDate,)</f>
        <v>581</v>
      </c>
      <c r="C1235" s="1">
        <f t="shared" si="57"/>
        <v>45848</v>
      </c>
      <c r="D1235">
        <f t="shared" si="58"/>
        <v>2025</v>
      </c>
      <c r="E1235">
        <f t="shared" si="59"/>
        <v>7</v>
      </c>
      <c r="F1235" s="13" t="s">
        <v>2436</v>
      </c>
      <c r="G1235" s="13" t="s">
        <v>11</v>
      </c>
      <c r="H1235" s="13" t="s">
        <v>2792</v>
      </c>
    </row>
    <row r="1236" spans="1:8" x14ac:dyDescent="0.25">
      <c r="A1236" t="s">
        <v>2437</v>
      </c>
      <c r="B1236" s="15" cm="1">
        <f t="array" ref="B1236">_xll.GetPrice("FP-LBR-1845",,"Low",_SPECIFIEDvarPubDate,)</f>
        <v>402</v>
      </c>
      <c r="C1236" s="1">
        <f t="shared" si="57"/>
        <v>45848</v>
      </c>
      <c r="D1236">
        <f t="shared" si="58"/>
        <v>2025</v>
      </c>
      <c r="E1236">
        <f t="shared" si="59"/>
        <v>7</v>
      </c>
      <c r="F1236" s="13" t="s">
        <v>2438</v>
      </c>
      <c r="G1236" s="13" t="s">
        <v>11</v>
      </c>
      <c r="H1236" s="13" t="s">
        <v>2792</v>
      </c>
    </row>
    <row r="1237" spans="1:8" x14ac:dyDescent="0.25">
      <c r="A1237" t="s">
        <v>2439</v>
      </c>
      <c r="B1237" s="15" cm="1">
        <f t="array" ref="B1237">_xll.GetPrice("FP-LBR-1851",,"Low",_SPECIFIEDvarPubDate,)</f>
        <v>639</v>
      </c>
      <c r="C1237" s="1">
        <f t="shared" si="57"/>
        <v>45848</v>
      </c>
      <c r="D1237">
        <f t="shared" si="58"/>
        <v>2025</v>
      </c>
      <c r="E1237">
        <f t="shared" si="59"/>
        <v>7</v>
      </c>
      <c r="F1237" s="13" t="s">
        <v>2440</v>
      </c>
      <c r="G1237" s="13" t="s">
        <v>11</v>
      </c>
      <c r="H1237" s="13" t="s">
        <v>2792</v>
      </c>
    </row>
    <row r="1238" spans="1:8" x14ac:dyDescent="0.25">
      <c r="A1238" t="s">
        <v>2441</v>
      </c>
      <c r="B1238" s="15" cm="1">
        <f t="array" ref="B1238">_xll.GetPrice("FP-LBR-1872",,"Low",_SPECIFIEDvarPubDate,)</f>
        <v>646</v>
      </c>
      <c r="C1238" s="1">
        <f t="shared" si="57"/>
        <v>45848</v>
      </c>
      <c r="D1238">
        <f t="shared" si="58"/>
        <v>2025</v>
      </c>
      <c r="E1238">
        <f t="shared" si="59"/>
        <v>7</v>
      </c>
      <c r="F1238" s="13" t="s">
        <v>2442</v>
      </c>
      <c r="G1238" s="13" t="s">
        <v>11</v>
      </c>
      <c r="H1238" s="13" t="s">
        <v>2792</v>
      </c>
    </row>
    <row r="1239" spans="1:8" x14ac:dyDescent="0.25">
      <c r="A1239" t="s">
        <v>2443</v>
      </c>
      <c r="B1239" s="15" cm="1">
        <f t="array" ref="B1239">_xll.GetPrice("FP-LBR-1889",,"Low",_SPECIFIEDvarPubDate,)</f>
        <v>519</v>
      </c>
      <c r="C1239" s="1">
        <f t="shared" si="57"/>
        <v>45848</v>
      </c>
      <c r="D1239">
        <f t="shared" si="58"/>
        <v>2025</v>
      </c>
      <c r="E1239">
        <f t="shared" si="59"/>
        <v>7</v>
      </c>
      <c r="F1239" s="13" t="s">
        <v>2444</v>
      </c>
      <c r="G1239" s="13" t="s">
        <v>11</v>
      </c>
      <c r="H1239" s="13" t="s">
        <v>2792</v>
      </c>
    </row>
    <row r="1240" spans="1:8" x14ac:dyDescent="0.25">
      <c r="A1240" t="s">
        <v>2445</v>
      </c>
      <c r="B1240" s="15" cm="1">
        <f t="array" ref="B1240">_xll.GetPrice("FP-LBR-1900",,"Low",_SPECIFIEDvarPubDate,)</f>
        <v>337</v>
      </c>
      <c r="C1240" s="1">
        <f t="shared" si="57"/>
        <v>45848</v>
      </c>
      <c r="D1240">
        <f t="shared" si="58"/>
        <v>2025</v>
      </c>
      <c r="E1240">
        <f t="shared" si="59"/>
        <v>7</v>
      </c>
      <c r="F1240" s="13" t="s">
        <v>2446</v>
      </c>
      <c r="G1240" s="13" t="s">
        <v>11</v>
      </c>
      <c r="H1240" s="13" t="s">
        <v>2792</v>
      </c>
    </row>
    <row r="1241" spans="1:8" x14ac:dyDescent="0.25">
      <c r="A1241" t="s">
        <v>2447</v>
      </c>
      <c r="B1241" s="15" cm="1">
        <f t="array" ref="B1241">_xll.GetPrice("FP-LBR-1909",,"Low",_SPECIFIEDvarPubDate,)</f>
        <v>601</v>
      </c>
      <c r="C1241" s="1">
        <f t="shared" si="57"/>
        <v>45848</v>
      </c>
      <c r="D1241">
        <f t="shared" si="58"/>
        <v>2025</v>
      </c>
      <c r="E1241">
        <f t="shared" si="59"/>
        <v>7</v>
      </c>
      <c r="F1241" s="13" t="s">
        <v>2448</v>
      </c>
      <c r="G1241" s="13" t="s">
        <v>11</v>
      </c>
      <c r="H1241" s="13" t="s">
        <v>2792</v>
      </c>
    </row>
    <row r="1242" spans="1:8" x14ac:dyDescent="0.25">
      <c r="A1242" t="s">
        <v>2449</v>
      </c>
      <c r="B1242" s="15" cm="1">
        <f t="array" ref="B1242">_xll.GetPrice("FP-LBR-1934",,"Low",_SPECIFIEDvarPubDate,)</f>
        <v>479</v>
      </c>
      <c r="C1242" s="1">
        <f t="shared" si="57"/>
        <v>45848</v>
      </c>
      <c r="D1242">
        <f t="shared" si="58"/>
        <v>2025</v>
      </c>
      <c r="E1242">
        <f t="shared" si="59"/>
        <v>7</v>
      </c>
      <c r="F1242" s="13" t="s">
        <v>2450</v>
      </c>
      <c r="G1242" s="13" t="s">
        <v>11</v>
      </c>
      <c r="H1242" s="13" t="s">
        <v>2792</v>
      </c>
    </row>
    <row r="1243" spans="1:8" x14ac:dyDescent="0.25">
      <c r="A1243" t="s">
        <v>2451</v>
      </c>
      <c r="B1243" s="15" cm="1">
        <f t="array" ref="B1243">_xll.GetPrice("FP-LBR-1940",,"Low",_SPECIFIEDvarPubDate,)</f>
        <v>433</v>
      </c>
      <c r="C1243" s="1">
        <f t="shared" si="57"/>
        <v>45848</v>
      </c>
      <c r="D1243">
        <f t="shared" si="58"/>
        <v>2025</v>
      </c>
      <c r="E1243">
        <f t="shared" si="59"/>
        <v>7</v>
      </c>
      <c r="F1243" s="13" t="s">
        <v>2452</v>
      </c>
      <c r="G1243" s="13" t="s">
        <v>11</v>
      </c>
      <c r="H1243" s="13" t="s">
        <v>2792</v>
      </c>
    </row>
    <row r="1244" spans="1:8" x14ac:dyDescent="0.25">
      <c r="A1244" t="s">
        <v>2453</v>
      </c>
      <c r="B1244" s="15" cm="1">
        <f t="array" ref="B1244">_xll.GetPrice("FP-LBR-1945",,"Low",_SPECIFIEDvarPubDate,)</f>
        <v>511</v>
      </c>
      <c r="C1244" s="1">
        <f t="shared" si="57"/>
        <v>45848</v>
      </c>
      <c r="D1244">
        <f t="shared" si="58"/>
        <v>2025</v>
      </c>
      <c r="E1244">
        <f t="shared" si="59"/>
        <v>7</v>
      </c>
      <c r="F1244" s="13" t="s">
        <v>2454</v>
      </c>
      <c r="G1244" s="13" t="s">
        <v>11</v>
      </c>
      <c r="H1244" s="13" t="s">
        <v>2792</v>
      </c>
    </row>
    <row r="1245" spans="1:8" x14ac:dyDescent="0.25">
      <c r="A1245" t="s">
        <v>2455</v>
      </c>
      <c r="B1245" s="15" cm="1">
        <f t="array" ref="B1245">_xll.GetPrice("FP-LBR-1965",,"Low",_SPECIFIEDvarPubDate,)</f>
        <v>556</v>
      </c>
      <c r="C1245" s="1">
        <f t="shared" si="57"/>
        <v>45848</v>
      </c>
      <c r="D1245">
        <f t="shared" si="58"/>
        <v>2025</v>
      </c>
      <c r="E1245">
        <f t="shared" si="59"/>
        <v>7</v>
      </c>
      <c r="F1245" s="13" t="s">
        <v>2456</v>
      </c>
      <c r="G1245" s="13" t="s">
        <v>11</v>
      </c>
      <c r="H1245" s="13" t="s">
        <v>2792</v>
      </c>
    </row>
    <row r="1246" spans="1:8" x14ac:dyDescent="0.25">
      <c r="A1246" t="s">
        <v>2457</v>
      </c>
      <c r="B1246" s="15" cm="1">
        <f t="array" ref="B1246">_xll.GetPrice("FP-LBR-1393",,"Low",_SPECIFIEDvarPubDate,)</f>
        <v>355</v>
      </c>
      <c r="C1246" s="1">
        <f t="shared" si="57"/>
        <v>45848</v>
      </c>
      <c r="D1246">
        <f t="shared" si="58"/>
        <v>2025</v>
      </c>
      <c r="E1246">
        <f t="shared" si="59"/>
        <v>7</v>
      </c>
      <c r="F1246" s="13" t="s">
        <v>2458</v>
      </c>
      <c r="G1246" s="13" t="s">
        <v>11</v>
      </c>
      <c r="H1246" s="13" t="s">
        <v>2792</v>
      </c>
    </row>
    <row r="1247" spans="1:8" x14ac:dyDescent="0.25">
      <c r="A1247" t="s">
        <v>2459</v>
      </c>
      <c r="B1247" s="15" cm="1">
        <f t="array" ref="B1247">_xll.GetPrice("FP-LBR-1394",,"Low",_SPECIFIEDvarPubDate,)</f>
        <v>415</v>
      </c>
      <c r="C1247" s="1">
        <f t="shared" si="57"/>
        <v>45848</v>
      </c>
      <c r="D1247">
        <f t="shared" si="58"/>
        <v>2025</v>
      </c>
      <c r="E1247">
        <f t="shared" si="59"/>
        <v>7</v>
      </c>
      <c r="F1247" s="13" t="s">
        <v>2460</v>
      </c>
      <c r="G1247" s="13" t="s">
        <v>11</v>
      </c>
      <c r="H1247" s="13" t="s">
        <v>2792</v>
      </c>
    </row>
    <row r="1248" spans="1:8" x14ac:dyDescent="0.25">
      <c r="A1248" t="s">
        <v>2461</v>
      </c>
      <c r="B1248" s="15" cm="1">
        <f t="array" ref="B1248">_xll.GetPrice("FP-LBR-1395",,"Low",_SPECIFIEDvarPubDate,)</f>
        <v>390</v>
      </c>
      <c r="C1248" s="1">
        <f t="shared" si="57"/>
        <v>45848</v>
      </c>
      <c r="D1248">
        <f t="shared" si="58"/>
        <v>2025</v>
      </c>
      <c r="E1248">
        <f t="shared" si="59"/>
        <v>7</v>
      </c>
      <c r="F1248" s="13" t="s">
        <v>2462</v>
      </c>
      <c r="G1248" s="13" t="s">
        <v>11</v>
      </c>
      <c r="H1248" s="13" t="s">
        <v>2792</v>
      </c>
    </row>
    <row r="1249" spans="1:8" x14ac:dyDescent="0.25">
      <c r="A1249" t="s">
        <v>2463</v>
      </c>
      <c r="B1249" s="15" cm="1">
        <f t="array" ref="B1249">_xll.GetPrice("FP-LBR-1396",,"Low",_SPECIFIEDvarPubDate,)</f>
        <v>330</v>
      </c>
      <c r="C1249" s="1">
        <f t="shared" si="57"/>
        <v>45848</v>
      </c>
      <c r="D1249">
        <f t="shared" si="58"/>
        <v>2025</v>
      </c>
      <c r="E1249">
        <f t="shared" si="59"/>
        <v>7</v>
      </c>
      <c r="F1249" s="13" t="s">
        <v>2464</v>
      </c>
      <c r="G1249" s="13" t="s">
        <v>11</v>
      </c>
      <c r="H1249" s="13" t="s">
        <v>2792</v>
      </c>
    </row>
    <row r="1250" spans="1:8" x14ac:dyDescent="0.25">
      <c r="A1250" t="s">
        <v>2465</v>
      </c>
      <c r="B1250" s="15" cm="1">
        <f t="array" ref="B1250">_xll.GetPrice("FP-LBR-1397",,"Low",_SPECIFIEDvarPubDate,)</f>
        <v>420</v>
      </c>
      <c r="C1250" s="1">
        <f t="shared" si="57"/>
        <v>45848</v>
      </c>
      <c r="D1250">
        <f t="shared" si="58"/>
        <v>2025</v>
      </c>
      <c r="E1250">
        <f t="shared" si="59"/>
        <v>7</v>
      </c>
      <c r="F1250" s="13" t="s">
        <v>2466</v>
      </c>
      <c r="G1250" s="13" t="s">
        <v>11</v>
      </c>
      <c r="H1250" s="13" t="s">
        <v>2792</v>
      </c>
    </row>
    <row r="1251" spans="1:8" x14ac:dyDescent="0.25">
      <c r="A1251" t="s">
        <v>2467</v>
      </c>
      <c r="B1251" s="15" cm="1">
        <f t="array" ref="B1251">_xll.GetPrice("FP-LBR-1398",,"Low",_SPECIFIEDvarPubDate,)</f>
        <v>420</v>
      </c>
      <c r="C1251" s="1">
        <f t="shared" si="57"/>
        <v>45848</v>
      </c>
      <c r="D1251">
        <f t="shared" si="58"/>
        <v>2025</v>
      </c>
      <c r="E1251">
        <f t="shared" si="59"/>
        <v>7</v>
      </c>
      <c r="F1251" s="13" t="s">
        <v>2468</v>
      </c>
      <c r="G1251" s="13" t="s">
        <v>11</v>
      </c>
      <c r="H1251" s="13" t="s">
        <v>2792</v>
      </c>
    </row>
    <row r="1252" spans="1:8" x14ac:dyDescent="0.25">
      <c r="A1252" t="s">
        <v>2469</v>
      </c>
      <c r="B1252" s="15" cm="1">
        <f t="array" ref="B1252">_xll.GetPrice("FP-LBR-0901",,"Low",_SPECIFIEDvarPubDate,)</f>
        <v>10</v>
      </c>
      <c r="C1252" s="1">
        <f t="shared" si="57"/>
        <v>45848</v>
      </c>
      <c r="D1252">
        <f t="shared" si="58"/>
        <v>2025</v>
      </c>
      <c r="E1252">
        <f t="shared" si="59"/>
        <v>7</v>
      </c>
      <c r="F1252" s="13" t="s">
        <v>2470</v>
      </c>
      <c r="G1252" s="13" t="s">
        <v>11</v>
      </c>
      <c r="H1252" s="13" t="s">
        <v>2792</v>
      </c>
    </row>
    <row r="1253" spans="1:8" x14ac:dyDescent="0.25">
      <c r="A1253" t="s">
        <v>2471</v>
      </c>
      <c r="B1253" s="15" cm="1">
        <f t="array" ref="B1253">_xll.GetPrice("FP-LBR-0901",,"High",_SPECIFIEDvarPubDate,)</f>
        <v>15</v>
      </c>
      <c r="C1253" s="1">
        <f t="shared" si="57"/>
        <v>45848</v>
      </c>
      <c r="D1253">
        <f t="shared" si="58"/>
        <v>2025</v>
      </c>
      <c r="E1253">
        <f t="shared" si="59"/>
        <v>7</v>
      </c>
      <c r="F1253" s="13" t="s">
        <v>2470</v>
      </c>
      <c r="G1253" s="13" t="s">
        <v>112</v>
      </c>
      <c r="H1253" s="13" t="s">
        <v>2792</v>
      </c>
    </row>
    <row r="1254" spans="1:8" x14ac:dyDescent="0.25">
      <c r="A1254" t="s">
        <v>2472</v>
      </c>
      <c r="B1254" s="15" cm="1">
        <f t="array" ref="B1254">_xll.GetPrice("FP-LBR-1577",,"Low",_SPECIFIEDvarPubDate,)</f>
        <v>755</v>
      </c>
      <c r="C1254" s="1">
        <f t="shared" si="57"/>
        <v>45848</v>
      </c>
      <c r="D1254">
        <f t="shared" si="58"/>
        <v>2025</v>
      </c>
      <c r="E1254">
        <f t="shared" si="59"/>
        <v>7</v>
      </c>
      <c r="F1254" s="13" t="s">
        <v>2473</v>
      </c>
      <c r="G1254" s="13" t="s">
        <v>11</v>
      </c>
      <c r="H1254" s="13" t="s">
        <v>2792</v>
      </c>
    </row>
    <row r="1255" spans="1:8" x14ac:dyDescent="0.25">
      <c r="A1255" t="s">
        <v>2474</v>
      </c>
      <c r="B1255" s="15" cm="1">
        <f t="array" ref="B1255">_xll.GetPrice("FP-LBR-1578",,"Low",_SPECIFIEDvarPubDate,)</f>
        <v>675</v>
      </c>
      <c r="C1255" s="1">
        <f t="shared" si="57"/>
        <v>45848</v>
      </c>
      <c r="D1255">
        <f t="shared" si="58"/>
        <v>2025</v>
      </c>
      <c r="E1255">
        <f t="shared" si="59"/>
        <v>7</v>
      </c>
      <c r="F1255" s="13" t="s">
        <v>2475</v>
      </c>
      <c r="G1255" s="13" t="s">
        <v>11</v>
      </c>
      <c r="H1255" s="13" t="s">
        <v>2792</v>
      </c>
    </row>
    <row r="1256" spans="1:8" x14ac:dyDescent="0.25">
      <c r="A1256" t="s">
        <v>2476</v>
      </c>
      <c r="B1256" s="15" cm="1">
        <f t="array" ref="B1256">_xll.GetPrice("FP-LBR-1582",,"Low",_SPECIFIEDvarPubDate,)</f>
        <v>685</v>
      </c>
      <c r="C1256" s="1">
        <f t="shared" si="57"/>
        <v>45848</v>
      </c>
      <c r="D1256">
        <f t="shared" si="58"/>
        <v>2025</v>
      </c>
      <c r="E1256">
        <f t="shared" si="59"/>
        <v>7</v>
      </c>
      <c r="F1256" s="13" t="s">
        <v>2477</v>
      </c>
      <c r="G1256" s="13" t="s">
        <v>11</v>
      </c>
      <c r="H1256" s="13" t="s">
        <v>2792</v>
      </c>
    </row>
    <row r="1257" spans="1:8" x14ac:dyDescent="0.25">
      <c r="A1257" t="s">
        <v>2478</v>
      </c>
      <c r="B1257" s="15" cm="1">
        <f t="array" ref="B1257">_xll.GetPrice("FP-LBR-1583",,"Low",_SPECIFIEDvarPubDate,)</f>
        <v>695</v>
      </c>
      <c r="C1257" s="1">
        <f t="shared" si="57"/>
        <v>45848</v>
      </c>
      <c r="D1257">
        <f t="shared" si="58"/>
        <v>2025</v>
      </c>
      <c r="E1257">
        <f t="shared" si="59"/>
        <v>7</v>
      </c>
      <c r="F1257" s="13" t="s">
        <v>2479</v>
      </c>
      <c r="G1257" s="13" t="s">
        <v>11</v>
      </c>
      <c r="H1257" s="13" t="s">
        <v>2792</v>
      </c>
    </row>
    <row r="1258" spans="1:8" x14ac:dyDescent="0.25">
      <c r="A1258" t="s">
        <v>2480</v>
      </c>
      <c r="B1258" s="15" cm="1">
        <f t="array" ref="B1258">_xll.GetPrice("FP-LBR-1579",,"Low",_SPECIFIEDvarPubDate,)</f>
        <v>645</v>
      </c>
      <c r="C1258" s="1">
        <f t="shared" si="57"/>
        <v>45848</v>
      </c>
      <c r="D1258">
        <f t="shared" si="58"/>
        <v>2025</v>
      </c>
      <c r="E1258">
        <f t="shared" si="59"/>
        <v>7</v>
      </c>
      <c r="F1258" s="13" t="s">
        <v>2481</v>
      </c>
      <c r="G1258" s="13" t="s">
        <v>11</v>
      </c>
      <c r="H1258" s="13" t="s">
        <v>2792</v>
      </c>
    </row>
    <row r="1259" spans="1:8" x14ac:dyDescent="0.25">
      <c r="A1259" t="s">
        <v>2482</v>
      </c>
      <c r="B1259" s="15" cm="1">
        <f t="array" ref="B1259">_xll.GetPrice("FP-LBR-1584",,"Low",_SPECIFIEDvarPubDate,)</f>
        <v>760</v>
      </c>
      <c r="C1259" s="1">
        <f t="shared" si="57"/>
        <v>45848</v>
      </c>
      <c r="D1259">
        <f t="shared" si="58"/>
        <v>2025</v>
      </c>
      <c r="E1259">
        <f t="shared" si="59"/>
        <v>7</v>
      </c>
      <c r="F1259" s="13" t="s">
        <v>2483</v>
      </c>
      <c r="G1259" s="13" t="s">
        <v>11</v>
      </c>
      <c r="H1259" s="13" t="s">
        <v>2792</v>
      </c>
    </row>
    <row r="1260" spans="1:8" x14ac:dyDescent="0.25">
      <c r="A1260" t="s">
        <v>2484</v>
      </c>
      <c r="B1260" s="15" cm="1">
        <f t="array" ref="B1260">_xll.GetPrice("FP-LBR-1580",,"Low",_SPECIFIEDvarPubDate,)</f>
        <v>570</v>
      </c>
      <c r="C1260" s="1">
        <f t="shared" si="57"/>
        <v>45848</v>
      </c>
      <c r="D1260">
        <f t="shared" si="58"/>
        <v>2025</v>
      </c>
      <c r="E1260">
        <f t="shared" si="59"/>
        <v>7</v>
      </c>
      <c r="F1260" s="13" t="s">
        <v>2485</v>
      </c>
      <c r="G1260" s="13" t="s">
        <v>11</v>
      </c>
      <c r="H1260" s="13" t="s">
        <v>2792</v>
      </c>
    </row>
    <row r="1261" spans="1:8" x14ac:dyDescent="0.25">
      <c r="A1261" t="s">
        <v>2486</v>
      </c>
      <c r="B1261" s="15" cm="1">
        <f t="array" ref="B1261">_xll.GetPrice("FP-LBR-1585",,"Low",_SPECIFIEDvarPubDate,)</f>
        <v>675</v>
      </c>
      <c r="C1261" s="1">
        <f t="shared" si="57"/>
        <v>45848</v>
      </c>
      <c r="D1261">
        <f t="shared" si="58"/>
        <v>2025</v>
      </c>
      <c r="E1261">
        <f t="shared" si="59"/>
        <v>7</v>
      </c>
      <c r="F1261" s="13" t="s">
        <v>2487</v>
      </c>
      <c r="G1261" s="13" t="s">
        <v>11</v>
      </c>
      <c r="H1261" s="13" t="s">
        <v>2792</v>
      </c>
    </row>
    <row r="1262" spans="1:8" x14ac:dyDescent="0.25">
      <c r="A1262" t="s">
        <v>2488</v>
      </c>
      <c r="B1262" s="15" cm="1">
        <f t="array" ref="B1262">_xll.GetPrice("FP-LBR-1581",,"Low",_SPECIFIEDvarPubDate,)</f>
        <v>725</v>
      </c>
      <c r="C1262" s="1">
        <f t="shared" si="57"/>
        <v>45848</v>
      </c>
      <c r="D1262">
        <f t="shared" si="58"/>
        <v>2025</v>
      </c>
      <c r="E1262">
        <f t="shared" si="59"/>
        <v>7</v>
      </c>
      <c r="F1262" s="13" t="s">
        <v>2489</v>
      </c>
      <c r="G1262" s="13" t="s">
        <v>11</v>
      </c>
      <c r="H1262" s="13" t="s">
        <v>2792</v>
      </c>
    </row>
    <row r="1263" spans="1:8" x14ac:dyDescent="0.25">
      <c r="A1263" t="s">
        <v>2490</v>
      </c>
      <c r="B1263" s="15" cm="1">
        <f t="array" ref="B1263">_xll.GetPrice("FP-LBR-1586",,"Low",_SPECIFIEDvarPubDate,)</f>
        <v>870</v>
      </c>
      <c r="C1263" s="1">
        <f t="shared" si="57"/>
        <v>45848</v>
      </c>
      <c r="D1263">
        <f t="shared" si="58"/>
        <v>2025</v>
      </c>
      <c r="E1263">
        <f t="shared" si="59"/>
        <v>7</v>
      </c>
      <c r="F1263" s="13" t="s">
        <v>2491</v>
      </c>
      <c r="G1263" s="13" t="s">
        <v>11</v>
      </c>
      <c r="H1263" s="13" t="s">
        <v>2792</v>
      </c>
    </row>
    <row r="1264" spans="1:8" x14ac:dyDescent="0.25">
      <c r="A1264" t="s">
        <v>2492</v>
      </c>
      <c r="B1264" s="15" cm="1">
        <f t="array" ref="B1264">_xll.GetPrice("FP-LBR-1567",,"Low",_SPECIFIEDvarPubDate,)</f>
        <v>725</v>
      </c>
      <c r="C1264" s="1">
        <f t="shared" si="57"/>
        <v>45848</v>
      </c>
      <c r="D1264">
        <f t="shared" si="58"/>
        <v>2025</v>
      </c>
      <c r="E1264">
        <f t="shared" si="59"/>
        <v>7</v>
      </c>
      <c r="F1264" s="13" t="s">
        <v>2493</v>
      </c>
      <c r="G1264" s="13" t="s">
        <v>11</v>
      </c>
      <c r="H1264" s="13" t="s">
        <v>2792</v>
      </c>
    </row>
    <row r="1265" spans="1:8" x14ac:dyDescent="0.25">
      <c r="A1265" t="s">
        <v>2494</v>
      </c>
      <c r="B1265" s="15" cm="1">
        <f t="array" ref="B1265">_xll.GetPrice("FP-LBR-1572",,"Low",_SPECIFIEDvarPubDate,)</f>
        <v>680</v>
      </c>
      <c r="C1265" s="1">
        <f t="shared" si="57"/>
        <v>45848</v>
      </c>
      <c r="D1265">
        <f t="shared" si="58"/>
        <v>2025</v>
      </c>
      <c r="E1265">
        <f t="shared" si="59"/>
        <v>7</v>
      </c>
      <c r="F1265" s="13" t="s">
        <v>2495</v>
      </c>
      <c r="G1265" s="13" t="s">
        <v>11</v>
      </c>
      <c r="H1265" s="13" t="s">
        <v>2792</v>
      </c>
    </row>
    <row r="1266" spans="1:8" x14ac:dyDescent="0.25">
      <c r="A1266" t="s">
        <v>2496</v>
      </c>
      <c r="B1266" s="15" cm="1">
        <f t="array" ref="B1266">_xll.GetPrice("FP-LBR-1568",,"Low",_SPECIFIEDvarPubDate,)</f>
        <v>690</v>
      </c>
      <c r="C1266" s="1">
        <f t="shared" si="57"/>
        <v>45848</v>
      </c>
      <c r="D1266">
        <f t="shared" si="58"/>
        <v>2025</v>
      </c>
      <c r="E1266">
        <f t="shared" si="59"/>
        <v>7</v>
      </c>
      <c r="F1266" s="13" t="s">
        <v>2497</v>
      </c>
      <c r="G1266" s="13" t="s">
        <v>11</v>
      </c>
      <c r="H1266" s="13" t="s">
        <v>2792</v>
      </c>
    </row>
    <row r="1267" spans="1:8" x14ac:dyDescent="0.25">
      <c r="A1267" t="s">
        <v>2498</v>
      </c>
      <c r="B1267" s="15" cm="1">
        <f t="array" ref="B1267">_xll.GetPrice("FP-LBR-1573",,"Low",_SPECIFIEDvarPubDate,)</f>
        <v>710</v>
      </c>
      <c r="C1267" s="1">
        <f t="shared" si="57"/>
        <v>45848</v>
      </c>
      <c r="D1267">
        <f t="shared" si="58"/>
        <v>2025</v>
      </c>
      <c r="E1267">
        <f t="shared" si="59"/>
        <v>7</v>
      </c>
      <c r="F1267" s="13" t="s">
        <v>2499</v>
      </c>
      <c r="G1267" s="13" t="s">
        <v>11</v>
      </c>
      <c r="H1267" s="13" t="s">
        <v>2792</v>
      </c>
    </row>
    <row r="1268" spans="1:8" x14ac:dyDescent="0.25">
      <c r="A1268" t="s">
        <v>2500</v>
      </c>
      <c r="B1268" s="15" cm="1">
        <f t="array" ref="B1268">_xll.GetPrice("FP-LBR-1569",,"Low",_SPECIFIEDvarPubDate,)</f>
        <v>625</v>
      </c>
      <c r="C1268" s="1">
        <f t="shared" si="57"/>
        <v>45848</v>
      </c>
      <c r="D1268">
        <f t="shared" si="58"/>
        <v>2025</v>
      </c>
      <c r="E1268">
        <f t="shared" si="59"/>
        <v>7</v>
      </c>
      <c r="F1268" s="13" t="s">
        <v>2501</v>
      </c>
      <c r="G1268" s="13" t="s">
        <v>11</v>
      </c>
      <c r="H1268" s="13" t="s">
        <v>2792</v>
      </c>
    </row>
    <row r="1269" spans="1:8" x14ac:dyDescent="0.25">
      <c r="A1269" t="s">
        <v>2502</v>
      </c>
      <c r="B1269" s="15" cm="1">
        <f t="array" ref="B1269">_xll.GetPrice("FP-LBR-1574",,"Low",_SPECIFIEDvarPubDate,)</f>
        <v>780</v>
      </c>
      <c r="C1269" s="1">
        <f t="shared" si="57"/>
        <v>45848</v>
      </c>
      <c r="D1269">
        <f t="shared" si="58"/>
        <v>2025</v>
      </c>
      <c r="E1269">
        <f t="shared" si="59"/>
        <v>7</v>
      </c>
      <c r="F1269" s="13" t="s">
        <v>2503</v>
      </c>
      <c r="G1269" s="13" t="s">
        <v>11</v>
      </c>
      <c r="H1269" s="13" t="s">
        <v>2792</v>
      </c>
    </row>
    <row r="1270" spans="1:8" x14ac:dyDescent="0.25">
      <c r="A1270" t="s">
        <v>2504</v>
      </c>
      <c r="B1270" s="15" cm="1">
        <f t="array" ref="B1270">_xll.GetPrice("FP-LBR-1570",,"Low",_SPECIFIEDvarPubDate,)</f>
        <v>630</v>
      </c>
      <c r="C1270" s="1">
        <f t="shared" si="57"/>
        <v>45848</v>
      </c>
      <c r="D1270">
        <f t="shared" si="58"/>
        <v>2025</v>
      </c>
      <c r="E1270">
        <f t="shared" si="59"/>
        <v>7</v>
      </c>
      <c r="F1270" s="13" t="s">
        <v>2505</v>
      </c>
      <c r="G1270" s="13" t="s">
        <v>11</v>
      </c>
      <c r="H1270" s="13" t="s">
        <v>2792</v>
      </c>
    </row>
    <row r="1271" spans="1:8" x14ac:dyDescent="0.25">
      <c r="A1271" t="s">
        <v>2506</v>
      </c>
      <c r="B1271" s="15" cm="1">
        <f t="array" ref="B1271">_xll.GetPrice("FP-LBR-1575",,"Low",_SPECIFIEDvarPubDate,)</f>
        <v>590</v>
      </c>
      <c r="C1271" s="1">
        <f t="shared" si="57"/>
        <v>45848</v>
      </c>
      <c r="D1271">
        <f t="shared" si="58"/>
        <v>2025</v>
      </c>
      <c r="E1271">
        <f t="shared" si="59"/>
        <v>7</v>
      </c>
      <c r="F1271" s="13" t="s">
        <v>2507</v>
      </c>
      <c r="G1271" s="13" t="s">
        <v>11</v>
      </c>
      <c r="H1271" s="13" t="s">
        <v>2792</v>
      </c>
    </row>
    <row r="1272" spans="1:8" x14ac:dyDescent="0.25">
      <c r="A1272" t="s">
        <v>2508</v>
      </c>
      <c r="B1272" s="15" cm="1">
        <f t="array" ref="B1272">_xll.GetPrice("FP-LBR-1571",,"Low",_SPECIFIEDvarPubDate,)</f>
        <v>710</v>
      </c>
      <c r="C1272" s="1">
        <f t="shared" si="57"/>
        <v>45848</v>
      </c>
      <c r="D1272">
        <f t="shared" si="58"/>
        <v>2025</v>
      </c>
      <c r="E1272">
        <f t="shared" si="59"/>
        <v>7</v>
      </c>
      <c r="F1272" s="13" t="s">
        <v>2509</v>
      </c>
      <c r="G1272" s="13" t="s">
        <v>11</v>
      </c>
      <c r="H1272" s="13" t="s">
        <v>2792</v>
      </c>
    </row>
    <row r="1273" spans="1:8" x14ac:dyDescent="0.25">
      <c r="A1273" t="s">
        <v>2510</v>
      </c>
      <c r="B1273" s="15" cm="1">
        <f t="array" ref="B1273">_xll.GetPrice("FP-LBR-1576",,"Low",_SPECIFIEDvarPubDate,)</f>
        <v>930</v>
      </c>
      <c r="C1273" s="1">
        <f t="shared" si="57"/>
        <v>45848</v>
      </c>
      <c r="D1273">
        <f t="shared" si="58"/>
        <v>2025</v>
      </c>
      <c r="E1273">
        <f t="shared" si="59"/>
        <v>7</v>
      </c>
      <c r="F1273" s="13" t="s">
        <v>2511</v>
      </c>
      <c r="G1273" s="13" t="s">
        <v>11</v>
      </c>
      <c r="H1273" s="13" t="s">
        <v>2792</v>
      </c>
    </row>
    <row r="1274" spans="1:8" x14ac:dyDescent="0.25">
      <c r="A1274" t="s">
        <v>2512</v>
      </c>
      <c r="B1274" s="15" cm="1">
        <f t="array" ref="B1274">_xll.GetPrice("FP-LBR-0826",,"Low",_SPECIFIEDvarPubDate,)</f>
        <v>445</v>
      </c>
      <c r="C1274" s="1">
        <f t="shared" si="57"/>
        <v>45848</v>
      </c>
      <c r="D1274">
        <f t="shared" si="58"/>
        <v>2025</v>
      </c>
      <c r="E1274">
        <f t="shared" si="59"/>
        <v>7</v>
      </c>
      <c r="F1274" s="13" t="s">
        <v>2513</v>
      </c>
      <c r="G1274" s="13" t="s">
        <v>11</v>
      </c>
      <c r="H1274" s="13" t="s">
        <v>2792</v>
      </c>
    </row>
    <row r="1275" spans="1:8" x14ac:dyDescent="0.25">
      <c r="A1275" t="s">
        <v>2514</v>
      </c>
      <c r="B1275" s="15" cm="1">
        <f t="array" ref="B1275">_xll.GetPrice("FP-LBR-0827",,"Low",_SPECIFIEDvarPubDate,)</f>
        <v>410</v>
      </c>
      <c r="C1275" s="1">
        <f t="shared" si="57"/>
        <v>45848</v>
      </c>
      <c r="D1275">
        <f t="shared" si="58"/>
        <v>2025</v>
      </c>
      <c r="E1275">
        <f t="shared" si="59"/>
        <v>7</v>
      </c>
      <c r="F1275" s="13" t="s">
        <v>2515</v>
      </c>
      <c r="G1275" s="13" t="s">
        <v>11</v>
      </c>
      <c r="H1275" s="13" t="s">
        <v>2792</v>
      </c>
    </row>
    <row r="1276" spans="1:8" x14ac:dyDescent="0.25">
      <c r="A1276" t="s">
        <v>2516</v>
      </c>
      <c r="B1276" s="15" cm="1">
        <f t="array" ref="B1276">_xll.GetPrice("FP-LBR-0828",,"Low",_SPECIFIEDvarPubDate,)</f>
        <v>350</v>
      </c>
      <c r="C1276" s="1">
        <f t="shared" si="57"/>
        <v>45848</v>
      </c>
      <c r="D1276">
        <f t="shared" si="58"/>
        <v>2025</v>
      </c>
      <c r="E1276">
        <f t="shared" si="59"/>
        <v>7</v>
      </c>
      <c r="F1276" s="13" t="s">
        <v>2517</v>
      </c>
      <c r="G1276" s="13" t="s">
        <v>11</v>
      </c>
      <c r="H1276" s="13" t="s">
        <v>2792</v>
      </c>
    </row>
    <row r="1277" spans="1:8" x14ac:dyDescent="0.25">
      <c r="A1277" t="s">
        <v>2518</v>
      </c>
      <c r="B1277" s="15" cm="1">
        <f t="array" ref="B1277">_xll.GetPrice("FP-LBR-0829",,"Low",_SPECIFIEDvarPubDate,)</f>
        <v>335</v>
      </c>
      <c r="C1277" s="1">
        <f t="shared" si="57"/>
        <v>45848</v>
      </c>
      <c r="D1277">
        <f t="shared" si="58"/>
        <v>2025</v>
      </c>
      <c r="E1277">
        <f t="shared" si="59"/>
        <v>7</v>
      </c>
      <c r="F1277" s="13" t="s">
        <v>2519</v>
      </c>
      <c r="G1277" s="13" t="s">
        <v>11</v>
      </c>
      <c r="H1277" s="13" t="s">
        <v>2792</v>
      </c>
    </row>
    <row r="1278" spans="1:8" x14ac:dyDescent="0.25">
      <c r="A1278" t="s">
        <v>2520</v>
      </c>
      <c r="B1278" s="15" cm="1">
        <f t="array" ref="B1278">_xll.GetPrice("FP-LBR-0830",,"Low",_SPECIFIEDvarPubDate,)</f>
        <v>425</v>
      </c>
      <c r="C1278" s="1">
        <f t="shared" si="57"/>
        <v>45848</v>
      </c>
      <c r="D1278">
        <f t="shared" si="58"/>
        <v>2025</v>
      </c>
      <c r="E1278">
        <f t="shared" si="59"/>
        <v>7</v>
      </c>
      <c r="F1278" s="13" t="s">
        <v>2521</v>
      </c>
      <c r="G1278" s="13" t="s">
        <v>11</v>
      </c>
      <c r="H1278" s="13" t="s">
        <v>2792</v>
      </c>
    </row>
    <row r="1279" spans="1:8" x14ac:dyDescent="0.25">
      <c r="A1279" t="s">
        <v>2522</v>
      </c>
      <c r="B1279" s="15" cm="1">
        <f t="array" ref="B1279">_xll.GetPrice("FP-LBR-0831",,"Low",_SPECIFIEDvarPubDate,)</f>
        <v>430</v>
      </c>
      <c r="C1279" s="1">
        <f t="shared" si="57"/>
        <v>45848</v>
      </c>
      <c r="D1279">
        <f t="shared" si="58"/>
        <v>2025</v>
      </c>
      <c r="E1279">
        <f t="shared" si="59"/>
        <v>7</v>
      </c>
      <c r="F1279" s="13" t="s">
        <v>2523</v>
      </c>
      <c r="G1279" s="13" t="s">
        <v>11</v>
      </c>
      <c r="H1279" s="13" t="s">
        <v>2792</v>
      </c>
    </row>
    <row r="1280" spans="1:8" x14ac:dyDescent="0.25">
      <c r="A1280" t="s">
        <v>2524</v>
      </c>
      <c r="B1280" s="15" cm="1">
        <f t="array" ref="B1280">_xll.GetPrice("FP-LBR-0832",,"Low",_SPECIFIEDvarPubDate,)</f>
        <v>400</v>
      </c>
      <c r="C1280" s="1">
        <f t="shared" si="57"/>
        <v>45848</v>
      </c>
      <c r="D1280">
        <f t="shared" si="58"/>
        <v>2025</v>
      </c>
      <c r="E1280">
        <f t="shared" si="59"/>
        <v>7</v>
      </c>
      <c r="F1280" s="13" t="s">
        <v>2525</v>
      </c>
      <c r="G1280" s="13" t="s">
        <v>11</v>
      </c>
      <c r="H1280" s="13" t="s">
        <v>2792</v>
      </c>
    </row>
    <row r="1281" spans="1:8" x14ac:dyDescent="0.25">
      <c r="A1281" t="s">
        <v>2526</v>
      </c>
      <c r="B1281" s="15" cm="1">
        <f t="array" ref="B1281">_xll.GetPrice("FP-LBR-0833",,"Low",_SPECIFIEDvarPubDate,)</f>
        <v>440</v>
      </c>
      <c r="C1281" s="1">
        <f t="shared" ref="C1281:C1344" si="60">_SPECIFIEDvarPubDate</f>
        <v>45848</v>
      </c>
      <c r="D1281">
        <f t="shared" ref="D1281:D1344" si="61">_SPECIFIEDvarYear</f>
        <v>2025</v>
      </c>
      <c r="E1281">
        <f t="shared" ref="E1281:E1344" si="62">_SPECIFIEDvarMonth</f>
        <v>7</v>
      </c>
      <c r="F1281" s="13" t="s">
        <v>2527</v>
      </c>
      <c r="G1281" s="13" t="s">
        <v>11</v>
      </c>
      <c r="H1281" s="13" t="s">
        <v>2792</v>
      </c>
    </row>
    <row r="1282" spans="1:8" x14ac:dyDescent="0.25">
      <c r="A1282" t="s">
        <v>2528</v>
      </c>
      <c r="B1282" s="15" cm="1">
        <f t="array" ref="B1282">_xll.GetPrice("FP-LBR-0834",,"Low",_SPECIFIEDvarPubDate,)</f>
        <v>405</v>
      </c>
      <c r="C1282" s="1">
        <f t="shared" si="60"/>
        <v>45848</v>
      </c>
      <c r="D1282">
        <f t="shared" si="61"/>
        <v>2025</v>
      </c>
      <c r="E1282">
        <f t="shared" si="62"/>
        <v>7</v>
      </c>
      <c r="F1282" s="13" t="s">
        <v>2529</v>
      </c>
      <c r="G1282" s="13" t="s">
        <v>11</v>
      </c>
      <c r="H1282" s="13" t="s">
        <v>2792</v>
      </c>
    </row>
    <row r="1283" spans="1:8" x14ac:dyDescent="0.25">
      <c r="A1283" t="s">
        <v>2530</v>
      </c>
      <c r="B1283" s="15" cm="1">
        <f t="array" ref="B1283">_xll.GetPrice("FP-LBR-0835",,"Low",_SPECIFIEDvarPubDate,)</f>
        <v>435</v>
      </c>
      <c r="C1283" s="1">
        <f t="shared" si="60"/>
        <v>45848</v>
      </c>
      <c r="D1283">
        <f t="shared" si="61"/>
        <v>2025</v>
      </c>
      <c r="E1283">
        <f t="shared" si="62"/>
        <v>7</v>
      </c>
      <c r="F1283" s="13" t="s">
        <v>2531</v>
      </c>
      <c r="G1283" s="13" t="s">
        <v>11</v>
      </c>
      <c r="H1283" s="13" t="s">
        <v>2792</v>
      </c>
    </row>
    <row r="1284" spans="1:8" x14ac:dyDescent="0.25">
      <c r="A1284" t="s">
        <v>2532</v>
      </c>
      <c r="B1284" s="15" cm="1">
        <f t="array" ref="B1284">_xll.GetPrice("FP-LBR-0836",,"Low",_SPECIFIEDvarPubDate,)</f>
        <v>540</v>
      </c>
      <c r="C1284" s="1">
        <f t="shared" si="60"/>
        <v>45848</v>
      </c>
      <c r="D1284">
        <f t="shared" si="61"/>
        <v>2025</v>
      </c>
      <c r="E1284">
        <f t="shared" si="62"/>
        <v>7</v>
      </c>
      <c r="F1284" s="13" t="s">
        <v>2533</v>
      </c>
      <c r="G1284" s="13" t="s">
        <v>11</v>
      </c>
      <c r="H1284" s="13" t="s">
        <v>2792</v>
      </c>
    </row>
    <row r="1285" spans="1:8" x14ac:dyDescent="0.25">
      <c r="A1285" t="s">
        <v>2534</v>
      </c>
      <c r="B1285" s="15" cm="1">
        <f t="array" ref="B1285">_xll.GetPrice("FP-LBR-0837",,"Low",_SPECIFIEDvarPubDate,)</f>
        <v>535</v>
      </c>
      <c r="C1285" s="1">
        <f t="shared" si="60"/>
        <v>45848</v>
      </c>
      <c r="D1285">
        <f t="shared" si="61"/>
        <v>2025</v>
      </c>
      <c r="E1285">
        <f t="shared" si="62"/>
        <v>7</v>
      </c>
      <c r="F1285" s="13" t="s">
        <v>2535</v>
      </c>
      <c r="G1285" s="13" t="s">
        <v>11</v>
      </c>
      <c r="H1285" s="13" t="s">
        <v>2792</v>
      </c>
    </row>
    <row r="1286" spans="1:8" x14ac:dyDescent="0.25">
      <c r="A1286" t="s">
        <v>2536</v>
      </c>
      <c r="B1286" s="15" cm="1">
        <f t="array" ref="B1286">_xll.GetPrice("FP-LBR-0838",,"Low",_SPECIFIEDvarPubDate,)</f>
        <v>475</v>
      </c>
      <c r="C1286" s="1">
        <f t="shared" si="60"/>
        <v>45848</v>
      </c>
      <c r="D1286">
        <f t="shared" si="61"/>
        <v>2025</v>
      </c>
      <c r="E1286">
        <f t="shared" si="62"/>
        <v>7</v>
      </c>
      <c r="F1286" s="13" t="s">
        <v>2537</v>
      </c>
      <c r="G1286" s="13" t="s">
        <v>11</v>
      </c>
      <c r="H1286" s="13" t="s">
        <v>2792</v>
      </c>
    </row>
    <row r="1287" spans="1:8" x14ac:dyDescent="0.25">
      <c r="A1287" t="s">
        <v>2538</v>
      </c>
      <c r="B1287" s="15" cm="1">
        <f t="array" ref="B1287">_xll.GetPrice("FP-LBR-0839",,"Low",_SPECIFIEDvarPubDate,)</f>
        <v>450</v>
      </c>
      <c r="C1287" s="1">
        <f t="shared" si="60"/>
        <v>45848</v>
      </c>
      <c r="D1287">
        <f t="shared" si="61"/>
        <v>2025</v>
      </c>
      <c r="E1287">
        <f t="shared" si="62"/>
        <v>7</v>
      </c>
      <c r="F1287" s="13" t="s">
        <v>2539</v>
      </c>
      <c r="G1287" s="13" t="s">
        <v>11</v>
      </c>
      <c r="H1287" s="13" t="s">
        <v>2792</v>
      </c>
    </row>
    <row r="1288" spans="1:8" x14ac:dyDescent="0.25">
      <c r="A1288" t="s">
        <v>2540</v>
      </c>
      <c r="B1288" s="15" cm="1">
        <f t="array" ref="B1288">_xll.GetPrice("FP-LBR-0840",,"Low",_SPECIFIEDvarPubDate,)</f>
        <v>510</v>
      </c>
      <c r="C1288" s="1">
        <f t="shared" si="60"/>
        <v>45848</v>
      </c>
      <c r="D1288">
        <f t="shared" si="61"/>
        <v>2025</v>
      </c>
      <c r="E1288">
        <f t="shared" si="62"/>
        <v>7</v>
      </c>
      <c r="F1288" s="13" t="s">
        <v>2541</v>
      </c>
      <c r="G1288" s="13" t="s">
        <v>11</v>
      </c>
      <c r="H1288" s="13" t="s">
        <v>2792</v>
      </c>
    </row>
    <row r="1289" spans="1:8" x14ac:dyDescent="0.25">
      <c r="A1289" t="s">
        <v>2542</v>
      </c>
      <c r="B1289" s="15" cm="1">
        <f t="array" ref="B1289">_xll.GetPrice("FP-LBR-0841",,"Low",_SPECIFIEDvarPubDate,)</f>
        <v>490</v>
      </c>
      <c r="C1289" s="1">
        <f t="shared" si="60"/>
        <v>45848</v>
      </c>
      <c r="D1289">
        <f t="shared" si="61"/>
        <v>2025</v>
      </c>
      <c r="E1289">
        <f t="shared" si="62"/>
        <v>7</v>
      </c>
      <c r="F1289" s="13" t="s">
        <v>2543</v>
      </c>
      <c r="G1289" s="13" t="s">
        <v>11</v>
      </c>
      <c r="H1289" s="13" t="s">
        <v>2792</v>
      </c>
    </row>
    <row r="1290" spans="1:8" x14ac:dyDescent="0.25">
      <c r="A1290" t="s">
        <v>2544</v>
      </c>
      <c r="B1290" s="15" cm="1">
        <f t="array" ref="B1290">_xll.GetPrice("FP-LBR-0842",,"Low",_SPECIFIEDvarPubDate,)</f>
        <v>490</v>
      </c>
      <c r="C1290" s="1">
        <f t="shared" si="60"/>
        <v>45848</v>
      </c>
      <c r="D1290">
        <f t="shared" si="61"/>
        <v>2025</v>
      </c>
      <c r="E1290">
        <f t="shared" si="62"/>
        <v>7</v>
      </c>
      <c r="F1290" s="13" t="s">
        <v>2545</v>
      </c>
      <c r="G1290" s="13" t="s">
        <v>11</v>
      </c>
      <c r="H1290" s="13" t="s">
        <v>2792</v>
      </c>
    </row>
    <row r="1291" spans="1:8" x14ac:dyDescent="0.25">
      <c r="A1291" t="s">
        <v>2546</v>
      </c>
      <c r="B1291" s="15" cm="1">
        <f t="array" ref="B1291">_xll.GetPrice("FP-LBR-0843",,"Low",_SPECIFIEDvarPubDate,)</f>
        <v>420</v>
      </c>
      <c r="C1291" s="1">
        <f t="shared" si="60"/>
        <v>45848</v>
      </c>
      <c r="D1291">
        <f t="shared" si="61"/>
        <v>2025</v>
      </c>
      <c r="E1291">
        <f t="shared" si="62"/>
        <v>7</v>
      </c>
      <c r="F1291" s="13" t="s">
        <v>2547</v>
      </c>
      <c r="G1291" s="13" t="s">
        <v>11</v>
      </c>
      <c r="H1291" s="13" t="s">
        <v>2792</v>
      </c>
    </row>
    <row r="1292" spans="1:8" x14ac:dyDescent="0.25">
      <c r="A1292" t="s">
        <v>2548</v>
      </c>
      <c r="B1292" s="15" cm="1">
        <f t="array" ref="B1292">_xll.GetPrice("FP-LBR-0844",,"Low",_SPECIFIEDvarPubDate,)</f>
        <v>405</v>
      </c>
      <c r="C1292" s="1">
        <f t="shared" si="60"/>
        <v>45848</v>
      </c>
      <c r="D1292">
        <f t="shared" si="61"/>
        <v>2025</v>
      </c>
      <c r="E1292">
        <f t="shared" si="62"/>
        <v>7</v>
      </c>
      <c r="F1292" s="13" t="s">
        <v>2549</v>
      </c>
      <c r="G1292" s="13" t="s">
        <v>11</v>
      </c>
      <c r="H1292" s="13" t="s">
        <v>2792</v>
      </c>
    </row>
    <row r="1293" spans="1:8" x14ac:dyDescent="0.25">
      <c r="A1293" t="s">
        <v>2550</v>
      </c>
      <c r="B1293" s="15" cm="1">
        <f t="array" ref="B1293">_xll.GetPrice("FP-LBR-0845",,"Low",_SPECIFIEDvarPubDate,)</f>
        <v>475</v>
      </c>
      <c r="C1293" s="1">
        <f t="shared" si="60"/>
        <v>45848</v>
      </c>
      <c r="D1293">
        <f t="shared" si="61"/>
        <v>2025</v>
      </c>
      <c r="E1293">
        <f t="shared" si="62"/>
        <v>7</v>
      </c>
      <c r="F1293" s="13" t="s">
        <v>2551</v>
      </c>
      <c r="G1293" s="13" t="s">
        <v>11</v>
      </c>
      <c r="H1293" s="13" t="s">
        <v>2792</v>
      </c>
    </row>
    <row r="1294" spans="1:8" x14ac:dyDescent="0.25">
      <c r="A1294" t="s">
        <v>2552</v>
      </c>
      <c r="B1294" s="15" cm="1">
        <f t="array" ref="B1294">_xll.GetPrice("FP-LBR-0846",,"Low",_SPECIFIEDvarPubDate,)</f>
        <v>475</v>
      </c>
      <c r="C1294" s="1">
        <f t="shared" si="60"/>
        <v>45848</v>
      </c>
      <c r="D1294">
        <f t="shared" si="61"/>
        <v>2025</v>
      </c>
      <c r="E1294">
        <f t="shared" si="62"/>
        <v>7</v>
      </c>
      <c r="F1294" s="13" t="s">
        <v>2553</v>
      </c>
      <c r="G1294" s="13" t="s">
        <v>11</v>
      </c>
      <c r="H1294" s="13" t="s">
        <v>2792</v>
      </c>
    </row>
    <row r="1295" spans="1:8" x14ac:dyDescent="0.25">
      <c r="A1295" t="s">
        <v>2554</v>
      </c>
      <c r="B1295" s="15" cm="1">
        <f t="array" ref="B1295">_xll.GetPrice("FP-LBR-0847",,"Low",_SPECIFIEDvarPubDate,)</f>
        <v>440</v>
      </c>
      <c r="C1295" s="1">
        <f t="shared" si="60"/>
        <v>45848</v>
      </c>
      <c r="D1295">
        <f t="shared" si="61"/>
        <v>2025</v>
      </c>
      <c r="E1295">
        <f t="shared" si="62"/>
        <v>7</v>
      </c>
      <c r="F1295" s="13" t="s">
        <v>2555</v>
      </c>
      <c r="G1295" s="13" t="s">
        <v>11</v>
      </c>
      <c r="H1295" s="13" t="s">
        <v>2792</v>
      </c>
    </row>
    <row r="1296" spans="1:8" x14ac:dyDescent="0.25">
      <c r="A1296" t="s">
        <v>2556</v>
      </c>
      <c r="B1296" s="15" cm="1">
        <f t="array" ref="B1296">_xll.GetPrice("FP-LBR-0848",,"Low",_SPECIFIEDvarPubDate,)</f>
        <v>480</v>
      </c>
      <c r="C1296" s="1">
        <f t="shared" si="60"/>
        <v>45848</v>
      </c>
      <c r="D1296">
        <f t="shared" si="61"/>
        <v>2025</v>
      </c>
      <c r="E1296">
        <f t="shared" si="62"/>
        <v>7</v>
      </c>
      <c r="F1296" s="13" t="s">
        <v>2557</v>
      </c>
      <c r="G1296" s="13" t="s">
        <v>11</v>
      </c>
      <c r="H1296" s="13" t="s">
        <v>2792</v>
      </c>
    </row>
    <row r="1297" spans="1:8" x14ac:dyDescent="0.25">
      <c r="A1297" t="s">
        <v>2558</v>
      </c>
      <c r="B1297" s="15" cm="1">
        <f t="array" ref="B1297">_xll.GetPrice("FP-LBR-0849",,"Low",_SPECIFIEDvarPubDate,)</f>
        <v>445</v>
      </c>
      <c r="C1297" s="1">
        <f t="shared" si="60"/>
        <v>45848</v>
      </c>
      <c r="D1297">
        <f t="shared" si="61"/>
        <v>2025</v>
      </c>
      <c r="E1297">
        <f t="shared" si="62"/>
        <v>7</v>
      </c>
      <c r="F1297" s="13" t="s">
        <v>2559</v>
      </c>
      <c r="G1297" s="13" t="s">
        <v>11</v>
      </c>
      <c r="H1297" s="13" t="s">
        <v>2792</v>
      </c>
    </row>
    <row r="1298" spans="1:8" x14ac:dyDescent="0.25">
      <c r="A1298" t="s">
        <v>2560</v>
      </c>
      <c r="B1298" s="15" cm="1">
        <f t="array" ref="B1298">_xll.GetPrice("FP-LBR-0850",,"Low",_SPECIFIEDvarPubDate,)</f>
        <v>480</v>
      </c>
      <c r="C1298" s="1">
        <f t="shared" si="60"/>
        <v>45848</v>
      </c>
      <c r="D1298">
        <f t="shared" si="61"/>
        <v>2025</v>
      </c>
      <c r="E1298">
        <f t="shared" si="62"/>
        <v>7</v>
      </c>
      <c r="F1298" s="13" t="s">
        <v>2561</v>
      </c>
      <c r="G1298" s="13" t="s">
        <v>11</v>
      </c>
      <c r="H1298" s="13" t="s">
        <v>2792</v>
      </c>
    </row>
    <row r="1299" spans="1:8" x14ac:dyDescent="0.25">
      <c r="A1299" t="s">
        <v>2562</v>
      </c>
      <c r="B1299" s="15" cm="1">
        <f t="array" ref="B1299">_xll.GetPrice("FP-LBR-0851",,"Low",_SPECIFIEDvarPubDate,)</f>
        <v>560</v>
      </c>
      <c r="C1299" s="1">
        <f t="shared" si="60"/>
        <v>45848</v>
      </c>
      <c r="D1299">
        <f t="shared" si="61"/>
        <v>2025</v>
      </c>
      <c r="E1299">
        <f t="shared" si="62"/>
        <v>7</v>
      </c>
      <c r="F1299" s="13" t="s">
        <v>2563</v>
      </c>
      <c r="G1299" s="13" t="s">
        <v>11</v>
      </c>
      <c r="H1299" s="13" t="s">
        <v>2792</v>
      </c>
    </row>
    <row r="1300" spans="1:8" x14ac:dyDescent="0.25">
      <c r="A1300" t="s">
        <v>2564</v>
      </c>
      <c r="B1300" s="15" cm="1">
        <f t="array" ref="B1300">_xll.GetPrice("FP-LBR-0852",,"Low",_SPECIFIEDvarPubDate,)</f>
        <v>610</v>
      </c>
      <c r="C1300" s="1">
        <f t="shared" si="60"/>
        <v>45848</v>
      </c>
      <c r="D1300">
        <f t="shared" si="61"/>
        <v>2025</v>
      </c>
      <c r="E1300">
        <f t="shared" si="62"/>
        <v>7</v>
      </c>
      <c r="F1300" s="13" t="s">
        <v>2565</v>
      </c>
      <c r="G1300" s="13" t="s">
        <v>11</v>
      </c>
      <c r="H1300" s="13" t="s">
        <v>2792</v>
      </c>
    </row>
    <row r="1301" spans="1:8" x14ac:dyDescent="0.25">
      <c r="A1301" t="s">
        <v>2566</v>
      </c>
      <c r="B1301" s="15" cm="1">
        <f t="array" ref="B1301">_xll.GetPrice("FP-LBR-0853",,"Low",_SPECIFIEDvarPubDate,)</f>
        <v>505</v>
      </c>
      <c r="C1301" s="1">
        <f t="shared" si="60"/>
        <v>45848</v>
      </c>
      <c r="D1301">
        <f t="shared" si="61"/>
        <v>2025</v>
      </c>
      <c r="E1301">
        <f t="shared" si="62"/>
        <v>7</v>
      </c>
      <c r="F1301" s="13" t="s">
        <v>2567</v>
      </c>
      <c r="G1301" s="13" t="s">
        <v>11</v>
      </c>
      <c r="H1301" s="13" t="s">
        <v>2792</v>
      </c>
    </row>
    <row r="1302" spans="1:8" x14ac:dyDescent="0.25">
      <c r="A1302" t="s">
        <v>2568</v>
      </c>
      <c r="B1302" s="15" cm="1">
        <f t="array" ref="B1302">_xll.GetPrice("FP-LBR-0854",,"Low",_SPECIFIEDvarPubDate,)</f>
        <v>460</v>
      </c>
      <c r="C1302" s="1">
        <f t="shared" si="60"/>
        <v>45848</v>
      </c>
      <c r="D1302">
        <f t="shared" si="61"/>
        <v>2025</v>
      </c>
      <c r="E1302">
        <f t="shared" si="62"/>
        <v>7</v>
      </c>
      <c r="F1302" s="13" t="s">
        <v>2569</v>
      </c>
      <c r="G1302" s="13" t="s">
        <v>11</v>
      </c>
      <c r="H1302" s="13" t="s">
        <v>2792</v>
      </c>
    </row>
    <row r="1303" spans="1:8" x14ac:dyDescent="0.25">
      <c r="A1303" t="s">
        <v>2570</v>
      </c>
      <c r="B1303" s="15" cm="1">
        <f t="array" ref="B1303">_xll.GetPrice("FP-LBR-0855",,"Low",_SPECIFIEDvarPubDate,)</f>
        <v>555</v>
      </c>
      <c r="C1303" s="1">
        <f t="shared" si="60"/>
        <v>45848</v>
      </c>
      <c r="D1303">
        <f t="shared" si="61"/>
        <v>2025</v>
      </c>
      <c r="E1303">
        <f t="shared" si="62"/>
        <v>7</v>
      </c>
      <c r="F1303" s="13" t="s">
        <v>2571</v>
      </c>
      <c r="G1303" s="13" t="s">
        <v>11</v>
      </c>
      <c r="H1303" s="13" t="s">
        <v>2792</v>
      </c>
    </row>
    <row r="1304" spans="1:8" x14ac:dyDescent="0.25">
      <c r="A1304" t="s">
        <v>2572</v>
      </c>
      <c r="B1304" s="15" cm="1">
        <f t="array" ref="B1304">_xll.GetPrice("FP-LBR-1811",,"Low",_SPECIFIEDvarPubDate,)</f>
        <v>2900</v>
      </c>
      <c r="C1304" s="1">
        <f t="shared" si="60"/>
        <v>45848</v>
      </c>
      <c r="D1304">
        <f t="shared" si="61"/>
        <v>2025</v>
      </c>
      <c r="E1304">
        <f t="shared" si="62"/>
        <v>7</v>
      </c>
      <c r="F1304" s="13" t="s">
        <v>2573</v>
      </c>
      <c r="G1304" s="13" t="s">
        <v>11</v>
      </c>
      <c r="H1304" s="13" t="s">
        <v>2792</v>
      </c>
    </row>
    <row r="1305" spans="1:8" x14ac:dyDescent="0.25">
      <c r="A1305" t="s">
        <v>2574</v>
      </c>
      <c r="B1305" s="15" cm="1">
        <f t="array" ref="B1305">_xll.GetPrice("FP-LBR-2201",,"Low",_SPECIFIEDvarPubDate,)</f>
        <v>1135</v>
      </c>
      <c r="C1305" s="1">
        <f t="shared" si="60"/>
        <v>45848</v>
      </c>
      <c r="D1305">
        <f t="shared" si="61"/>
        <v>2025</v>
      </c>
      <c r="E1305">
        <f t="shared" si="62"/>
        <v>7</v>
      </c>
      <c r="F1305" s="13" t="s">
        <v>2575</v>
      </c>
      <c r="G1305" s="13" t="s">
        <v>11</v>
      </c>
      <c r="H1305" s="13" t="s">
        <v>2792</v>
      </c>
    </row>
    <row r="1306" spans="1:8" x14ac:dyDescent="0.25">
      <c r="A1306" t="s">
        <v>2576</v>
      </c>
      <c r="B1306" s="15" cm="1">
        <f t="array" ref="B1306">_xll.GetPrice("FP-LBR-2202",,"Low",_SPECIFIEDvarPubDate,)</f>
        <v>2270</v>
      </c>
      <c r="C1306" s="1">
        <f t="shared" si="60"/>
        <v>45848</v>
      </c>
      <c r="D1306">
        <f t="shared" si="61"/>
        <v>2025</v>
      </c>
      <c r="E1306">
        <f t="shared" si="62"/>
        <v>7</v>
      </c>
      <c r="F1306" s="13" t="s">
        <v>2577</v>
      </c>
      <c r="G1306" s="13" t="s">
        <v>11</v>
      </c>
      <c r="H1306" s="13" t="s">
        <v>2792</v>
      </c>
    </row>
    <row r="1307" spans="1:8" x14ac:dyDescent="0.25">
      <c r="A1307" t="s">
        <v>2578</v>
      </c>
      <c r="B1307" s="15" cm="1">
        <f t="array" ref="B1307">_xll.GetPrice("FP-LBR-2203",,"Low",_SPECIFIEDvarPubDate,)</f>
        <v>2785</v>
      </c>
      <c r="C1307" s="1">
        <f t="shared" si="60"/>
        <v>45848</v>
      </c>
      <c r="D1307">
        <f t="shared" si="61"/>
        <v>2025</v>
      </c>
      <c r="E1307">
        <f t="shared" si="62"/>
        <v>7</v>
      </c>
      <c r="F1307" s="13" t="s">
        <v>2579</v>
      </c>
      <c r="G1307" s="13" t="s">
        <v>11</v>
      </c>
      <c r="H1307" s="13" t="s">
        <v>2792</v>
      </c>
    </row>
    <row r="1308" spans="1:8" x14ac:dyDescent="0.25">
      <c r="A1308" t="s">
        <v>2580</v>
      </c>
      <c r="B1308" s="15" cm="1">
        <f t="array" ref="B1308">_xll.GetPrice("FP-LBR-2195",,"Low",_SPECIFIEDvarPubDate,)</f>
        <v>3095</v>
      </c>
      <c r="C1308" s="1">
        <f t="shared" si="60"/>
        <v>45848</v>
      </c>
      <c r="D1308">
        <f t="shared" si="61"/>
        <v>2025</v>
      </c>
      <c r="E1308">
        <f t="shared" si="62"/>
        <v>7</v>
      </c>
      <c r="F1308" s="13" t="s">
        <v>2581</v>
      </c>
      <c r="G1308" s="13" t="s">
        <v>11</v>
      </c>
      <c r="H1308" s="13" t="s">
        <v>2792</v>
      </c>
    </row>
    <row r="1309" spans="1:8" x14ac:dyDescent="0.25">
      <c r="A1309" t="s">
        <v>2582</v>
      </c>
      <c r="B1309" s="15" cm="1">
        <f t="array" ref="B1309">_xll.GetPrice("FP-LBR-1268",,"Low",_SPECIFIEDvarPubDate,)</f>
        <v>575</v>
      </c>
      <c r="C1309" s="1">
        <f t="shared" si="60"/>
        <v>45848</v>
      </c>
      <c r="D1309">
        <f t="shared" si="61"/>
        <v>2025</v>
      </c>
      <c r="E1309">
        <f t="shared" si="62"/>
        <v>7</v>
      </c>
      <c r="F1309" s="13" t="s">
        <v>2583</v>
      </c>
      <c r="G1309" s="13" t="s">
        <v>11</v>
      </c>
      <c r="H1309" s="13" t="s">
        <v>2792</v>
      </c>
    </row>
    <row r="1310" spans="1:8" x14ac:dyDescent="0.25">
      <c r="A1310" t="s">
        <v>2584</v>
      </c>
      <c r="B1310" s="15" cm="1">
        <f t="array" ref="B1310">_xll.GetPrice("FP-LBR-1269",,"Low",_SPECIFIEDvarPubDate,)</f>
        <v>580</v>
      </c>
      <c r="C1310" s="1">
        <f t="shared" si="60"/>
        <v>45848</v>
      </c>
      <c r="D1310">
        <f t="shared" si="61"/>
        <v>2025</v>
      </c>
      <c r="E1310">
        <f t="shared" si="62"/>
        <v>7</v>
      </c>
      <c r="F1310" s="13" t="s">
        <v>2585</v>
      </c>
      <c r="G1310" s="13" t="s">
        <v>11</v>
      </c>
      <c r="H1310" s="13" t="s">
        <v>2792</v>
      </c>
    </row>
    <row r="1311" spans="1:8" x14ac:dyDescent="0.25">
      <c r="A1311" t="s">
        <v>2586</v>
      </c>
      <c r="B1311" s="15" cm="1">
        <f t="array" ref="B1311">_xll.GetPrice("FP-LBR-1270",,"Low",_SPECIFIEDvarPubDate,)</f>
        <v>630</v>
      </c>
      <c r="C1311" s="1">
        <f t="shared" si="60"/>
        <v>45848</v>
      </c>
      <c r="D1311">
        <f t="shared" si="61"/>
        <v>2025</v>
      </c>
      <c r="E1311">
        <f t="shared" si="62"/>
        <v>7</v>
      </c>
      <c r="F1311" s="13" t="s">
        <v>2587</v>
      </c>
      <c r="G1311" s="13" t="s">
        <v>11</v>
      </c>
      <c r="H1311" s="13" t="s">
        <v>2792</v>
      </c>
    </row>
    <row r="1312" spans="1:8" x14ac:dyDescent="0.25">
      <c r="A1312" t="s">
        <v>2588</v>
      </c>
      <c r="B1312" s="15" cm="1">
        <f t="array" ref="B1312">_xll.GetPrice("FP-LBR-1271",,"Low",_SPECIFIEDvarPubDate,)</f>
        <v>480</v>
      </c>
      <c r="C1312" s="1">
        <f t="shared" si="60"/>
        <v>45848</v>
      </c>
      <c r="D1312">
        <f t="shared" si="61"/>
        <v>2025</v>
      </c>
      <c r="E1312">
        <f t="shared" si="62"/>
        <v>7</v>
      </c>
      <c r="F1312" s="13" t="s">
        <v>2589</v>
      </c>
      <c r="G1312" s="13" t="s">
        <v>11</v>
      </c>
      <c r="H1312" s="13" t="s">
        <v>2792</v>
      </c>
    </row>
    <row r="1313" spans="1:8" x14ac:dyDescent="0.25">
      <c r="A1313" t="s">
        <v>2590</v>
      </c>
      <c r="B1313" s="15" cm="1">
        <f t="array" ref="B1313">_xll.GetPrice("FP-LBR-1272",,"Low",_SPECIFIEDvarPubDate,)</f>
        <v>590</v>
      </c>
      <c r="C1313" s="1">
        <f t="shared" si="60"/>
        <v>45848</v>
      </c>
      <c r="D1313">
        <f t="shared" si="61"/>
        <v>2025</v>
      </c>
      <c r="E1313">
        <f t="shared" si="62"/>
        <v>7</v>
      </c>
      <c r="F1313" s="13" t="s">
        <v>2591</v>
      </c>
      <c r="G1313" s="13" t="s">
        <v>11</v>
      </c>
      <c r="H1313" s="13" t="s">
        <v>2792</v>
      </c>
    </row>
    <row r="1314" spans="1:8" x14ac:dyDescent="0.25">
      <c r="A1314" t="s">
        <v>2592</v>
      </c>
      <c r="B1314" s="15" cm="1">
        <f t="array" ref="B1314">_xll.GetPrice("FP-LBR-1273",,"Low",_SPECIFIEDvarPubDate,)</f>
        <v>640</v>
      </c>
      <c r="C1314" s="1">
        <f t="shared" si="60"/>
        <v>45848</v>
      </c>
      <c r="D1314">
        <f t="shared" si="61"/>
        <v>2025</v>
      </c>
      <c r="E1314">
        <f t="shared" si="62"/>
        <v>7</v>
      </c>
      <c r="F1314" s="13" t="s">
        <v>2593</v>
      </c>
      <c r="G1314" s="13" t="s">
        <v>11</v>
      </c>
      <c r="H1314" s="13" t="s">
        <v>2792</v>
      </c>
    </row>
    <row r="1315" spans="1:8" x14ac:dyDescent="0.25">
      <c r="A1315" t="s">
        <v>2594</v>
      </c>
      <c r="B1315" s="15" cm="1">
        <f t="array" ref="B1315">_xll.GetPrice("FP-LBR-1230",,"Low",_SPECIFIEDvarPubDate,)</f>
        <v>645</v>
      </c>
      <c r="C1315" s="1">
        <f t="shared" si="60"/>
        <v>45848</v>
      </c>
      <c r="D1315">
        <f t="shared" si="61"/>
        <v>2025</v>
      </c>
      <c r="E1315">
        <f t="shared" si="62"/>
        <v>7</v>
      </c>
      <c r="F1315" s="13" t="s">
        <v>2595</v>
      </c>
      <c r="G1315" s="13" t="s">
        <v>11</v>
      </c>
      <c r="H1315" s="13" t="s">
        <v>2792</v>
      </c>
    </row>
    <row r="1316" spans="1:8" x14ac:dyDescent="0.25">
      <c r="A1316" t="s">
        <v>2596</v>
      </c>
      <c r="B1316" s="15" cm="1">
        <f t="array" ref="B1316">_xll.GetPrice("FP-LBR-1231",,"Low",_SPECIFIEDvarPubDate,)</f>
        <v>590</v>
      </c>
      <c r="C1316" s="1">
        <f t="shared" si="60"/>
        <v>45848</v>
      </c>
      <c r="D1316">
        <f t="shared" si="61"/>
        <v>2025</v>
      </c>
      <c r="E1316">
        <f t="shared" si="62"/>
        <v>7</v>
      </c>
      <c r="F1316" s="13" t="s">
        <v>2597</v>
      </c>
      <c r="G1316" s="13" t="s">
        <v>11</v>
      </c>
      <c r="H1316" s="13" t="s">
        <v>2792</v>
      </c>
    </row>
    <row r="1317" spans="1:8" x14ac:dyDescent="0.25">
      <c r="A1317" t="s">
        <v>2598</v>
      </c>
      <c r="B1317" s="15" cm="1">
        <f t="array" ref="B1317">_xll.GetPrice("FP-LBR-1232",,"Low",_SPECIFIEDvarPubDate,)</f>
        <v>590</v>
      </c>
      <c r="C1317" s="1">
        <f t="shared" si="60"/>
        <v>45848</v>
      </c>
      <c r="D1317">
        <f t="shared" si="61"/>
        <v>2025</v>
      </c>
      <c r="E1317">
        <f t="shared" si="62"/>
        <v>7</v>
      </c>
      <c r="F1317" s="13" t="s">
        <v>2599</v>
      </c>
      <c r="G1317" s="13" t="s">
        <v>11</v>
      </c>
      <c r="H1317" s="13" t="s">
        <v>2792</v>
      </c>
    </row>
    <row r="1318" spans="1:8" x14ac:dyDescent="0.25">
      <c r="A1318" t="s">
        <v>2600</v>
      </c>
      <c r="B1318" s="15" cm="1">
        <f t="array" ref="B1318">_xll.GetPrice("FP-LBR-1233",,"Low",_SPECIFIEDvarPubDate,)</f>
        <v>745</v>
      </c>
      <c r="C1318" s="1">
        <f t="shared" si="60"/>
        <v>45848</v>
      </c>
      <c r="D1318">
        <f t="shared" si="61"/>
        <v>2025</v>
      </c>
      <c r="E1318">
        <f t="shared" si="62"/>
        <v>7</v>
      </c>
      <c r="F1318" s="13" t="s">
        <v>2601</v>
      </c>
      <c r="G1318" s="13" t="s">
        <v>11</v>
      </c>
      <c r="H1318" s="13" t="s">
        <v>2792</v>
      </c>
    </row>
    <row r="1319" spans="1:8" x14ac:dyDescent="0.25">
      <c r="A1319" t="s">
        <v>2602</v>
      </c>
      <c r="B1319" s="15" cm="1">
        <f t="array" ref="B1319">_xll.GetPrice("FP-LBR-1234",,"Low",_SPECIFIEDvarPubDate,)</f>
        <v>445</v>
      </c>
      <c r="C1319" s="1">
        <f t="shared" si="60"/>
        <v>45848</v>
      </c>
      <c r="D1319">
        <f t="shared" si="61"/>
        <v>2025</v>
      </c>
      <c r="E1319">
        <f t="shared" si="62"/>
        <v>7</v>
      </c>
      <c r="F1319" s="13" t="s">
        <v>2603</v>
      </c>
      <c r="G1319" s="13" t="s">
        <v>11</v>
      </c>
      <c r="H1319" s="13" t="s">
        <v>2792</v>
      </c>
    </row>
    <row r="1320" spans="1:8" x14ac:dyDescent="0.25">
      <c r="A1320" t="s">
        <v>2604</v>
      </c>
      <c r="B1320" s="15" cm="1">
        <f t="array" ref="B1320">_xll.GetPrice("FP-LBR-1235",,"Low",_SPECIFIEDvarPubDate,)</f>
        <v>410</v>
      </c>
      <c r="C1320" s="1">
        <f t="shared" si="60"/>
        <v>45848</v>
      </c>
      <c r="D1320">
        <f t="shared" si="61"/>
        <v>2025</v>
      </c>
      <c r="E1320">
        <f t="shared" si="62"/>
        <v>7</v>
      </c>
      <c r="F1320" s="13" t="s">
        <v>2605</v>
      </c>
      <c r="G1320" s="13" t="s">
        <v>11</v>
      </c>
      <c r="H1320" s="13" t="s">
        <v>2792</v>
      </c>
    </row>
    <row r="1321" spans="1:8" x14ac:dyDescent="0.25">
      <c r="A1321" t="s">
        <v>2606</v>
      </c>
      <c r="B1321" s="15" cm="1">
        <f t="array" ref="B1321">_xll.GetPrice("FP-LBR-1312",,"Low",_SPECIFIEDvarPubDate,)</f>
        <v>375</v>
      </c>
      <c r="C1321" s="1">
        <f t="shared" si="60"/>
        <v>45848</v>
      </c>
      <c r="D1321">
        <f t="shared" si="61"/>
        <v>2025</v>
      </c>
      <c r="E1321">
        <f t="shared" si="62"/>
        <v>7</v>
      </c>
      <c r="F1321" s="13" t="s">
        <v>2607</v>
      </c>
      <c r="G1321" s="13" t="s">
        <v>11</v>
      </c>
      <c r="H1321" s="13" t="s">
        <v>2792</v>
      </c>
    </row>
    <row r="1322" spans="1:8" x14ac:dyDescent="0.25">
      <c r="A1322" t="s">
        <v>2608</v>
      </c>
      <c r="B1322" s="15" cm="1">
        <f t="array" ref="B1322">_xll.GetPrice("FP-LBR-1313",,"Low",_SPECIFIEDvarPubDate,)</f>
        <v>375</v>
      </c>
      <c r="C1322" s="1">
        <f t="shared" si="60"/>
        <v>45848</v>
      </c>
      <c r="D1322">
        <f t="shared" si="61"/>
        <v>2025</v>
      </c>
      <c r="E1322">
        <f t="shared" si="62"/>
        <v>7</v>
      </c>
      <c r="F1322" s="13" t="s">
        <v>2609</v>
      </c>
      <c r="G1322" s="13" t="s">
        <v>11</v>
      </c>
      <c r="H1322" s="13" t="s">
        <v>2792</v>
      </c>
    </row>
    <row r="1323" spans="1:8" x14ac:dyDescent="0.25">
      <c r="A1323" t="s">
        <v>2610</v>
      </c>
      <c r="B1323" s="15" cm="1">
        <f t="array" ref="B1323">_xll.GetPrice("FP-LBR-1314",,"Low",_SPECIFIEDvarPubDate,)</f>
        <v>360</v>
      </c>
      <c r="C1323" s="1">
        <f t="shared" si="60"/>
        <v>45848</v>
      </c>
      <c r="D1323">
        <f t="shared" si="61"/>
        <v>2025</v>
      </c>
      <c r="E1323">
        <f t="shared" si="62"/>
        <v>7</v>
      </c>
      <c r="F1323" s="13" t="s">
        <v>2611</v>
      </c>
      <c r="G1323" s="13" t="s">
        <v>11</v>
      </c>
      <c r="H1323" s="13" t="s">
        <v>2792</v>
      </c>
    </row>
    <row r="1324" spans="1:8" x14ac:dyDescent="0.25">
      <c r="A1324" t="s">
        <v>2612</v>
      </c>
      <c r="B1324" s="15" cm="1">
        <f t="array" ref="B1324">_xll.GetPrice("FP-LBR-1860",,"Low",_SPECIFIEDvarPubDate,)</f>
        <v>608</v>
      </c>
      <c r="C1324" s="1">
        <f t="shared" si="60"/>
        <v>45848</v>
      </c>
      <c r="D1324">
        <f t="shared" si="61"/>
        <v>2025</v>
      </c>
      <c r="E1324">
        <f t="shared" si="62"/>
        <v>7</v>
      </c>
      <c r="F1324" s="13" t="s">
        <v>2613</v>
      </c>
      <c r="G1324" s="13" t="s">
        <v>11</v>
      </c>
      <c r="H1324" s="13" t="s">
        <v>2792</v>
      </c>
    </row>
    <row r="1325" spans="1:8" x14ac:dyDescent="0.25">
      <c r="A1325" t="s">
        <v>2614</v>
      </c>
      <c r="B1325" s="15" cm="1">
        <f t="array" ref="B1325">_xll.GetPrice("FP-LBR-1918",,"Low",_SPECIFIEDvarPubDate,)</f>
        <v>566</v>
      </c>
      <c r="C1325" s="1">
        <f t="shared" si="60"/>
        <v>45848</v>
      </c>
      <c r="D1325">
        <f t="shared" si="61"/>
        <v>2025</v>
      </c>
      <c r="E1325">
        <f t="shared" si="62"/>
        <v>7</v>
      </c>
      <c r="F1325" s="13" t="s">
        <v>2615</v>
      </c>
      <c r="G1325" s="13" t="s">
        <v>11</v>
      </c>
      <c r="H1325" s="13" t="s">
        <v>2792</v>
      </c>
    </row>
    <row r="1326" spans="1:8" x14ac:dyDescent="0.25">
      <c r="A1326" t="s">
        <v>2616</v>
      </c>
      <c r="B1326" s="15" cm="1">
        <f t="array" ref="B1326">_xll.GetPrice("FP-LBR-1954",,"Low",_SPECIFIEDvarPubDate,)</f>
        <v>480</v>
      </c>
      <c r="C1326" s="1">
        <f t="shared" si="60"/>
        <v>45848</v>
      </c>
      <c r="D1326">
        <f t="shared" si="61"/>
        <v>2025</v>
      </c>
      <c r="E1326">
        <f t="shared" si="62"/>
        <v>7</v>
      </c>
      <c r="F1326" s="13" t="s">
        <v>2617</v>
      </c>
      <c r="G1326" s="13" t="s">
        <v>11</v>
      </c>
      <c r="H1326" s="13" t="s">
        <v>2792</v>
      </c>
    </row>
    <row r="1327" spans="1:8" x14ac:dyDescent="0.25">
      <c r="A1327" t="s">
        <v>2618</v>
      </c>
      <c r="B1327" s="15" cm="1">
        <f t="array" ref="B1327">_xll.GetPrice("FP-LBR-1848",,"Low",_SPECIFIEDvarPubDate,)</f>
        <v>355</v>
      </c>
      <c r="C1327" s="1">
        <f t="shared" si="60"/>
        <v>45848</v>
      </c>
      <c r="D1327">
        <f t="shared" si="61"/>
        <v>2025</v>
      </c>
      <c r="E1327">
        <f t="shared" si="62"/>
        <v>7</v>
      </c>
      <c r="F1327" s="13" t="s">
        <v>2619</v>
      </c>
      <c r="G1327" s="13" t="s">
        <v>11</v>
      </c>
      <c r="H1327" s="13" t="s">
        <v>2792</v>
      </c>
    </row>
    <row r="1328" spans="1:8" x14ac:dyDescent="0.25">
      <c r="A1328" t="s">
        <v>2620</v>
      </c>
      <c r="B1328" s="15" cm="1">
        <f t="array" ref="B1328">_xll.GetPrice("FP-LBR-1863",,"Low",_SPECIFIEDvarPubDate,)</f>
        <v>618</v>
      </c>
      <c r="C1328" s="1">
        <f t="shared" si="60"/>
        <v>45848</v>
      </c>
      <c r="D1328">
        <f t="shared" si="61"/>
        <v>2025</v>
      </c>
      <c r="E1328">
        <f t="shared" si="62"/>
        <v>7</v>
      </c>
      <c r="F1328" s="13" t="s">
        <v>2621</v>
      </c>
      <c r="G1328" s="13" t="s">
        <v>11</v>
      </c>
      <c r="H1328" s="13" t="s">
        <v>2792</v>
      </c>
    </row>
    <row r="1329" spans="1:8" x14ac:dyDescent="0.25">
      <c r="A1329" t="s">
        <v>2622</v>
      </c>
      <c r="B1329" s="15" cm="1">
        <f t="array" ref="B1329">_xll.GetPrice("FP-LBR-1906",,"Low",_SPECIFIEDvarPubDate,)</f>
        <v>307</v>
      </c>
      <c r="C1329" s="1">
        <f t="shared" si="60"/>
        <v>45848</v>
      </c>
      <c r="D1329">
        <f t="shared" si="61"/>
        <v>2025</v>
      </c>
      <c r="E1329">
        <f t="shared" si="62"/>
        <v>7</v>
      </c>
      <c r="F1329" s="13" t="s">
        <v>2623</v>
      </c>
      <c r="G1329" s="13" t="s">
        <v>11</v>
      </c>
      <c r="H1329" s="13" t="s">
        <v>2792</v>
      </c>
    </row>
    <row r="1330" spans="1:8" x14ac:dyDescent="0.25">
      <c r="A1330" t="s">
        <v>2624</v>
      </c>
      <c r="B1330" s="15" cm="1">
        <f t="array" ref="B1330">_xll.GetPrice("FP-LBR-1921",,"Low",_SPECIFIEDvarPubDate,)</f>
        <v>574</v>
      </c>
      <c r="C1330" s="1">
        <f t="shared" si="60"/>
        <v>45848</v>
      </c>
      <c r="D1330">
        <f t="shared" si="61"/>
        <v>2025</v>
      </c>
      <c r="E1330">
        <f t="shared" si="62"/>
        <v>7</v>
      </c>
      <c r="F1330" s="13" t="s">
        <v>2625</v>
      </c>
      <c r="G1330" s="13" t="s">
        <v>11</v>
      </c>
      <c r="H1330" s="13" t="s">
        <v>2792</v>
      </c>
    </row>
    <row r="1331" spans="1:8" x14ac:dyDescent="0.25">
      <c r="A1331" t="s">
        <v>2626</v>
      </c>
      <c r="B1331" s="15" cm="1">
        <f t="array" ref="B1331">_xll.GetPrice("FP-LBR-1943",,"Low",_SPECIFIEDvarPubDate,)</f>
        <v>405</v>
      </c>
      <c r="C1331" s="1">
        <f t="shared" si="60"/>
        <v>45848</v>
      </c>
      <c r="D1331">
        <f t="shared" si="61"/>
        <v>2025</v>
      </c>
      <c r="E1331">
        <f t="shared" si="62"/>
        <v>7</v>
      </c>
      <c r="F1331" s="13" t="s">
        <v>2627</v>
      </c>
      <c r="G1331" s="13" t="s">
        <v>11</v>
      </c>
      <c r="H1331" s="13" t="s">
        <v>2792</v>
      </c>
    </row>
    <row r="1332" spans="1:8" x14ac:dyDescent="0.25">
      <c r="A1332" t="s">
        <v>2628</v>
      </c>
      <c r="B1332" s="15" cm="1">
        <f t="array" ref="B1332">_xll.GetPrice("FP-LBR-1957",,"Low",_SPECIFIEDvarPubDate,)</f>
        <v>490</v>
      </c>
      <c r="C1332" s="1">
        <f t="shared" si="60"/>
        <v>45848</v>
      </c>
      <c r="D1332">
        <f t="shared" si="61"/>
        <v>2025</v>
      </c>
      <c r="E1332">
        <f t="shared" si="62"/>
        <v>7</v>
      </c>
      <c r="F1332" s="13" t="s">
        <v>2629</v>
      </c>
      <c r="G1332" s="13" t="s">
        <v>11</v>
      </c>
      <c r="H1332" s="13" t="s">
        <v>2792</v>
      </c>
    </row>
    <row r="1333" spans="1:8" x14ac:dyDescent="0.25">
      <c r="A1333" t="s">
        <v>2630</v>
      </c>
      <c r="B1333" s="15" cm="1">
        <f t="array" ref="B1333">_xll.GetPrice("FP-LBR-1901",,"Low",_SPECIFIEDvarPubDate,)</f>
        <v>317</v>
      </c>
      <c r="C1333" s="1">
        <f t="shared" si="60"/>
        <v>45848</v>
      </c>
      <c r="D1333">
        <f t="shared" si="61"/>
        <v>2025</v>
      </c>
      <c r="E1333">
        <f t="shared" si="62"/>
        <v>7</v>
      </c>
      <c r="F1333" s="13" t="s">
        <v>2631</v>
      </c>
      <c r="G1333" s="13" t="s">
        <v>11</v>
      </c>
      <c r="H1333" s="13" t="s">
        <v>2792</v>
      </c>
    </row>
    <row r="1334" spans="1:8" x14ac:dyDescent="0.25">
      <c r="A1334" t="s">
        <v>2632</v>
      </c>
      <c r="B1334" s="15" cm="1">
        <f t="array" ref="B1334">_xll.GetPrice("FP-LBR-1904",,"Low",_SPECIFIEDvarPubDate,)</f>
        <v>375</v>
      </c>
      <c r="C1334" s="1">
        <f t="shared" si="60"/>
        <v>45848</v>
      </c>
      <c r="D1334">
        <f t="shared" si="61"/>
        <v>2025</v>
      </c>
      <c r="E1334">
        <f t="shared" si="62"/>
        <v>7</v>
      </c>
      <c r="F1334" s="13" t="s">
        <v>2633</v>
      </c>
      <c r="G1334" s="13" t="s">
        <v>11</v>
      </c>
      <c r="H1334" s="13" t="s">
        <v>2792</v>
      </c>
    </row>
    <row r="1335" spans="1:8" x14ac:dyDescent="0.25">
      <c r="A1335" t="s">
        <v>2634</v>
      </c>
      <c r="B1335" s="15" cm="1">
        <f t="array" ref="B1335">_xll.GetPrice("FP-LBR-1905",,"Low",_SPECIFIEDvarPubDate,)</f>
        <v>345</v>
      </c>
      <c r="C1335" s="1">
        <f t="shared" si="60"/>
        <v>45848</v>
      </c>
      <c r="D1335">
        <f t="shared" si="61"/>
        <v>2025</v>
      </c>
      <c r="E1335">
        <f t="shared" si="62"/>
        <v>7</v>
      </c>
      <c r="F1335" s="13" t="s">
        <v>2635</v>
      </c>
      <c r="G1335" s="13" t="s">
        <v>11</v>
      </c>
      <c r="H1335" s="13" t="s">
        <v>2792</v>
      </c>
    </row>
    <row r="1336" spans="1:8" x14ac:dyDescent="0.25">
      <c r="A1336" t="s">
        <v>2636</v>
      </c>
      <c r="B1336" s="15" cm="1">
        <f t="array" ref="B1336">_xll.GetPrice("FP-LBR-1907",,"Low",_SPECIFIEDvarPubDate,)</f>
        <v>378</v>
      </c>
      <c r="C1336" s="1">
        <f t="shared" si="60"/>
        <v>45848</v>
      </c>
      <c r="D1336">
        <f t="shared" si="61"/>
        <v>2025</v>
      </c>
      <c r="E1336">
        <f t="shared" si="62"/>
        <v>7</v>
      </c>
      <c r="F1336" s="13" t="s">
        <v>2637</v>
      </c>
      <c r="G1336" s="13" t="s">
        <v>11</v>
      </c>
      <c r="H1336" s="13" t="s">
        <v>2792</v>
      </c>
    </row>
    <row r="1337" spans="1:8" x14ac:dyDescent="0.25">
      <c r="A1337" t="s">
        <v>2638</v>
      </c>
      <c r="B1337" s="15" cm="1">
        <f t="array" ref="B1337">_xll.GetPrice("FP-LBR-1849",,"Low",_SPECIFIEDvarPubDate,)</f>
        <v>423</v>
      </c>
      <c r="C1337" s="1">
        <f t="shared" si="60"/>
        <v>45848</v>
      </c>
      <c r="D1337">
        <f t="shared" si="61"/>
        <v>2025</v>
      </c>
      <c r="E1337">
        <f t="shared" si="62"/>
        <v>7</v>
      </c>
      <c r="F1337" s="13" t="s">
        <v>2639</v>
      </c>
      <c r="G1337" s="13" t="s">
        <v>11</v>
      </c>
      <c r="H1337" s="13" t="s">
        <v>2792</v>
      </c>
    </row>
    <row r="1338" spans="1:8" x14ac:dyDescent="0.25">
      <c r="A1338" t="s">
        <v>2640</v>
      </c>
      <c r="B1338" s="15" cm="1">
        <f t="array" ref="B1338">_xll.GetPrice("FP-LBR-0520",,"Low",_SPECIFIEDvarPubDate,)</f>
        <v>442</v>
      </c>
      <c r="C1338" s="1">
        <f t="shared" si="60"/>
        <v>45848</v>
      </c>
      <c r="D1338">
        <f t="shared" si="61"/>
        <v>2025</v>
      </c>
      <c r="E1338">
        <f t="shared" si="62"/>
        <v>7</v>
      </c>
      <c r="F1338" s="13" t="s">
        <v>2641</v>
      </c>
      <c r="G1338" s="13" t="s">
        <v>11</v>
      </c>
      <c r="H1338" s="13" t="s">
        <v>2792</v>
      </c>
    </row>
    <row r="1339" spans="1:8" x14ac:dyDescent="0.25">
      <c r="A1339" t="s">
        <v>2642</v>
      </c>
      <c r="B1339" s="15" cm="1">
        <f t="array" ref="B1339">_xll.GetPrice("FP-LBR-0530",,"Low",_SPECIFIEDvarPubDate,)</f>
        <v>465</v>
      </c>
      <c r="C1339" s="1">
        <f t="shared" si="60"/>
        <v>45848</v>
      </c>
      <c r="D1339">
        <f t="shared" si="61"/>
        <v>2025</v>
      </c>
      <c r="E1339">
        <f t="shared" si="62"/>
        <v>7</v>
      </c>
      <c r="F1339" s="13" t="s">
        <v>2643</v>
      </c>
      <c r="G1339" s="13" t="s">
        <v>11</v>
      </c>
      <c r="H1339" s="13" t="s">
        <v>2792</v>
      </c>
    </row>
    <row r="1340" spans="1:8" x14ac:dyDescent="0.25">
      <c r="A1340" t="s">
        <v>2644</v>
      </c>
      <c r="B1340" s="15" cm="1">
        <f t="array" ref="B1340">_xll.GetPrice("FP-LBR-0181",,"Low",_SPECIFIEDvarPubDate,)</f>
        <v>470</v>
      </c>
      <c r="C1340" s="1">
        <f t="shared" si="60"/>
        <v>45848</v>
      </c>
      <c r="D1340">
        <f t="shared" si="61"/>
        <v>2025</v>
      </c>
      <c r="E1340">
        <f t="shared" si="62"/>
        <v>7</v>
      </c>
      <c r="F1340" s="13" t="s">
        <v>2645</v>
      </c>
      <c r="G1340" s="13" t="s">
        <v>11</v>
      </c>
      <c r="H1340" s="13" t="s">
        <v>2792</v>
      </c>
    </row>
    <row r="1341" spans="1:8" x14ac:dyDescent="0.25">
      <c r="A1341" t="s">
        <v>2646</v>
      </c>
      <c r="B1341" s="15" cm="1">
        <f t="array" ref="B1341">_xll.GetPrice("FP-LBR-0242",,"Low",_SPECIFIEDvarPubDate,)</f>
        <v>520</v>
      </c>
      <c r="C1341" s="1">
        <f t="shared" si="60"/>
        <v>45848</v>
      </c>
      <c r="D1341">
        <f t="shared" si="61"/>
        <v>2025</v>
      </c>
      <c r="E1341">
        <f t="shared" si="62"/>
        <v>7</v>
      </c>
      <c r="F1341" s="13" t="s">
        <v>2647</v>
      </c>
      <c r="G1341" s="13" t="s">
        <v>11</v>
      </c>
      <c r="H1341" s="13" t="s">
        <v>2792</v>
      </c>
    </row>
    <row r="1342" spans="1:8" x14ac:dyDescent="0.25">
      <c r="A1342" t="s">
        <v>2648</v>
      </c>
      <c r="B1342" s="15" cm="1">
        <f t="array" ref="B1342">_xll.GetPrice("FP-LBR-0229",,"Low",_SPECIFIEDvarPubDate,)</f>
        <v>534</v>
      </c>
      <c r="C1342" s="1">
        <f t="shared" si="60"/>
        <v>45848</v>
      </c>
      <c r="D1342">
        <f t="shared" si="61"/>
        <v>2025</v>
      </c>
      <c r="E1342">
        <f t="shared" si="62"/>
        <v>7</v>
      </c>
      <c r="F1342" s="13" t="s">
        <v>2649</v>
      </c>
      <c r="G1342" s="13" t="s">
        <v>11</v>
      </c>
      <c r="H1342" s="13" t="s">
        <v>2792</v>
      </c>
    </row>
    <row r="1343" spans="1:8" x14ac:dyDescent="0.25">
      <c r="A1343" t="s">
        <v>2650</v>
      </c>
      <c r="B1343" s="15" cm="1">
        <f t="array" ref="B1343">_xll.GetPrice("FP-LBR-2193",,"Low",_SPECIFIEDvarPubDate,)</f>
        <v>2150</v>
      </c>
      <c r="C1343" s="1">
        <f t="shared" si="60"/>
        <v>45848</v>
      </c>
      <c r="D1343">
        <f t="shared" si="61"/>
        <v>2025</v>
      </c>
      <c r="E1343">
        <f t="shared" si="62"/>
        <v>7</v>
      </c>
      <c r="F1343" s="13" t="s">
        <v>2651</v>
      </c>
      <c r="G1343" s="13" t="s">
        <v>11</v>
      </c>
      <c r="H1343" s="13" t="s">
        <v>2792</v>
      </c>
    </row>
    <row r="1344" spans="1:8" x14ac:dyDescent="0.25">
      <c r="A1344" t="s">
        <v>2652</v>
      </c>
      <c r="B1344" s="15" cm="1">
        <f t="array" ref="B1344">_xll.GetPrice("FP-LBR-2194",,"Low",_SPECIFIEDvarPubDate,)</f>
        <v>2635</v>
      </c>
      <c r="C1344" s="1">
        <f t="shared" si="60"/>
        <v>45848</v>
      </c>
      <c r="D1344">
        <f t="shared" si="61"/>
        <v>2025</v>
      </c>
      <c r="E1344">
        <f t="shared" si="62"/>
        <v>7</v>
      </c>
      <c r="F1344" s="13" t="s">
        <v>2653</v>
      </c>
      <c r="G1344" s="13" t="s">
        <v>11</v>
      </c>
      <c r="H1344" s="13" t="s">
        <v>2792</v>
      </c>
    </row>
    <row r="1345" spans="1:8" x14ac:dyDescent="0.25">
      <c r="A1345" t="s">
        <v>2654</v>
      </c>
      <c r="B1345" s="15" cm="1">
        <f t="array" ref="B1345">_xll.GetPrice("FP-LBR-2209",,"Low",_SPECIFIEDvarPubDate,)</f>
        <v>1815</v>
      </c>
      <c r="C1345" s="1">
        <f t="shared" ref="C1345:C1409" si="63">_SPECIFIEDvarPubDate</f>
        <v>45848</v>
      </c>
      <c r="D1345">
        <f t="shared" ref="D1345:D1409" si="64">_SPECIFIEDvarYear</f>
        <v>2025</v>
      </c>
      <c r="E1345">
        <f t="shared" ref="E1345:E1409" si="65">_SPECIFIEDvarMonth</f>
        <v>7</v>
      </c>
      <c r="F1345" s="13" t="s">
        <v>2655</v>
      </c>
      <c r="G1345" s="13" t="s">
        <v>11</v>
      </c>
      <c r="H1345" s="13" t="s">
        <v>2792</v>
      </c>
    </row>
    <row r="1346" spans="1:8" x14ac:dyDescent="0.25">
      <c r="A1346" t="s">
        <v>2656</v>
      </c>
      <c r="B1346" s="15" cm="1">
        <f t="array" ref="B1346">_xll.GetPrice("FP-LBR-2210",,"Low",_SPECIFIEDvarPubDate,)</f>
        <v>1620</v>
      </c>
      <c r="C1346" s="1">
        <f t="shared" si="63"/>
        <v>45848</v>
      </c>
      <c r="D1346">
        <f t="shared" si="64"/>
        <v>2025</v>
      </c>
      <c r="E1346">
        <f t="shared" si="65"/>
        <v>7</v>
      </c>
      <c r="F1346" s="13" t="s">
        <v>2657</v>
      </c>
      <c r="G1346" s="13" t="s">
        <v>11</v>
      </c>
      <c r="H1346" s="13" t="s">
        <v>2792</v>
      </c>
    </row>
    <row r="1347" spans="1:8" x14ac:dyDescent="0.25">
      <c r="A1347" t="s">
        <v>2658</v>
      </c>
      <c r="B1347" s="15" cm="1">
        <f t="array" ref="B1347">_xll.GetPrice("FP-LBR-0415",,"Low",_SPECIFIEDvarPubDate,)</f>
        <v>395</v>
      </c>
      <c r="C1347" s="1">
        <f t="shared" si="63"/>
        <v>45848</v>
      </c>
      <c r="D1347">
        <f t="shared" si="64"/>
        <v>2025</v>
      </c>
      <c r="E1347">
        <f t="shared" si="65"/>
        <v>7</v>
      </c>
      <c r="F1347" s="13" t="s">
        <v>2659</v>
      </c>
      <c r="G1347" s="13" t="s">
        <v>11</v>
      </c>
      <c r="H1347" s="13" t="s">
        <v>2792</v>
      </c>
    </row>
    <row r="1348" spans="1:8" x14ac:dyDescent="0.25">
      <c r="A1348" t="s">
        <v>2660</v>
      </c>
      <c r="B1348" s="15" cm="1">
        <f t="array" ref="B1348">_xll.GetPrice("FP-LBR-0537",,"Low",_SPECIFIEDvarPubDate,)</f>
        <v>507</v>
      </c>
      <c r="C1348" s="1">
        <f t="shared" si="63"/>
        <v>45848</v>
      </c>
      <c r="D1348">
        <f t="shared" si="64"/>
        <v>2025</v>
      </c>
      <c r="E1348">
        <f t="shared" si="65"/>
        <v>7</v>
      </c>
      <c r="F1348" s="13" t="s">
        <v>2661</v>
      </c>
      <c r="G1348" s="13" t="s">
        <v>11</v>
      </c>
      <c r="H1348" s="13" t="s">
        <v>2792</v>
      </c>
    </row>
    <row r="1349" spans="1:8" x14ac:dyDescent="0.25">
      <c r="A1349" t="s">
        <v>2662</v>
      </c>
      <c r="B1349" s="15" cm="1">
        <f t="array" ref="B1349">_xll.GetPrice("FP-LBR-0418",,"Low",_SPECIFIEDvarPubDate,)</f>
        <v>510</v>
      </c>
      <c r="C1349" s="1">
        <f t="shared" si="63"/>
        <v>45848</v>
      </c>
      <c r="D1349">
        <f t="shared" si="64"/>
        <v>2025</v>
      </c>
      <c r="E1349">
        <f t="shared" si="65"/>
        <v>7</v>
      </c>
      <c r="F1349" s="13" t="s">
        <v>2663</v>
      </c>
      <c r="G1349" s="13" t="s">
        <v>11</v>
      </c>
      <c r="H1349" s="13" t="s">
        <v>2792</v>
      </c>
    </row>
    <row r="1350" spans="1:8" x14ac:dyDescent="0.25">
      <c r="A1350" t="s">
        <v>2664</v>
      </c>
      <c r="B1350" s="15" cm="1">
        <f t="array" ref="B1350">_xll.GetPrice("FP-LBR-0540",,"Low",_SPECIFIEDvarPubDate,)</f>
        <v>622</v>
      </c>
      <c r="C1350" s="1">
        <f t="shared" si="63"/>
        <v>45848</v>
      </c>
      <c r="D1350">
        <f t="shared" si="64"/>
        <v>2025</v>
      </c>
      <c r="E1350">
        <f t="shared" si="65"/>
        <v>7</v>
      </c>
      <c r="F1350" s="13" t="s">
        <v>2665</v>
      </c>
      <c r="G1350" s="13" t="s">
        <v>11</v>
      </c>
      <c r="H1350" s="13" t="s">
        <v>2792</v>
      </c>
    </row>
    <row r="1351" spans="1:8" x14ac:dyDescent="0.25">
      <c r="A1351" t="s">
        <v>2666</v>
      </c>
      <c r="B1351" s="15" cm="1">
        <f t="array" ref="B1351">_xll.GetPrice("FP-LBR-0177",,"Low",_SPECIFIEDvarPubDate,)</f>
        <v>470</v>
      </c>
      <c r="C1351" s="1">
        <f t="shared" si="63"/>
        <v>45848</v>
      </c>
      <c r="D1351">
        <f t="shared" si="64"/>
        <v>2025</v>
      </c>
      <c r="E1351">
        <f t="shared" si="65"/>
        <v>7</v>
      </c>
      <c r="F1351" s="13" t="s">
        <v>2667</v>
      </c>
      <c r="G1351" s="13" t="s">
        <v>11</v>
      </c>
      <c r="H1351" s="13" t="s">
        <v>2792</v>
      </c>
    </row>
    <row r="1352" spans="1:8" x14ac:dyDescent="0.25">
      <c r="A1352" t="s">
        <v>2668</v>
      </c>
      <c r="B1352" s="15" cm="1">
        <f t="array" ref="B1352">_xll.GetPrice("FP-LBR-0184",,"Low",_SPECIFIEDvarPubDate,)</f>
        <v>485</v>
      </c>
      <c r="C1352" s="1">
        <f t="shared" si="63"/>
        <v>45848</v>
      </c>
      <c r="D1352">
        <f t="shared" si="64"/>
        <v>2025</v>
      </c>
      <c r="E1352">
        <f t="shared" si="65"/>
        <v>7</v>
      </c>
      <c r="F1352" s="13" t="s">
        <v>2669</v>
      </c>
      <c r="G1352" s="13" t="s">
        <v>11</v>
      </c>
      <c r="H1352" s="13" t="s">
        <v>2792</v>
      </c>
    </row>
    <row r="1353" spans="1:8" x14ac:dyDescent="0.25">
      <c r="A1353" t="s">
        <v>2670</v>
      </c>
      <c r="B1353" s="15" cm="1">
        <f t="array" ref="B1353">_xll.GetPrice("FP-LBR-0185",,"Low",_SPECIFIEDvarPubDate,)</f>
        <v>370</v>
      </c>
      <c r="C1353" s="1">
        <f t="shared" si="63"/>
        <v>45848</v>
      </c>
      <c r="D1353">
        <f t="shared" si="64"/>
        <v>2025</v>
      </c>
      <c r="E1353">
        <f t="shared" si="65"/>
        <v>7</v>
      </c>
      <c r="F1353" s="13" t="s">
        <v>2671</v>
      </c>
      <c r="G1353" s="13" t="s">
        <v>11</v>
      </c>
      <c r="H1353" s="13" t="s">
        <v>2792</v>
      </c>
    </row>
    <row r="1354" spans="1:8" x14ac:dyDescent="0.25">
      <c r="A1354" t="s">
        <v>2672</v>
      </c>
      <c r="B1354" s="15" cm="1">
        <f t="array" ref="B1354">_xll.GetPrice("FP-LBR-0186",,"Low",_SPECIFIEDvarPubDate,)</f>
        <v>460</v>
      </c>
      <c r="C1354" s="1">
        <f t="shared" si="63"/>
        <v>45848</v>
      </c>
      <c r="D1354">
        <f t="shared" si="64"/>
        <v>2025</v>
      </c>
      <c r="E1354">
        <f t="shared" si="65"/>
        <v>7</v>
      </c>
      <c r="F1354" s="13" t="s">
        <v>2673</v>
      </c>
      <c r="G1354" s="13" t="s">
        <v>11</v>
      </c>
      <c r="H1354" s="13" t="s">
        <v>2792</v>
      </c>
    </row>
    <row r="1355" spans="1:8" x14ac:dyDescent="0.25">
      <c r="A1355" t="s">
        <v>2674</v>
      </c>
      <c r="B1355" s="15" cm="1">
        <f t="array" ref="B1355">_xll.GetPrice("FP-LBR-0187",,"Low",_SPECIFIEDvarPubDate,)</f>
        <v>485</v>
      </c>
      <c r="C1355" s="1">
        <f t="shared" si="63"/>
        <v>45848</v>
      </c>
      <c r="D1355">
        <f t="shared" si="64"/>
        <v>2025</v>
      </c>
      <c r="E1355">
        <f t="shared" si="65"/>
        <v>7</v>
      </c>
      <c r="F1355" s="13" t="s">
        <v>2675</v>
      </c>
      <c r="G1355" s="13" t="s">
        <v>11</v>
      </c>
      <c r="H1355" s="13" t="s">
        <v>2792</v>
      </c>
    </row>
    <row r="1356" spans="1:8" x14ac:dyDescent="0.25">
      <c r="A1356" t="s">
        <v>2676</v>
      </c>
      <c r="B1356" s="15" cm="1">
        <f t="array" ref="B1356">_xll.GetPrice("FP-LBR-0188",,"Low",_SPECIFIEDvarPubDate,)</f>
        <v>510</v>
      </c>
      <c r="C1356" s="1">
        <f t="shared" si="63"/>
        <v>45848</v>
      </c>
      <c r="D1356">
        <f t="shared" si="64"/>
        <v>2025</v>
      </c>
      <c r="E1356">
        <f t="shared" si="65"/>
        <v>7</v>
      </c>
      <c r="F1356" s="13" t="s">
        <v>2677</v>
      </c>
      <c r="G1356" s="13" t="s">
        <v>11</v>
      </c>
      <c r="H1356" s="13" t="s">
        <v>2792</v>
      </c>
    </row>
    <row r="1357" spans="1:8" x14ac:dyDescent="0.25">
      <c r="A1357" t="s">
        <v>2678</v>
      </c>
      <c r="B1357" s="15" cm="1">
        <f t="array" ref="B1357">_xll.GetPrice("FP-LBR-0189",,"Low",_SPECIFIEDvarPubDate,)</f>
        <v>560</v>
      </c>
      <c r="C1357" s="1">
        <f t="shared" si="63"/>
        <v>45848</v>
      </c>
      <c r="D1357">
        <f t="shared" si="64"/>
        <v>2025</v>
      </c>
      <c r="E1357">
        <f t="shared" si="65"/>
        <v>7</v>
      </c>
      <c r="F1357" s="13" t="s">
        <v>2679</v>
      </c>
      <c r="G1357" s="13" t="s">
        <v>11</v>
      </c>
      <c r="H1357" s="13" t="s">
        <v>2792</v>
      </c>
    </row>
    <row r="1358" spans="1:8" x14ac:dyDescent="0.25">
      <c r="A1358" t="s">
        <v>2680</v>
      </c>
      <c r="B1358" s="15" cm="1">
        <f t="array" ref="B1358">_xll.GetPrice("FP-LBR-0190",,"Low",_SPECIFIEDvarPubDate,)</f>
        <v>520</v>
      </c>
      <c r="C1358" s="1">
        <f t="shared" si="63"/>
        <v>45848</v>
      </c>
      <c r="D1358">
        <f t="shared" si="64"/>
        <v>2025</v>
      </c>
      <c r="E1358">
        <f t="shared" si="65"/>
        <v>7</v>
      </c>
      <c r="F1358" s="13" t="s">
        <v>2681</v>
      </c>
      <c r="G1358" s="13" t="s">
        <v>11</v>
      </c>
      <c r="H1358" s="13" t="s">
        <v>2792</v>
      </c>
    </row>
    <row r="1359" spans="1:8" x14ac:dyDescent="0.25">
      <c r="A1359" t="s">
        <v>2682</v>
      </c>
      <c r="B1359" s="15" cm="1">
        <f t="array" ref="B1359">_xll.GetPrice("FP-LBR-0191",,"Low",_SPECIFIEDvarPubDate,)</f>
        <v>520</v>
      </c>
      <c r="C1359" s="1">
        <f t="shared" si="63"/>
        <v>45848</v>
      </c>
      <c r="D1359">
        <f t="shared" si="64"/>
        <v>2025</v>
      </c>
      <c r="E1359">
        <f t="shared" si="65"/>
        <v>7</v>
      </c>
      <c r="F1359" s="13" t="s">
        <v>2683</v>
      </c>
      <c r="G1359" s="13" t="s">
        <v>11</v>
      </c>
      <c r="H1359" s="13" t="s">
        <v>2792</v>
      </c>
    </row>
    <row r="1360" spans="1:8" x14ac:dyDescent="0.25">
      <c r="A1360" t="s">
        <v>2684</v>
      </c>
      <c r="B1360" s="15" cm="1">
        <f t="array" ref="B1360">_xll.GetPrice("FP-LBR-1871",,"Low",_SPECIFIEDvarPubDate,)</f>
        <v>645</v>
      </c>
      <c r="C1360" s="1">
        <f t="shared" si="63"/>
        <v>45848</v>
      </c>
      <c r="D1360">
        <f t="shared" si="64"/>
        <v>2025</v>
      </c>
      <c r="E1360">
        <f t="shared" si="65"/>
        <v>7</v>
      </c>
      <c r="F1360" s="13" t="s">
        <v>2685</v>
      </c>
      <c r="G1360" s="13" t="s">
        <v>11</v>
      </c>
      <c r="H1360" s="13" t="s">
        <v>2792</v>
      </c>
    </row>
    <row r="1361" spans="1:8" x14ac:dyDescent="0.25">
      <c r="A1361" t="s">
        <v>2686</v>
      </c>
      <c r="B1361" s="15" cm="1">
        <f t="array" ref="B1361">_xll.GetPrice("FP-LBR-1964",,"Low",_SPECIFIEDvarPubDate,)</f>
        <v>555</v>
      </c>
      <c r="C1361" s="1">
        <f t="shared" si="63"/>
        <v>45848</v>
      </c>
      <c r="D1361">
        <f t="shared" si="64"/>
        <v>2025</v>
      </c>
      <c r="E1361">
        <f t="shared" si="65"/>
        <v>7</v>
      </c>
      <c r="F1361" s="13" t="s">
        <v>2687</v>
      </c>
      <c r="G1361" s="13" t="s">
        <v>11</v>
      </c>
      <c r="H1361" s="13" t="s">
        <v>2792</v>
      </c>
    </row>
    <row r="1362" spans="1:8" x14ac:dyDescent="0.25">
      <c r="A1362" t="s">
        <v>2688</v>
      </c>
      <c r="B1362" s="15" cm="1">
        <f t="array" ref="B1362">_xll.GetPrice("FP-LBR-1246",,"Low",_SPECIFIEDvarPubDate,)</f>
        <v>565</v>
      </c>
      <c r="C1362" s="1">
        <f t="shared" si="63"/>
        <v>45848</v>
      </c>
      <c r="D1362">
        <f t="shared" si="64"/>
        <v>2025</v>
      </c>
      <c r="E1362">
        <f t="shared" si="65"/>
        <v>7</v>
      </c>
      <c r="F1362" s="13" t="s">
        <v>2689</v>
      </c>
      <c r="G1362" s="13" t="s">
        <v>11</v>
      </c>
      <c r="H1362" s="13" t="s">
        <v>2792</v>
      </c>
    </row>
    <row r="1363" spans="1:8" x14ac:dyDescent="0.25">
      <c r="A1363" t="s">
        <v>2690</v>
      </c>
      <c r="B1363" s="15" cm="1">
        <f t="array" ref="B1363">_xll.GetPrice("FP-LBR-1256",,"Low",_SPECIFIEDvarPubDate,)</f>
        <v>575</v>
      </c>
      <c r="C1363" s="1">
        <f t="shared" si="63"/>
        <v>45848</v>
      </c>
      <c r="D1363">
        <f t="shared" si="64"/>
        <v>2025</v>
      </c>
      <c r="E1363">
        <f t="shared" si="65"/>
        <v>7</v>
      </c>
      <c r="F1363" s="13" t="s">
        <v>2691</v>
      </c>
      <c r="G1363" s="13" t="s">
        <v>11</v>
      </c>
      <c r="H1363" s="13" t="s">
        <v>2792</v>
      </c>
    </row>
    <row r="1364" spans="1:8" x14ac:dyDescent="0.25">
      <c r="A1364" t="s">
        <v>2692</v>
      </c>
      <c r="B1364" s="15" cm="1">
        <f t="array" ref="B1364">_xll.GetPrice("FP-LBR-1251",,"Low",_SPECIFIEDvarPubDate,)</f>
        <v>585</v>
      </c>
      <c r="C1364" s="1">
        <f t="shared" si="63"/>
        <v>45848</v>
      </c>
      <c r="D1364">
        <f t="shared" si="64"/>
        <v>2025</v>
      </c>
      <c r="E1364">
        <f t="shared" si="65"/>
        <v>7</v>
      </c>
      <c r="F1364" s="13" t="s">
        <v>2693</v>
      </c>
      <c r="G1364" s="13" t="s">
        <v>11</v>
      </c>
      <c r="H1364" s="13" t="s">
        <v>2792</v>
      </c>
    </row>
    <row r="1365" spans="1:8" x14ac:dyDescent="0.25">
      <c r="A1365" t="s">
        <v>2694</v>
      </c>
      <c r="B1365" s="15" cm="1">
        <f t="array" ref="B1365">_xll.GetPrice("FP-LBR-1261",,"Low",_SPECIFIEDvarPubDate,)</f>
        <v>585</v>
      </c>
      <c r="C1365" s="1">
        <f t="shared" si="63"/>
        <v>45848</v>
      </c>
      <c r="D1365">
        <f t="shared" si="64"/>
        <v>2025</v>
      </c>
      <c r="E1365">
        <f t="shared" si="65"/>
        <v>7</v>
      </c>
      <c r="F1365" s="13" t="s">
        <v>2695</v>
      </c>
      <c r="G1365" s="13" t="s">
        <v>11</v>
      </c>
      <c r="H1365" s="13" t="s">
        <v>2792</v>
      </c>
    </row>
    <row r="1366" spans="1:8" x14ac:dyDescent="0.25">
      <c r="A1366" t="s">
        <v>2696</v>
      </c>
      <c r="B1366" s="15" cm="1">
        <f t="array" ref="B1366">_xll.GetPrice("FP-LBR-1294",,"Low",_SPECIFIEDvarPubDate,)</f>
        <v>595</v>
      </c>
      <c r="C1366" s="1">
        <f t="shared" si="63"/>
        <v>45848</v>
      </c>
      <c r="D1366">
        <f t="shared" si="64"/>
        <v>2025</v>
      </c>
      <c r="E1366">
        <f t="shared" si="65"/>
        <v>7</v>
      </c>
      <c r="F1366" s="13" t="s">
        <v>2697</v>
      </c>
      <c r="G1366" s="13" t="s">
        <v>11</v>
      </c>
      <c r="H1366" s="13" t="s">
        <v>2792</v>
      </c>
    </row>
    <row r="1367" spans="1:8" x14ac:dyDescent="0.25">
      <c r="A1367" t="s">
        <v>2698</v>
      </c>
      <c r="B1367" s="15" cm="1">
        <f t="array" ref="B1367">_xll.GetPrice("FP-LBR-1295",,"Low",_SPECIFIEDvarPubDate,)</f>
        <v>585</v>
      </c>
      <c r="C1367" s="1">
        <f t="shared" si="63"/>
        <v>45848</v>
      </c>
      <c r="D1367">
        <f t="shared" si="64"/>
        <v>2025</v>
      </c>
      <c r="E1367">
        <f t="shared" si="65"/>
        <v>7</v>
      </c>
      <c r="F1367" s="13" t="s">
        <v>2699</v>
      </c>
      <c r="G1367" s="13" t="s">
        <v>11</v>
      </c>
      <c r="H1367" s="13" t="s">
        <v>2792</v>
      </c>
    </row>
    <row r="1368" spans="1:8" x14ac:dyDescent="0.25">
      <c r="A1368" t="s">
        <v>2700</v>
      </c>
      <c r="B1368" s="15" cm="1">
        <f t="array" ref="B1368">_xll.GetPrice("FP-LBR-1296",,"Low",_SPECIFIEDvarPubDate,)</f>
        <v>575</v>
      </c>
      <c r="C1368" s="1">
        <f t="shared" si="63"/>
        <v>45848</v>
      </c>
      <c r="D1368">
        <f t="shared" si="64"/>
        <v>2025</v>
      </c>
      <c r="E1368">
        <f t="shared" si="65"/>
        <v>7</v>
      </c>
      <c r="F1368" s="13" t="s">
        <v>2701</v>
      </c>
      <c r="G1368" s="13" t="s">
        <v>11</v>
      </c>
      <c r="H1368" s="13" t="s">
        <v>2792</v>
      </c>
    </row>
    <row r="1369" spans="1:8" x14ac:dyDescent="0.25">
      <c r="A1369" t="s">
        <v>2702</v>
      </c>
      <c r="B1369" s="15" cm="1">
        <f t="array" ref="B1369">_xll.GetPrice("FP-LBR-1297",,"Low",_SPECIFIEDvarPubDate,)</f>
        <v>640</v>
      </c>
      <c r="C1369" s="1">
        <f t="shared" si="63"/>
        <v>45848</v>
      </c>
      <c r="D1369">
        <f t="shared" si="64"/>
        <v>2025</v>
      </c>
      <c r="E1369">
        <f t="shared" si="65"/>
        <v>7</v>
      </c>
      <c r="F1369" s="13" t="s">
        <v>2703</v>
      </c>
      <c r="G1369" s="13" t="s">
        <v>11</v>
      </c>
      <c r="H1369" s="13" t="s">
        <v>2792</v>
      </c>
    </row>
    <row r="1370" spans="1:8" x14ac:dyDescent="0.25">
      <c r="A1370" t="s">
        <v>2704</v>
      </c>
      <c r="B1370" s="15" cm="1">
        <f t="array" ref="B1370">_xll.GetPrice("FP-LBR-1298",,"Low",_SPECIFIEDvarPubDate,)</f>
        <v>650</v>
      </c>
      <c r="C1370" s="1">
        <f t="shared" si="63"/>
        <v>45848</v>
      </c>
      <c r="D1370">
        <f t="shared" si="64"/>
        <v>2025</v>
      </c>
      <c r="E1370">
        <f t="shared" si="65"/>
        <v>7</v>
      </c>
      <c r="F1370" s="13" t="s">
        <v>2705</v>
      </c>
      <c r="G1370" s="13" t="s">
        <v>11</v>
      </c>
      <c r="H1370" s="13" t="s">
        <v>2792</v>
      </c>
    </row>
    <row r="1371" spans="1:8" x14ac:dyDescent="0.25">
      <c r="A1371" t="s">
        <v>2706</v>
      </c>
      <c r="B1371" s="15" cm="1">
        <f t="array" ref="B1371">_xll.GetPrice("FP-LBR-0268",,"Low",_SPECIFIEDvarPubDate,)</f>
        <v>495</v>
      </c>
      <c r="C1371" s="1">
        <f t="shared" si="63"/>
        <v>45848</v>
      </c>
      <c r="D1371">
        <f t="shared" si="64"/>
        <v>2025</v>
      </c>
      <c r="E1371">
        <f t="shared" si="65"/>
        <v>7</v>
      </c>
      <c r="F1371" s="13" t="s">
        <v>2707</v>
      </c>
      <c r="G1371" s="13" t="s">
        <v>11</v>
      </c>
      <c r="H1371" s="13" t="s">
        <v>2792</v>
      </c>
    </row>
    <row r="1372" spans="1:8" x14ac:dyDescent="0.25">
      <c r="A1372" t="s">
        <v>2708</v>
      </c>
      <c r="B1372" s="15" cm="1">
        <f t="array" ref="B1372">_xll.GetPrice("FP-LBR-0269",,"Low",_SPECIFIEDvarPubDate,)</f>
        <v>445</v>
      </c>
      <c r="C1372" s="1">
        <f t="shared" si="63"/>
        <v>45848</v>
      </c>
      <c r="D1372">
        <f t="shared" si="64"/>
        <v>2025</v>
      </c>
      <c r="E1372">
        <f t="shared" si="65"/>
        <v>7</v>
      </c>
      <c r="F1372" s="13" t="s">
        <v>2709</v>
      </c>
      <c r="G1372" s="13" t="s">
        <v>11</v>
      </c>
      <c r="H1372" s="13" t="s">
        <v>2792</v>
      </c>
    </row>
    <row r="1373" spans="1:8" x14ac:dyDescent="0.25">
      <c r="A1373" t="s">
        <v>2710</v>
      </c>
      <c r="B1373" s="15" cm="1">
        <f t="array" ref="B1373">_xll.GetPrice("FP-LBR-0270",,"Low",_SPECIFIEDvarPubDate,)</f>
        <v>430</v>
      </c>
      <c r="C1373" s="1">
        <f t="shared" si="63"/>
        <v>45848</v>
      </c>
      <c r="D1373">
        <f t="shared" si="64"/>
        <v>2025</v>
      </c>
      <c r="E1373">
        <f t="shared" si="65"/>
        <v>7</v>
      </c>
      <c r="F1373" s="13" t="s">
        <v>2711</v>
      </c>
      <c r="G1373" s="13" t="s">
        <v>11</v>
      </c>
      <c r="H1373" s="13" t="s">
        <v>2792</v>
      </c>
    </row>
    <row r="1374" spans="1:8" x14ac:dyDescent="0.25">
      <c r="A1374" t="s">
        <v>2712</v>
      </c>
      <c r="B1374" s="15" cm="1">
        <f t="array" ref="B1374">_xll.GetPrice("FP-LBR-0271",,"Low",_SPECIFIEDvarPubDate,)</f>
        <v>622</v>
      </c>
      <c r="C1374" s="1">
        <f t="shared" si="63"/>
        <v>45848</v>
      </c>
      <c r="D1374">
        <f t="shared" si="64"/>
        <v>2025</v>
      </c>
      <c r="E1374">
        <f t="shared" si="65"/>
        <v>7</v>
      </c>
      <c r="F1374" s="13" t="s">
        <v>2713</v>
      </c>
      <c r="G1374" s="13" t="s">
        <v>11</v>
      </c>
      <c r="H1374" s="13" t="s">
        <v>2792</v>
      </c>
    </row>
    <row r="1375" spans="1:8" x14ac:dyDescent="0.25">
      <c r="A1375" t="s">
        <v>2714</v>
      </c>
      <c r="B1375" s="15" cm="1">
        <f t="array" ref="B1375">_xll.GetPrice("FP-LBR-0900",,"Low",_SPECIFIEDvarPubDate,)</f>
        <v>15</v>
      </c>
      <c r="C1375" s="1">
        <f t="shared" si="63"/>
        <v>45848</v>
      </c>
      <c r="D1375">
        <f t="shared" si="64"/>
        <v>2025</v>
      </c>
      <c r="E1375">
        <f t="shared" si="65"/>
        <v>7</v>
      </c>
      <c r="F1375" s="13" t="s">
        <v>2715</v>
      </c>
      <c r="G1375" s="13" t="s">
        <v>11</v>
      </c>
      <c r="H1375" s="13" t="s">
        <v>2792</v>
      </c>
    </row>
    <row r="1376" spans="1:8" x14ac:dyDescent="0.25">
      <c r="A1376" t="s">
        <v>2716</v>
      </c>
      <c r="B1376" s="15" cm="1">
        <f t="array" ref="B1376">_xll.GetPrice("FP-LBR-1532",,"Low",_SPECIFIEDvarPubDate,)</f>
        <v>1425</v>
      </c>
      <c r="C1376" s="1">
        <f t="shared" si="63"/>
        <v>45848</v>
      </c>
      <c r="D1376">
        <f t="shared" si="64"/>
        <v>2025</v>
      </c>
      <c r="E1376">
        <f t="shared" si="65"/>
        <v>7</v>
      </c>
      <c r="F1376" s="13" t="s">
        <v>2717</v>
      </c>
      <c r="G1376" s="13" t="s">
        <v>11</v>
      </c>
      <c r="H1376" s="13" t="s">
        <v>2792</v>
      </c>
    </row>
    <row r="1377" spans="1:8" x14ac:dyDescent="0.25">
      <c r="A1377" t="s">
        <v>2718</v>
      </c>
      <c r="B1377" s="15" cm="1">
        <f t="array" ref="B1377">_xll.GetPrice("FP-LBR-1533",,"Low",_SPECIFIEDvarPubDate,)</f>
        <v>2225</v>
      </c>
      <c r="C1377" s="1">
        <f t="shared" si="63"/>
        <v>45848</v>
      </c>
      <c r="D1377">
        <f t="shared" si="64"/>
        <v>2025</v>
      </c>
      <c r="E1377">
        <f t="shared" si="65"/>
        <v>7</v>
      </c>
      <c r="F1377" s="13" t="s">
        <v>2719</v>
      </c>
      <c r="G1377" s="13" t="s">
        <v>11</v>
      </c>
      <c r="H1377" s="13" t="s">
        <v>2792</v>
      </c>
    </row>
    <row r="1378" spans="1:8" x14ac:dyDescent="0.25">
      <c r="A1378" t="s">
        <v>2720</v>
      </c>
      <c r="B1378" s="15" cm="1">
        <f t="array" ref="B1378">_xll.GetPrice("FP-LBR-1534",,"Low",_SPECIFIEDvarPubDate,)</f>
        <v>2355</v>
      </c>
      <c r="C1378" s="1">
        <f t="shared" si="63"/>
        <v>45848</v>
      </c>
      <c r="D1378">
        <f t="shared" si="64"/>
        <v>2025</v>
      </c>
      <c r="E1378">
        <f t="shared" si="65"/>
        <v>7</v>
      </c>
      <c r="F1378" s="13" t="s">
        <v>2721</v>
      </c>
      <c r="G1378" s="13" t="s">
        <v>11</v>
      </c>
      <c r="H1378" s="13" t="s">
        <v>2792</v>
      </c>
    </row>
    <row r="1379" spans="1:8" x14ac:dyDescent="0.25">
      <c r="A1379" t="s">
        <v>2722</v>
      </c>
      <c r="B1379" s="15" cm="1">
        <f t="array" ref="B1379">_xll.GetPrice("FP-LBR-1535",,"Low",_SPECIFIEDvarPubDate,)</f>
        <v>3960</v>
      </c>
      <c r="C1379" s="1">
        <f t="shared" si="63"/>
        <v>45848</v>
      </c>
      <c r="D1379">
        <f t="shared" si="64"/>
        <v>2025</v>
      </c>
      <c r="E1379">
        <f t="shared" si="65"/>
        <v>7</v>
      </c>
      <c r="F1379" s="13" t="s">
        <v>2723</v>
      </c>
      <c r="G1379" s="13" t="s">
        <v>11</v>
      </c>
      <c r="H1379" s="13" t="s">
        <v>2792</v>
      </c>
    </row>
    <row r="1380" spans="1:8" x14ac:dyDescent="0.25">
      <c r="A1380" t="s">
        <v>2724</v>
      </c>
      <c r="B1380" s="15" cm="1">
        <f t="array" ref="B1380">_xll.GetPrice("FP-LBR-1536",,"Low",_SPECIFIEDvarPubDate,)</f>
        <v>4645</v>
      </c>
      <c r="C1380" s="1">
        <f t="shared" si="63"/>
        <v>45848</v>
      </c>
      <c r="D1380">
        <f t="shared" si="64"/>
        <v>2025</v>
      </c>
      <c r="E1380">
        <f t="shared" si="65"/>
        <v>7</v>
      </c>
      <c r="F1380" s="13" t="s">
        <v>2725</v>
      </c>
      <c r="G1380" s="13" t="s">
        <v>11</v>
      </c>
      <c r="H1380" s="13" t="s">
        <v>2792</v>
      </c>
    </row>
    <row r="1381" spans="1:8" x14ac:dyDescent="0.25">
      <c r="A1381" t="s">
        <v>2726</v>
      </c>
      <c r="B1381" s="15" cm="1">
        <f t="array" ref="B1381">_xll.GetPrice("FP-LBR-0272",,"Low",_SPECIFIEDvarPubDate,)</f>
        <v>610</v>
      </c>
      <c r="C1381" s="1">
        <f t="shared" si="63"/>
        <v>45848</v>
      </c>
      <c r="D1381">
        <f t="shared" si="64"/>
        <v>2025</v>
      </c>
      <c r="E1381">
        <f t="shared" si="65"/>
        <v>7</v>
      </c>
      <c r="F1381" s="13" t="s">
        <v>2727</v>
      </c>
      <c r="G1381" s="13" t="s">
        <v>11</v>
      </c>
      <c r="H1381" s="13" t="s">
        <v>2792</v>
      </c>
    </row>
    <row r="1382" spans="1:8" x14ac:dyDescent="0.25">
      <c r="A1382" t="s">
        <v>2728</v>
      </c>
      <c r="B1382" s="15" cm="1">
        <f t="array" ref="B1382">_xll.GetPrice("FP-LBR-0420",,"Low",_SPECIFIEDvarPubDate,)</f>
        <v>455</v>
      </c>
      <c r="C1382" s="1">
        <f t="shared" si="63"/>
        <v>45848</v>
      </c>
      <c r="D1382">
        <f t="shared" si="64"/>
        <v>2025</v>
      </c>
      <c r="E1382">
        <f t="shared" si="65"/>
        <v>7</v>
      </c>
      <c r="F1382" s="13" t="s">
        <v>2729</v>
      </c>
      <c r="G1382" s="13" t="s">
        <v>11</v>
      </c>
      <c r="H1382" s="13" t="s">
        <v>2792</v>
      </c>
    </row>
    <row r="1383" spans="1:8" x14ac:dyDescent="0.25">
      <c r="A1383" t="s">
        <v>2730</v>
      </c>
      <c r="B1383" s="15" cm="1">
        <f t="array" ref="B1383">_xll.GetPrice("FP-LBR-0542",,"Low",_SPECIFIEDvarPubDate,)</f>
        <v>571</v>
      </c>
      <c r="C1383" s="1">
        <f t="shared" si="63"/>
        <v>45848</v>
      </c>
      <c r="D1383">
        <f t="shared" si="64"/>
        <v>2025</v>
      </c>
      <c r="E1383">
        <f t="shared" si="65"/>
        <v>7</v>
      </c>
      <c r="F1383" s="13" t="s">
        <v>2731</v>
      </c>
      <c r="G1383" s="13" t="s">
        <v>11</v>
      </c>
      <c r="H1383" s="13" t="s">
        <v>2792</v>
      </c>
    </row>
    <row r="1384" spans="1:8" x14ac:dyDescent="0.25">
      <c r="A1384" t="s">
        <v>2732</v>
      </c>
      <c r="B1384" s="15" cm="1">
        <f t="array" ref="B1384">_xll.GetPrice("FP-LBR-0422",,"Low",_SPECIFIEDvarPubDate,)</f>
        <v>498</v>
      </c>
      <c r="C1384" s="1">
        <f t="shared" si="63"/>
        <v>45848</v>
      </c>
      <c r="D1384">
        <f t="shared" si="64"/>
        <v>2025</v>
      </c>
      <c r="E1384">
        <f t="shared" si="65"/>
        <v>7</v>
      </c>
      <c r="F1384" s="13" t="s">
        <v>2733</v>
      </c>
      <c r="G1384" s="13" t="s">
        <v>11</v>
      </c>
      <c r="H1384" s="13" t="s">
        <v>2792</v>
      </c>
    </row>
    <row r="1385" spans="1:8" x14ac:dyDescent="0.25">
      <c r="A1385" t="s">
        <v>2734</v>
      </c>
      <c r="B1385" s="15" cm="1">
        <f t="array" ref="B1385">_xll.GetPrice("FP-LBR-0544",,"Low",_SPECIFIEDvarPubDate,)</f>
        <v>614</v>
      </c>
      <c r="C1385" s="1">
        <f t="shared" si="63"/>
        <v>45848</v>
      </c>
      <c r="D1385">
        <f t="shared" si="64"/>
        <v>2025</v>
      </c>
      <c r="E1385">
        <f t="shared" si="65"/>
        <v>7</v>
      </c>
      <c r="F1385" s="13" t="s">
        <v>2735</v>
      </c>
      <c r="G1385" s="13" t="s">
        <v>11</v>
      </c>
      <c r="H1385" s="13" t="s">
        <v>2792</v>
      </c>
    </row>
    <row r="1386" spans="1:8" x14ac:dyDescent="0.25">
      <c r="A1386" t="s">
        <v>2736</v>
      </c>
      <c r="B1386" s="15" cm="1">
        <f t="array" ref="B1386">_xll.GetPrice("FP-LBR-1412",,"Low",_SPECIFIEDvarPubDate,)</f>
        <v>2240</v>
      </c>
      <c r="C1386" s="1">
        <f t="shared" si="63"/>
        <v>45848</v>
      </c>
      <c r="D1386">
        <f t="shared" si="64"/>
        <v>2025</v>
      </c>
      <c r="E1386">
        <f t="shared" si="65"/>
        <v>7</v>
      </c>
      <c r="F1386" s="13" t="s">
        <v>2737</v>
      </c>
      <c r="G1386" s="13" t="s">
        <v>11</v>
      </c>
      <c r="H1386" s="13" t="s">
        <v>2792</v>
      </c>
    </row>
    <row r="1387" spans="1:8" x14ac:dyDescent="0.25">
      <c r="A1387" t="s">
        <v>2738</v>
      </c>
      <c r="B1387" s="15" cm="1">
        <f t="array" ref="B1387">_xll.GetPrice("FP-LBR-1413",,"Low",_SPECIFIEDvarPubDate,)</f>
        <v>2025</v>
      </c>
      <c r="C1387" s="1">
        <f t="shared" si="63"/>
        <v>45848</v>
      </c>
      <c r="D1387">
        <f t="shared" si="64"/>
        <v>2025</v>
      </c>
      <c r="E1387">
        <f t="shared" si="65"/>
        <v>7</v>
      </c>
      <c r="F1387" s="13" t="s">
        <v>2739</v>
      </c>
      <c r="G1387" s="13" t="s">
        <v>11</v>
      </c>
      <c r="H1387" s="13" t="s">
        <v>2792</v>
      </c>
    </row>
    <row r="1388" spans="1:8" x14ac:dyDescent="0.25">
      <c r="A1388" t="s">
        <v>2740</v>
      </c>
      <c r="B1388" s="15" cm="1">
        <f t="array" ref="B1388">_xll.GetPrice("FP-LBR-0939",,"Low",_SPECIFIEDvarPubDate,)</f>
        <v>1070</v>
      </c>
      <c r="C1388" s="1">
        <f t="shared" si="63"/>
        <v>45848</v>
      </c>
      <c r="D1388">
        <f t="shared" si="64"/>
        <v>2025</v>
      </c>
      <c r="E1388">
        <f t="shared" si="65"/>
        <v>7</v>
      </c>
      <c r="F1388" s="13" t="s">
        <v>2741</v>
      </c>
      <c r="G1388" s="13" t="s">
        <v>11</v>
      </c>
      <c r="H1388" s="13" t="s">
        <v>2792</v>
      </c>
    </row>
    <row r="1389" spans="1:8" x14ac:dyDescent="0.25">
      <c r="A1389" t="s">
        <v>2742</v>
      </c>
      <c r="B1389" s="15" cm="1">
        <f t="array" ref="B1389">_xll.GetPrice("FP-LBR-0942",,"Low",_SPECIFIEDvarPubDate,)</f>
        <v>1160</v>
      </c>
      <c r="C1389" s="1">
        <f t="shared" si="63"/>
        <v>45848</v>
      </c>
      <c r="D1389">
        <f t="shared" si="64"/>
        <v>2025</v>
      </c>
      <c r="E1389">
        <f t="shared" si="65"/>
        <v>7</v>
      </c>
      <c r="F1389" s="13" t="s">
        <v>2743</v>
      </c>
      <c r="G1389" s="13" t="s">
        <v>11</v>
      </c>
      <c r="H1389" s="13" t="s">
        <v>2792</v>
      </c>
    </row>
    <row r="1390" spans="1:8" x14ac:dyDescent="0.25">
      <c r="A1390" t="s">
        <v>2744</v>
      </c>
      <c r="B1390" s="15" cm="1">
        <f t="array" ref="B1390">_xll.GetPrice("FP-LBR-0295",,"Low",_SPECIFIEDvarPubDate,)</f>
        <v>540</v>
      </c>
      <c r="C1390" s="1">
        <f t="shared" si="63"/>
        <v>45848</v>
      </c>
      <c r="D1390">
        <f t="shared" si="64"/>
        <v>2025</v>
      </c>
      <c r="E1390">
        <f t="shared" si="65"/>
        <v>7</v>
      </c>
      <c r="F1390" s="13" t="s">
        <v>2745</v>
      </c>
      <c r="G1390" s="13" t="s">
        <v>11</v>
      </c>
      <c r="H1390" s="13" t="s">
        <v>2792</v>
      </c>
    </row>
    <row r="1391" spans="1:8" x14ac:dyDescent="0.25">
      <c r="A1391" t="s">
        <v>2746</v>
      </c>
      <c r="B1391" s="15" cm="1">
        <f t="array" ref="B1391">_xll.GetPrice("FP-LBR-0179",,"Low",_SPECIFIEDvarPubDate,)</f>
        <v>525</v>
      </c>
      <c r="C1391" s="1">
        <f t="shared" si="63"/>
        <v>45848</v>
      </c>
      <c r="D1391">
        <f t="shared" si="64"/>
        <v>2025</v>
      </c>
      <c r="E1391">
        <f t="shared" si="65"/>
        <v>7</v>
      </c>
      <c r="F1391" s="13" t="s">
        <v>2747</v>
      </c>
      <c r="G1391" s="13" t="s">
        <v>11</v>
      </c>
      <c r="H1391" s="13" t="s">
        <v>2792</v>
      </c>
    </row>
    <row r="1392" spans="1:8" x14ac:dyDescent="0.25">
      <c r="A1392" t="s">
        <v>2748</v>
      </c>
      <c r="B1392" s="15" cm="1">
        <f t="array" ref="B1392">_xll.GetPrice("FP-LBR-0416",,"Low",_SPECIFIEDvarPubDate,)</f>
        <v>465</v>
      </c>
      <c r="C1392" s="1">
        <f t="shared" si="63"/>
        <v>45848</v>
      </c>
      <c r="D1392">
        <f t="shared" si="64"/>
        <v>2025</v>
      </c>
      <c r="E1392">
        <f t="shared" si="65"/>
        <v>7</v>
      </c>
      <c r="F1392" s="13" t="s">
        <v>2749</v>
      </c>
      <c r="G1392" s="13" t="s">
        <v>11</v>
      </c>
      <c r="H1392" s="13" t="s">
        <v>2792</v>
      </c>
    </row>
    <row r="1393" spans="1:8" x14ac:dyDescent="0.25">
      <c r="A1393" t="s">
        <v>2750</v>
      </c>
      <c r="B1393" s="15" cm="1">
        <f t="array" ref="B1393">_xll.GetPrice("FP-LBR-0538",,"Low",_SPECIFIEDvarPubDate,)</f>
        <v>577</v>
      </c>
      <c r="C1393" s="1">
        <f t="shared" si="63"/>
        <v>45848</v>
      </c>
      <c r="D1393">
        <f t="shared" si="64"/>
        <v>2025</v>
      </c>
      <c r="E1393">
        <f t="shared" si="65"/>
        <v>7</v>
      </c>
      <c r="F1393" s="13" t="s">
        <v>2751</v>
      </c>
      <c r="G1393" s="13" t="s">
        <v>11</v>
      </c>
      <c r="H1393" s="13" t="s">
        <v>2792</v>
      </c>
    </row>
    <row r="1394" spans="1:8" x14ac:dyDescent="0.25">
      <c r="A1394" t="s">
        <v>2752</v>
      </c>
      <c r="B1394" s="15" cm="1">
        <f t="array" ref="B1394">_xll.GetPrice("FP-LBR-0547",,"Low",_SPECIFIEDvarPubDate,)</f>
        <v>600</v>
      </c>
      <c r="C1394" s="1">
        <f t="shared" si="63"/>
        <v>45848</v>
      </c>
      <c r="D1394">
        <f t="shared" si="64"/>
        <v>2025</v>
      </c>
      <c r="E1394">
        <f t="shared" si="65"/>
        <v>7</v>
      </c>
      <c r="F1394" s="13" t="s">
        <v>2753</v>
      </c>
      <c r="G1394" s="13" t="s">
        <v>11</v>
      </c>
      <c r="H1394" s="13" t="s">
        <v>2792</v>
      </c>
    </row>
    <row r="1395" spans="1:8" x14ac:dyDescent="0.25">
      <c r="A1395" t="s">
        <v>2754</v>
      </c>
      <c r="B1395" s="15" cm="1">
        <f t="array" ref="B1395">_xll.GetPrice(F1395,,G1395,_SPECIFIEDvarPubDate,)</f>
        <v>570</v>
      </c>
      <c r="C1395" s="1">
        <f t="shared" si="63"/>
        <v>45848</v>
      </c>
      <c r="D1395">
        <f t="shared" si="64"/>
        <v>2025</v>
      </c>
      <c r="E1395">
        <f t="shared" si="65"/>
        <v>7</v>
      </c>
      <c r="F1395" s="13" t="s">
        <v>2755</v>
      </c>
      <c r="G1395" s="13" t="s">
        <v>11</v>
      </c>
      <c r="H1395" s="13" t="s">
        <v>2792</v>
      </c>
    </row>
    <row r="1396" spans="1:8" x14ac:dyDescent="0.25">
      <c r="A1396" t="s">
        <v>2757</v>
      </c>
      <c r="B1396" s="15" cm="1">
        <f t="array" ref="B1396">_xll.GetPrice(F1396,,G1396,_SPECIFIEDvarPubDate,)</f>
        <v>570</v>
      </c>
      <c r="C1396" s="1">
        <f t="shared" si="63"/>
        <v>45848</v>
      </c>
      <c r="D1396">
        <f t="shared" si="64"/>
        <v>2025</v>
      </c>
      <c r="E1396">
        <f t="shared" si="65"/>
        <v>7</v>
      </c>
      <c r="F1396" s="13" t="s">
        <v>2758</v>
      </c>
      <c r="G1396" s="13" t="s">
        <v>11</v>
      </c>
      <c r="H1396" s="13" t="s">
        <v>2792</v>
      </c>
    </row>
    <row r="1397" spans="1:8" x14ac:dyDescent="0.25">
      <c r="A1397" t="s">
        <v>2759</v>
      </c>
      <c r="B1397" s="15" cm="1">
        <f t="array" ref="B1397">_xll.GetPrice(F1397,,G1397,_SPECIFIEDvarPubDate,)</f>
        <v>580</v>
      </c>
      <c r="C1397" s="1">
        <f t="shared" si="63"/>
        <v>45848</v>
      </c>
      <c r="D1397">
        <f t="shared" si="64"/>
        <v>2025</v>
      </c>
      <c r="E1397">
        <f t="shared" si="65"/>
        <v>7</v>
      </c>
      <c r="F1397" s="13" t="s">
        <v>2760</v>
      </c>
      <c r="G1397" s="13" t="s">
        <v>11</v>
      </c>
      <c r="H1397" s="13" t="s">
        <v>2792</v>
      </c>
    </row>
    <row r="1398" spans="1:8" x14ac:dyDescent="0.25">
      <c r="A1398" s="16" t="s">
        <v>2795</v>
      </c>
      <c r="B1398" s="19" cm="1">
        <f t="array" ref="B1398">_xll.GetPrice(F1398,,G1398,_SPECIFIEDvarPubDate,)</f>
        <v>665</v>
      </c>
      <c r="C1398" s="17">
        <f t="shared" si="63"/>
        <v>45848</v>
      </c>
      <c r="D1398" s="16">
        <f t="shared" si="64"/>
        <v>2025</v>
      </c>
      <c r="E1398" s="16">
        <f t="shared" si="65"/>
        <v>7</v>
      </c>
      <c r="F1398" s="13" t="s">
        <v>2797</v>
      </c>
      <c r="G1398" s="13" t="s">
        <v>11</v>
      </c>
      <c r="H1398" s="13" t="s">
        <v>2792</v>
      </c>
    </row>
    <row r="1399" spans="1:8" x14ac:dyDescent="0.25">
      <c r="A1399" s="16" t="s">
        <v>2796</v>
      </c>
      <c r="B1399" s="16" t="str" cm="1">
        <f t="array" ref="B1399">_xll.GetPrice(F1399,,G1399,_SPECIFIEDvarPubDate,)</f>
        <v>#N/A N/A</v>
      </c>
      <c r="C1399" s="17">
        <f t="shared" si="63"/>
        <v>45848</v>
      </c>
      <c r="D1399" s="16">
        <f t="shared" si="64"/>
        <v>2025</v>
      </c>
      <c r="E1399" s="16">
        <f t="shared" si="65"/>
        <v>7</v>
      </c>
      <c r="F1399" s="13" t="s">
        <v>2808</v>
      </c>
      <c r="G1399" s="13" t="s">
        <v>11</v>
      </c>
      <c r="H1399" s="13" t="s">
        <v>2792</v>
      </c>
    </row>
    <row r="1400" spans="1:8" x14ac:dyDescent="0.25">
      <c r="A1400" s="16" t="s">
        <v>2798</v>
      </c>
      <c r="B1400" s="16" t="str" cm="1">
        <f t="array" ref="B1400">_xll.GetPrice(F1400,,G1400,_SPECIFIEDvarPubDate,)</f>
        <v>#N/A N/A</v>
      </c>
      <c r="C1400" s="17">
        <f t="shared" si="63"/>
        <v>45848</v>
      </c>
      <c r="D1400" s="16">
        <f t="shared" si="64"/>
        <v>2025</v>
      </c>
      <c r="E1400" s="16">
        <f t="shared" si="65"/>
        <v>7</v>
      </c>
      <c r="F1400" s="13" t="s">
        <v>2809</v>
      </c>
      <c r="G1400" s="13" t="s">
        <v>11</v>
      </c>
      <c r="H1400" s="13" t="s">
        <v>2792</v>
      </c>
    </row>
    <row r="1401" spans="1:8" x14ac:dyDescent="0.25">
      <c r="A1401" s="16" t="s">
        <v>2799</v>
      </c>
      <c r="B1401" s="16" t="str" cm="1">
        <f t="array" ref="B1401">_xll.GetPrice(F1401,,G1401,_SPECIFIEDvarPubDate,)</f>
        <v>#N/A N/A</v>
      </c>
      <c r="C1401" s="17">
        <f t="shared" si="63"/>
        <v>45848</v>
      </c>
      <c r="D1401" s="16">
        <f t="shared" si="64"/>
        <v>2025</v>
      </c>
      <c r="E1401" s="16">
        <f t="shared" si="65"/>
        <v>7</v>
      </c>
      <c r="F1401" s="13" t="s">
        <v>2810</v>
      </c>
      <c r="G1401" s="13" t="s">
        <v>11</v>
      </c>
      <c r="H1401" s="13" t="s">
        <v>2792</v>
      </c>
    </row>
    <row r="1402" spans="1:8" x14ac:dyDescent="0.25">
      <c r="A1402" s="16" t="s">
        <v>2800</v>
      </c>
      <c r="B1402" s="16" t="str" cm="1">
        <f t="array" ref="B1402">_xll.GetPrice(F1402,,G1402,_SPECIFIEDvarPubDate,)</f>
        <v>#N/A N/A</v>
      </c>
      <c r="C1402" s="17">
        <f t="shared" si="63"/>
        <v>45848</v>
      </c>
      <c r="D1402" s="16">
        <f t="shared" si="64"/>
        <v>2025</v>
      </c>
      <c r="E1402" s="16">
        <f t="shared" si="65"/>
        <v>7</v>
      </c>
      <c r="F1402" s="13" t="s">
        <v>2811</v>
      </c>
      <c r="G1402" s="13" t="s">
        <v>11</v>
      </c>
      <c r="H1402" s="13" t="s">
        <v>2792</v>
      </c>
    </row>
    <row r="1403" spans="1:8" x14ac:dyDescent="0.25">
      <c r="A1403" s="16" t="s">
        <v>2801</v>
      </c>
      <c r="B1403" s="16" t="str" cm="1">
        <f t="array" ref="B1403">_xll.GetPrice(F1403,,G1403,_SPECIFIEDvarPubDate,)</f>
        <v>#N/A N/A</v>
      </c>
      <c r="C1403" s="17">
        <f t="shared" si="63"/>
        <v>45848</v>
      </c>
      <c r="D1403" s="16">
        <f t="shared" si="64"/>
        <v>2025</v>
      </c>
      <c r="E1403" s="16">
        <f t="shared" si="65"/>
        <v>7</v>
      </c>
      <c r="F1403" s="13" t="s">
        <v>2812</v>
      </c>
      <c r="G1403" s="13" t="s">
        <v>11</v>
      </c>
      <c r="H1403" s="13" t="s">
        <v>2792</v>
      </c>
    </row>
    <row r="1404" spans="1:8" x14ac:dyDescent="0.25">
      <c r="A1404" s="16" t="s">
        <v>2802</v>
      </c>
      <c r="B1404" s="16" t="str" cm="1">
        <f t="array" ref="B1404">_xll.GetPrice(F1404,,G1404,_SPECIFIEDvarPubDate,)</f>
        <v>#N/A N/A</v>
      </c>
      <c r="C1404" s="17">
        <f t="shared" si="63"/>
        <v>45848</v>
      </c>
      <c r="D1404" s="16">
        <f t="shared" si="64"/>
        <v>2025</v>
      </c>
      <c r="E1404" s="16">
        <f t="shared" si="65"/>
        <v>7</v>
      </c>
      <c r="F1404" s="13" t="s">
        <v>2813</v>
      </c>
      <c r="G1404" s="13" t="s">
        <v>11</v>
      </c>
      <c r="H1404" s="13" t="s">
        <v>2792</v>
      </c>
    </row>
    <row r="1405" spans="1:8" x14ac:dyDescent="0.25">
      <c r="A1405" s="16" t="s">
        <v>2803</v>
      </c>
      <c r="B1405" s="16" t="str" cm="1">
        <f t="array" ref="B1405">_xll.GetPrice(F1405,,G1405,_SPECIFIEDvarPubDate,)</f>
        <v>#N/A N/A</v>
      </c>
      <c r="C1405" s="17">
        <f t="shared" si="63"/>
        <v>45848</v>
      </c>
      <c r="D1405" s="16">
        <f t="shared" si="64"/>
        <v>2025</v>
      </c>
      <c r="E1405" s="16">
        <f t="shared" si="65"/>
        <v>7</v>
      </c>
      <c r="F1405" s="13" t="s">
        <v>2814</v>
      </c>
      <c r="G1405" s="13" t="s">
        <v>11</v>
      </c>
      <c r="H1405" s="13" t="s">
        <v>2792</v>
      </c>
    </row>
    <row r="1406" spans="1:8" x14ac:dyDescent="0.25">
      <c r="A1406" s="16" t="s">
        <v>2804</v>
      </c>
      <c r="B1406" s="16" t="str" cm="1">
        <f t="array" ref="B1406">_xll.GetPrice(F1406,,G1406,_SPECIFIEDvarPubDate,)</f>
        <v>#N/A N/A</v>
      </c>
      <c r="C1406" s="17">
        <f t="shared" si="63"/>
        <v>45848</v>
      </c>
      <c r="D1406" s="16">
        <f t="shared" si="64"/>
        <v>2025</v>
      </c>
      <c r="E1406" s="16">
        <f t="shared" si="65"/>
        <v>7</v>
      </c>
      <c r="F1406" s="13" t="s">
        <v>2815</v>
      </c>
      <c r="G1406" s="13" t="s">
        <v>11</v>
      </c>
      <c r="H1406" s="13" t="s">
        <v>2792</v>
      </c>
    </row>
    <row r="1407" spans="1:8" x14ac:dyDescent="0.25">
      <c r="A1407" s="16" t="s">
        <v>2805</v>
      </c>
      <c r="B1407" s="16" t="str" cm="1">
        <f t="array" ref="B1407">_xll.GetPrice(F1407,,G1407,_SPECIFIEDvarPubDate,)</f>
        <v>#N/A N/A</v>
      </c>
      <c r="C1407" s="17">
        <f t="shared" si="63"/>
        <v>45848</v>
      </c>
      <c r="D1407" s="16">
        <f t="shared" si="64"/>
        <v>2025</v>
      </c>
      <c r="E1407" s="16">
        <f t="shared" si="65"/>
        <v>7</v>
      </c>
      <c r="F1407" s="13" t="s">
        <v>2816</v>
      </c>
      <c r="G1407" s="13" t="s">
        <v>11</v>
      </c>
      <c r="H1407" s="13" t="s">
        <v>2792</v>
      </c>
    </row>
    <row r="1408" spans="1:8" x14ac:dyDescent="0.25">
      <c r="A1408" s="16" t="s">
        <v>2806</v>
      </c>
      <c r="B1408" s="16" t="str" cm="1">
        <f t="array" ref="B1408">_xll.GetPrice(F1408,,G1408,_SPECIFIEDvarPubDate,)</f>
        <v>#N/A N/A</v>
      </c>
      <c r="C1408" s="17">
        <f t="shared" si="63"/>
        <v>45848</v>
      </c>
      <c r="D1408" s="16">
        <f t="shared" si="64"/>
        <v>2025</v>
      </c>
      <c r="E1408" s="16">
        <f t="shared" si="65"/>
        <v>7</v>
      </c>
      <c r="F1408" s="13" t="s">
        <v>2817</v>
      </c>
      <c r="G1408" s="13" t="s">
        <v>11</v>
      </c>
      <c r="H1408" s="13" t="s">
        <v>2792</v>
      </c>
    </row>
    <row r="1409" spans="1:8" x14ac:dyDescent="0.25">
      <c r="A1409" s="16" t="s">
        <v>2807</v>
      </c>
      <c r="B1409" s="16" t="str" cm="1">
        <f t="array" ref="B1409">_xll.GetPrice(F1409,,G1409,_SPECIFIEDvarPubDate,)</f>
        <v>#N/A N/A</v>
      </c>
      <c r="C1409" s="17">
        <f t="shared" si="63"/>
        <v>45848</v>
      </c>
      <c r="D1409" s="16">
        <f t="shared" si="64"/>
        <v>2025</v>
      </c>
      <c r="E1409" s="16">
        <f t="shared" si="65"/>
        <v>7</v>
      </c>
      <c r="F1409" s="13" t="s">
        <v>2818</v>
      </c>
      <c r="G1409" s="13" t="s">
        <v>11</v>
      </c>
      <c r="H1409" s="13" t="s">
        <v>2792</v>
      </c>
    </row>
  </sheetData>
  <autoFilter ref="A1:H1397" xr:uid="{00000000-0001-0000-0000-000000000000}"/>
  <phoneticPr fontId="7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7BFD7DDE2EAE49AAC78A68AB7AA4C6" ma:contentTypeVersion="18" ma:contentTypeDescription="Create a new document." ma:contentTypeScope="" ma:versionID="f204cc806845aa2af1fdfa580804559a">
  <xsd:schema xmlns:xsd="http://www.w3.org/2001/XMLSchema" xmlns:xs="http://www.w3.org/2001/XMLSchema" xmlns:p="http://schemas.microsoft.com/office/2006/metadata/properties" xmlns:ns2="37a4200c-0ed5-4d27-bdfb-343e8c4f4810" xmlns:ns3="de5281ab-0e43-4ae6-a18f-9b82c26df0e2" targetNamespace="http://schemas.microsoft.com/office/2006/metadata/properties" ma:root="true" ma:fieldsID="613ec300197912e5dd627532e1197081" ns2:_="" ns3:_="">
    <xsd:import namespace="37a4200c-0ed5-4d27-bdfb-343e8c4f4810"/>
    <xsd:import namespace="de5281ab-0e43-4ae6-a18f-9b82c26df0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a4200c-0ed5-4d27-bdfb-343e8c4f48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7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LengthInSeconds" ma:index="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5281ab-0e43-4ae6-a18f-9b82c26df0e2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16EB76E-1082-4E6B-AB52-19B7130888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822DB17-5EA3-4518-AB11-CFFDBDBFAF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a4200c-0ed5-4d27-bdfb-343e8c4f4810"/>
    <ds:schemaRef ds:uri="de5281ab-0e43-4ae6-a18f-9b82c26df0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FD42D9-5F4E-4FBC-ACA1-E384225A372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Lumber Assessments-Latest price</vt:lpstr>
      <vt:lpstr>Lumber Assessments-Specify Date</vt:lpstr>
      <vt:lpstr>Lumber Assessments-SpecificDate</vt:lpstr>
      <vt:lpstr>_SPECIFIEDvarMonth</vt:lpstr>
      <vt:lpstr>_SPECIFIEDvarPrvWeekDate</vt:lpstr>
      <vt:lpstr>_SPECIFIEDvarPrvYearDate</vt:lpstr>
      <vt:lpstr>_SPECIFIEDvarPubDate</vt:lpstr>
      <vt:lpstr>_SPECIFIEDvarYear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Zheng, Vivien (US)</dc:creator>
  <cp:keywords/>
  <dc:description/>
  <cp:lastModifiedBy>Fitzgerald, Amber (UK)</cp:lastModifiedBy>
  <cp:revision/>
  <dcterms:created xsi:type="dcterms:W3CDTF">2015-06-05T18:17:20Z</dcterms:created>
  <dcterms:modified xsi:type="dcterms:W3CDTF">2025-07-15T13:00:39Z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0x0101002E7BFD7DDE2EAE49AAC78A68AB7AA4C6</vt:lpwstr>
  </property>
  <property fmtid="{D5CDD505-2E9C-101B-9397-08002B2CF9AE}" pid="3" name="Order">
    <vt:r8>16600</vt:r8>
  </property>
  <property fmtid="{D5CDD505-2E9C-101B-9397-08002B2CF9AE}" pid="4" name="_ExtendedDescription">
    <vt:lpwstr/>
  </property>
</Properties>
</file>