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fmpra-my.sharepoint.com/personal/amber_fitzgerald_fastmarkets_com/Documents/Desktop/Changes/Random Lengths/2025/2025 open consultation/xls and dbf files/Live versions/updated files for July 2025/"/>
    </mc:Choice>
  </mc:AlternateContent>
  <xr:revisionPtr revIDLastSave="148" documentId="8_{992D07A2-5B55-459E-ACB2-8B5A95E1EC74}" xr6:coauthVersionLast="47" xr6:coauthVersionMax="47" xr10:uidLastSave="{B4271A51-288D-4BC9-8820-6BED41202031}"/>
  <bookViews>
    <workbookView xWindow="28680" yWindow="-120" windowWidth="29040" windowHeight="15720" tabRatio="521" xr2:uid="{00000000-000D-0000-FFFF-FFFF00000000}"/>
  </bookViews>
  <sheets>
    <sheet name="Lumber Assessments-Latest price" sheetId="13" r:id="rId1"/>
    <sheet name="Lumber assessments-SpecificDate" sheetId="14" r:id="rId2"/>
  </sheets>
  <definedNames>
    <definedName name="__Comp" localSheetId="1">'Lumber assessments-SpecificDate'!$A$500</definedName>
    <definedName name="__Comp">'Lumber Assessments-Latest price'!$A$500</definedName>
    <definedName name="__RptP08" localSheetId="1">'Lumber assessments-SpecificDate'!$A$401:$R$472</definedName>
    <definedName name="__RptP08">'Lumber Assessments-Latest price'!$A$401:$R$472</definedName>
    <definedName name="_LATESTvarPrvWk">'Lumber Assessments-Latest price'!$G$22</definedName>
    <definedName name="_LATESTvarPrvYr">'Lumber Assessments-Latest price'!$I$22</definedName>
    <definedName name="_LATESTvarPrvYrWithMid">'Lumber Assessments-Latest price'!$K$22</definedName>
    <definedName name="_LATESTvarPrvYrWithMidPrvDate">'Lumber Assessments-Latest price'!$M$22</definedName>
    <definedName name="_LATESTvarPubDate">'Lumber Assessments-Latest price'!$B$22</definedName>
    <definedName name="_prtRptComp" localSheetId="1">'Lumber assessments-SpecificDate'!$A$501:$H$515</definedName>
    <definedName name="_prtRptComp">'Lumber Assessments-Latest price'!$A$501:$H$515</definedName>
    <definedName name="_prtRptP05" localSheetId="1">'Lumber assessments-SpecificDate'!$A$101:$R$164</definedName>
    <definedName name="_prtRptP05">'Lumber Assessments-Latest price'!$A$101:$R$164</definedName>
    <definedName name="_prtRptP06" localSheetId="1">'Lumber assessments-SpecificDate'!$A$201:$U$270</definedName>
    <definedName name="_prtRptP06">'Lumber Assessments-Latest price'!$A$201:$U$270</definedName>
    <definedName name="_prtRptP07" localSheetId="1">'Lumber assessments-SpecificDate'!$A$301:$M$364</definedName>
    <definedName name="_prtRptP07">'Lumber Assessments-Latest price'!$A$301:$M$364</definedName>
    <definedName name="_prtRptP08" localSheetId="1">'Lumber assessments-SpecificDate'!$A$401:$R$472</definedName>
    <definedName name="_prtRptP08">'Lumber Assessments-Latest price'!$A$401:$R$472</definedName>
    <definedName name="_SPECIFICvarPrvWk" localSheetId="1">'Lumber assessments-SpecificDate'!$G$22</definedName>
    <definedName name="_SPECIFICvarPrvYr" localSheetId="1">'Lumber assessments-SpecificDate'!$I$22</definedName>
    <definedName name="_SPECIFICvarPrvYrWithMid" localSheetId="1">'Lumber assessments-SpecificDate'!$K$22</definedName>
    <definedName name="_SPECIFICvarPrvYrWithMidPrvDate" localSheetId="1">'Lumber assessments-SpecificDate'!$M$22</definedName>
    <definedName name="_SPECIFICvarPubDate" localSheetId="1">'Lumber assessments-SpecificDate'!$B$22</definedName>
    <definedName name="LAAB" localSheetId="0">'Lumber Assessments-Latest price'!$B$111</definedName>
    <definedName name="LAAB" localSheetId="1">'Lumber assessments-SpecificDate'!$B$111</definedName>
    <definedName name="LAAC" localSheetId="0">'Lumber Assessments-Latest price'!$B$112</definedName>
    <definedName name="LAAC" localSheetId="1">'Lumber assessments-SpecificDate'!$B$112</definedName>
    <definedName name="LAAD" localSheetId="0">'Lumber Assessments-Latest price'!$B$113</definedName>
    <definedName name="LAAD" localSheetId="1">'Lumber assessments-SpecificDate'!$B$113</definedName>
    <definedName name="LAAE" localSheetId="0">'Lumber Assessments-Latest price'!$B$114</definedName>
    <definedName name="LAAE" localSheetId="1">'Lumber assessments-SpecificDate'!$B$114</definedName>
    <definedName name="LAAF" localSheetId="0">'Lumber Assessments-Latest price'!$B$115</definedName>
    <definedName name="LAAF" localSheetId="1">'Lumber assessments-SpecificDate'!$B$115</definedName>
    <definedName name="LAAG" localSheetId="0">'Lumber Assessments-Latest price'!$B$116</definedName>
    <definedName name="LAAG" localSheetId="1">'Lumber assessments-SpecificDate'!$B$116</definedName>
    <definedName name="LAAH" localSheetId="0">'Lumber Assessments-Latest price'!$B$117</definedName>
    <definedName name="LAAH" localSheetId="1">'Lumber assessments-SpecificDate'!$B$117</definedName>
    <definedName name="LAAI" localSheetId="0">'Lumber Assessments-Latest price'!$B$118</definedName>
    <definedName name="LAAI" localSheetId="1">'Lumber assessments-SpecificDate'!$B$118</definedName>
    <definedName name="LAAJ" localSheetId="0">'Lumber Assessments-Latest price'!$B$119</definedName>
    <definedName name="LAAJ" localSheetId="1">'Lumber assessments-SpecificDate'!$B$119</definedName>
    <definedName name="LAAK" localSheetId="0">'Lumber Assessments-Latest price'!$B$149</definedName>
    <definedName name="LAAK" localSheetId="1">'Lumber assessments-SpecificDate'!$B$149</definedName>
    <definedName name="LAAL" localSheetId="0">'Lumber Assessments-Latest price'!$B$128</definedName>
    <definedName name="LAAL" localSheetId="1">'Lumber assessments-SpecificDate'!$B$128</definedName>
    <definedName name="LAAM" localSheetId="0">'Lumber Assessments-Latest price'!$B$130</definedName>
    <definedName name="LAAM" localSheetId="1">'Lumber assessments-SpecificDate'!$B$130</definedName>
    <definedName name="LAAN" localSheetId="0">'Lumber Assessments-Latest price'!$B$131</definedName>
    <definedName name="LAAN" localSheetId="1">'Lumber assessments-SpecificDate'!$B$131</definedName>
    <definedName name="LAAO" localSheetId="0">'Lumber Assessments-Latest price'!$B$132</definedName>
    <definedName name="LAAO" localSheetId="1">'Lumber assessments-SpecificDate'!$B$132</definedName>
    <definedName name="LAAP" localSheetId="0">'Lumber Assessments-Latest price'!$B$133</definedName>
    <definedName name="LAAP" localSheetId="1">'Lumber assessments-SpecificDate'!$B$133</definedName>
    <definedName name="LAAQ" localSheetId="0">'Lumber Assessments-Latest price'!$B$134</definedName>
    <definedName name="LAAQ" localSheetId="1">'Lumber assessments-SpecificDate'!$B$134</definedName>
    <definedName name="LAAR" localSheetId="0">'Lumber Assessments-Latest price'!$B$135</definedName>
    <definedName name="LAAR" localSheetId="1">'Lumber assessments-SpecificDate'!$B$135</definedName>
    <definedName name="LAAV" localSheetId="0">'Lumber Assessments-Latest price'!$B$136</definedName>
    <definedName name="LAAV" localSheetId="1">'Lumber assessments-SpecificDate'!$B$136</definedName>
    <definedName name="LAAW" localSheetId="0">'Lumber Assessments-Latest price'!$B$252</definedName>
    <definedName name="LAAW" localSheetId="1">'Lumber assessments-SpecificDate'!$B$252</definedName>
    <definedName name="LAAX" localSheetId="0">'Lumber Assessments-Latest price'!$B$253</definedName>
    <definedName name="LAAX" localSheetId="1">'Lumber assessments-SpecificDate'!$B$253</definedName>
    <definedName name="LAAY" localSheetId="0">'Lumber Assessments-Latest price'!$B$254</definedName>
    <definedName name="LAAY" localSheetId="1">'Lumber assessments-SpecificDate'!$B$254</definedName>
    <definedName name="LAAZ" localSheetId="0">'Lumber Assessments-Latest price'!$B$255</definedName>
    <definedName name="LAAZ" localSheetId="1">'Lumber assessments-SpecificDate'!$B$255</definedName>
    <definedName name="LABA" localSheetId="0">'Lumber Assessments-Latest price'!$C$109</definedName>
    <definedName name="LABA" localSheetId="1">'Lumber assessments-SpecificDate'!$C$109</definedName>
    <definedName name="LABB" localSheetId="0">'Lumber Assessments-Latest price'!$C$111</definedName>
    <definedName name="LABB" localSheetId="1">'Lumber assessments-SpecificDate'!$C$111</definedName>
    <definedName name="LABC" localSheetId="0">'Lumber Assessments-Latest price'!$C$112</definedName>
    <definedName name="LABC" localSheetId="1">'Lumber assessments-SpecificDate'!$C$112</definedName>
    <definedName name="LABD" localSheetId="0">'Lumber Assessments-Latest price'!$C$113</definedName>
    <definedName name="LABD" localSheetId="1">'Lumber assessments-SpecificDate'!$C$113</definedName>
    <definedName name="LABE" localSheetId="0">'Lumber Assessments-Latest price'!$C$114</definedName>
    <definedName name="LABE" localSheetId="1">'Lumber assessments-SpecificDate'!$C$114</definedName>
    <definedName name="LABF" localSheetId="0">'Lumber Assessments-Latest price'!$C$115</definedName>
    <definedName name="LABF" localSheetId="1">'Lumber assessments-SpecificDate'!$C$115</definedName>
    <definedName name="LABG" localSheetId="0">'Lumber Assessments-Latest price'!$C$116</definedName>
    <definedName name="LABG" localSheetId="1">'Lumber assessments-SpecificDate'!$C$116</definedName>
    <definedName name="LABH" localSheetId="0">'Lumber Assessments-Latest price'!$C$117</definedName>
    <definedName name="LABH" localSheetId="1">'Lumber assessments-SpecificDate'!$C$117</definedName>
    <definedName name="LABI" localSheetId="0">'Lumber Assessments-Latest price'!$C$118</definedName>
    <definedName name="LABI" localSheetId="1">'Lumber assessments-SpecificDate'!$C$118</definedName>
    <definedName name="LABJ" localSheetId="0">'Lumber Assessments-Latest price'!$C$119</definedName>
    <definedName name="LABJ" localSheetId="1">'Lumber assessments-SpecificDate'!$C$119</definedName>
    <definedName name="LABK" localSheetId="0">'Lumber Assessments-Latest price'!$C$149</definedName>
    <definedName name="LABK" localSheetId="1">'Lumber assessments-SpecificDate'!$C$149</definedName>
    <definedName name="LABL" localSheetId="0">'Lumber Assessments-Latest price'!$C$152</definedName>
    <definedName name="LABL" localSheetId="1">'Lumber assessments-SpecificDate'!$C$152</definedName>
    <definedName name="LABM" localSheetId="0">'Lumber Assessments-Latest price'!$C$157</definedName>
    <definedName name="LABM" localSheetId="1">'Lumber assessments-SpecificDate'!$C$157</definedName>
    <definedName name="LABO" localSheetId="0">'Lumber Assessments-Latest price'!$B$161</definedName>
    <definedName name="LABO" localSheetId="1">'Lumber assessments-SpecificDate'!$B$161</definedName>
    <definedName name="LABV" localSheetId="0">'Lumber Assessments-Latest price'!$B$137</definedName>
    <definedName name="LABV" localSheetId="1">'Lumber assessments-SpecificDate'!$B$137</definedName>
    <definedName name="LABX" localSheetId="0">'Lumber Assessments-Latest price'!$C$249</definedName>
    <definedName name="LABX" localSheetId="1">'Lumber assessments-SpecificDate'!$C$249</definedName>
    <definedName name="LABY" localSheetId="0">'Lumber Assessments-Latest price'!$C$250</definedName>
    <definedName name="LABY" localSheetId="1">'Lumber assessments-SpecificDate'!$C$250</definedName>
    <definedName name="LABZ" localSheetId="0">'Lumber Assessments-Latest price'!$C$254</definedName>
    <definedName name="LABZ" localSheetId="1">'Lumber assessments-SpecificDate'!$C$254</definedName>
    <definedName name="LACC" localSheetId="0">'Lumber Assessments-Latest price'!$D$111</definedName>
    <definedName name="LACC" localSheetId="1">'Lumber assessments-SpecificDate'!$D$111</definedName>
    <definedName name="LACD" localSheetId="0">'Lumber Assessments-Latest price'!$D$112</definedName>
    <definedName name="LACD" localSheetId="1">'Lumber assessments-SpecificDate'!$D$112</definedName>
    <definedName name="LACE" localSheetId="0">'Lumber Assessments-Latest price'!$D$113</definedName>
    <definedName name="LACE" localSheetId="1">'Lumber assessments-SpecificDate'!$D$113</definedName>
    <definedName name="LACF" localSheetId="0">'Lumber Assessments-Latest price'!$D$114</definedName>
    <definedName name="LACF" localSheetId="1">'Lumber assessments-SpecificDate'!$D$114</definedName>
    <definedName name="LACG" localSheetId="0">'Lumber Assessments-Latest price'!$D$115</definedName>
    <definedName name="LACG" localSheetId="1">'Lumber assessments-SpecificDate'!$D$115</definedName>
    <definedName name="LACH" localSheetId="0">'Lumber Assessments-Latest price'!$D$116</definedName>
    <definedName name="LACH" localSheetId="1">'Lumber assessments-SpecificDate'!$D$116</definedName>
    <definedName name="LACI" localSheetId="0">'Lumber Assessments-Latest price'!$D$117</definedName>
    <definedName name="LACI" localSheetId="1">'Lumber assessments-SpecificDate'!$D$117</definedName>
    <definedName name="LACJ" localSheetId="0">'Lumber Assessments-Latest price'!$D$118</definedName>
    <definedName name="LACJ" localSheetId="1">'Lumber assessments-SpecificDate'!$D$118</definedName>
    <definedName name="LACK" localSheetId="0">'Lumber Assessments-Latest price'!$D$119</definedName>
    <definedName name="LACK" localSheetId="1">'Lumber assessments-SpecificDate'!$D$119</definedName>
    <definedName name="LACL" localSheetId="0">'Lumber Assessments-Latest price'!$Q$154</definedName>
    <definedName name="LACL" localSheetId="1">'Lumber assessments-SpecificDate'!$Q$154</definedName>
    <definedName name="LACN" localSheetId="0">'Lumber Assessments-Latest price'!$C$161</definedName>
    <definedName name="LACN" localSheetId="1">'Lumber assessments-SpecificDate'!$C$161</definedName>
    <definedName name="LACT" localSheetId="0">'Lumber Assessments-Latest price'!$B$138</definedName>
    <definedName name="LACT" localSheetId="1">'Lumber assessments-SpecificDate'!$B$138</definedName>
    <definedName name="LADB" localSheetId="0">'Lumber Assessments-Latest price'!$E$111</definedName>
    <definedName name="LADB" localSheetId="1">'Lumber assessments-SpecificDate'!$E$111</definedName>
    <definedName name="LADC" localSheetId="0">'Lumber Assessments-Latest price'!$E$112</definedName>
    <definedName name="LADC" localSheetId="1">'Lumber assessments-SpecificDate'!$E$112</definedName>
    <definedName name="LADD" localSheetId="0">'Lumber Assessments-Latest price'!$E$113</definedName>
    <definedName name="LADD" localSheetId="1">'Lumber assessments-SpecificDate'!$E$113</definedName>
    <definedName name="LADE" localSheetId="0">'Lumber Assessments-Latest price'!$E$114</definedName>
    <definedName name="LADE" localSheetId="1">'Lumber assessments-SpecificDate'!$E$114</definedName>
    <definedName name="LADF" localSheetId="0">'Lumber Assessments-Latest price'!$E$115</definedName>
    <definedName name="LADF" localSheetId="1">'Lumber assessments-SpecificDate'!$E$115</definedName>
    <definedName name="LADG" localSheetId="0">'Lumber Assessments-Latest price'!$E$116</definedName>
    <definedName name="LADG" localSheetId="1">'Lumber assessments-SpecificDate'!$E$116</definedName>
    <definedName name="LADH" localSheetId="0">'Lumber Assessments-Latest price'!$E$117</definedName>
    <definedName name="LADH" localSheetId="1">'Lumber assessments-SpecificDate'!$E$117</definedName>
    <definedName name="LADI" localSheetId="0">'Lumber Assessments-Latest price'!$E$118</definedName>
    <definedName name="LADI" localSheetId="1">'Lumber assessments-SpecificDate'!$E$118</definedName>
    <definedName name="LADJ" localSheetId="0">'Lumber Assessments-Latest price'!$E$119</definedName>
    <definedName name="LADJ" localSheetId="1">'Lumber assessments-SpecificDate'!$E$119</definedName>
    <definedName name="LADK" localSheetId="0">'Lumber Assessments-Latest price'!$D$149</definedName>
    <definedName name="LADK" localSheetId="1">'Lumber assessments-SpecificDate'!$D$149</definedName>
    <definedName name="LADL" localSheetId="0">'Lumber Assessments-Latest price'!$D$128</definedName>
    <definedName name="LADL" localSheetId="1">'Lumber assessments-SpecificDate'!$D$128</definedName>
    <definedName name="LADM" localSheetId="0">'Lumber Assessments-Latest price'!$D$130</definedName>
    <definedName name="LADM" localSheetId="1">'Lumber assessments-SpecificDate'!$D$130</definedName>
    <definedName name="LADN" localSheetId="0">'Lumber Assessments-Latest price'!$D$131</definedName>
    <definedName name="LADN" localSheetId="1">'Lumber assessments-SpecificDate'!$D$131</definedName>
    <definedName name="LADO" localSheetId="0">'Lumber Assessments-Latest price'!$D$132</definedName>
    <definedName name="LADO" localSheetId="1">'Lumber assessments-SpecificDate'!$D$132</definedName>
    <definedName name="LADP" localSheetId="0">'Lumber Assessments-Latest price'!$D$133</definedName>
    <definedName name="LADP" localSheetId="1">'Lumber assessments-SpecificDate'!$D$133</definedName>
    <definedName name="LADQ" localSheetId="0">'Lumber Assessments-Latest price'!$E$249</definedName>
    <definedName name="LADQ" localSheetId="1">'Lumber assessments-SpecificDate'!$E$249</definedName>
    <definedName name="LADR" localSheetId="0">'Lumber Assessments-Latest price'!$E$252</definedName>
    <definedName name="LADR" localSheetId="1">'Lumber assessments-SpecificDate'!$E$252</definedName>
    <definedName name="LADS" localSheetId="0">'Lumber Assessments-Latest price'!$E$253</definedName>
    <definedName name="LADS" localSheetId="1">'Lumber assessments-SpecificDate'!$E$253</definedName>
    <definedName name="LADT" localSheetId="0">'Lumber Assessments-Latest price'!$F$109</definedName>
    <definedName name="LADT" localSheetId="1">'Lumber assessments-SpecificDate'!$F$109</definedName>
    <definedName name="LADU" localSheetId="0">'Lumber Assessments-Latest price'!$F$111</definedName>
    <definedName name="LADU" localSheetId="1">'Lumber assessments-SpecificDate'!$F$111</definedName>
    <definedName name="LADV" localSheetId="0">'Lumber Assessments-Latest price'!$F$112</definedName>
    <definedName name="LADV" localSheetId="1">'Lumber assessments-SpecificDate'!$F$112</definedName>
    <definedName name="LADW" localSheetId="0">'Lumber Assessments-Latest price'!$F$113</definedName>
    <definedName name="LADW" localSheetId="1">'Lumber assessments-SpecificDate'!$F$113</definedName>
    <definedName name="LADX" localSheetId="0">'Lumber Assessments-Latest price'!$F$114</definedName>
    <definedName name="LADX" localSheetId="1">'Lumber assessments-SpecificDate'!$F$114</definedName>
    <definedName name="LADY" localSheetId="0">'Lumber Assessments-Latest price'!$F$115</definedName>
    <definedName name="LADY" localSheetId="1">'Lumber assessments-SpecificDate'!$F$115</definedName>
    <definedName name="LADZ" localSheetId="0">'Lumber Assessments-Latest price'!$F$116</definedName>
    <definedName name="LADZ" localSheetId="1">'Lumber assessments-SpecificDate'!$F$116</definedName>
    <definedName name="LAEA" localSheetId="0">'Lumber Assessments-Latest price'!$F$117</definedName>
    <definedName name="LAEA" localSheetId="1">'Lumber assessments-SpecificDate'!$F$117</definedName>
    <definedName name="LAEB" localSheetId="0">'Lumber Assessments-Latest price'!$F$118</definedName>
    <definedName name="LAEB" localSheetId="1">'Lumber assessments-SpecificDate'!$F$118</definedName>
    <definedName name="LAEC" localSheetId="0">'Lumber Assessments-Latest price'!$F$119</definedName>
    <definedName name="LAEC" localSheetId="1">'Lumber assessments-SpecificDate'!$F$119</definedName>
    <definedName name="LAED" localSheetId="0">'Lumber Assessments-Latest price'!$E$149</definedName>
    <definedName name="LAED" localSheetId="1">'Lumber assessments-SpecificDate'!$E$149</definedName>
    <definedName name="LAEE" localSheetId="0">'Lumber Assessments-Latest price'!$E$152</definedName>
    <definedName name="LAEE" localSheetId="1">'Lumber assessments-SpecificDate'!$E$152</definedName>
    <definedName name="LAEF" localSheetId="0">'Lumber Assessments-Latest price'!$E$157</definedName>
    <definedName name="LAEF" localSheetId="1">'Lumber assessments-SpecificDate'!$E$157</definedName>
    <definedName name="LAEL" localSheetId="0">'Lumber Assessments-Latest price'!$F$250</definedName>
    <definedName name="LAEL" localSheetId="1">'Lumber assessments-SpecificDate'!$F$250</definedName>
    <definedName name="LAEN" localSheetId="0">'Lumber Assessments-Latest price'!$F$253</definedName>
    <definedName name="LAEN" localSheetId="1">'Lumber assessments-SpecificDate'!$F$253</definedName>
    <definedName name="LAEO" localSheetId="0">'Lumber Assessments-Latest price'!$F$254</definedName>
    <definedName name="LAEO" localSheetId="1">'Lumber assessments-SpecificDate'!$F$254</definedName>
    <definedName name="LAEP" localSheetId="0">'Lumber Assessments-Latest price'!$I$110</definedName>
    <definedName name="LAEP" localSheetId="1">'Lumber assessments-SpecificDate'!$I$110</definedName>
    <definedName name="LAEQ" localSheetId="0">'Lumber Assessments-Latest price'!$I$111</definedName>
    <definedName name="LAEQ" localSheetId="1">'Lumber assessments-SpecificDate'!$I$111</definedName>
    <definedName name="LAER" localSheetId="0">'Lumber Assessments-Latest price'!$I$112</definedName>
    <definedName name="LAER" localSheetId="1">'Lumber assessments-SpecificDate'!$I$112</definedName>
    <definedName name="LAES" localSheetId="0">'Lumber Assessments-Latest price'!$I$113</definedName>
    <definedName name="LAES" localSheetId="1">'Lumber assessments-SpecificDate'!$I$113</definedName>
    <definedName name="LAET" localSheetId="0">'Lumber Assessments-Latest price'!$I$114</definedName>
    <definedName name="LAET" localSheetId="1">'Lumber assessments-SpecificDate'!$I$114</definedName>
    <definedName name="LAEU" localSheetId="0">'Lumber Assessments-Latest price'!$I$115</definedName>
    <definedName name="LAEU" localSheetId="1">'Lumber assessments-SpecificDate'!$I$115</definedName>
    <definedName name="LAEV" localSheetId="0">'Lumber Assessments-Latest price'!$I$116</definedName>
    <definedName name="LAEV" localSheetId="1">'Lumber assessments-SpecificDate'!$I$116</definedName>
    <definedName name="LAEW" localSheetId="0">'Lumber Assessments-Latest price'!$I$117</definedName>
    <definedName name="LAEW" localSheetId="1">'Lumber assessments-SpecificDate'!$I$117</definedName>
    <definedName name="LAEX" localSheetId="0">'Lumber Assessments-Latest price'!$I$118</definedName>
    <definedName name="LAEX" localSheetId="1">'Lumber assessments-SpecificDate'!$I$118</definedName>
    <definedName name="LAEY" localSheetId="0">'Lumber Assessments-Latest price'!$I$119</definedName>
    <definedName name="LAEY" localSheetId="1">'Lumber assessments-SpecificDate'!$I$119</definedName>
    <definedName name="LAFC" localSheetId="0">'Lumber Assessments-Latest price'!$G$252</definedName>
    <definedName name="LAFC" localSheetId="1">'Lumber assessments-SpecificDate'!$G$252</definedName>
    <definedName name="LAFD" localSheetId="0">'Lumber Assessments-Latest price'!$G$253</definedName>
    <definedName name="LAFD" localSheetId="1">'Lumber assessments-SpecificDate'!$G$253</definedName>
    <definedName name="LAFE" localSheetId="0">'Lumber Assessments-Latest price'!$G$254</definedName>
    <definedName name="LAFE" localSheetId="1">'Lumber assessments-SpecificDate'!$G$254</definedName>
    <definedName name="LAFF" localSheetId="0">'Lumber Assessments-Latest price'!$G$255</definedName>
    <definedName name="LAFF" localSheetId="1">'Lumber assessments-SpecificDate'!$G$255</definedName>
    <definedName name="LAFG" localSheetId="0">'Lumber Assessments-Latest price'!$J$110</definedName>
    <definedName name="LAFG" localSheetId="1">'Lumber assessments-SpecificDate'!$J$110</definedName>
    <definedName name="LAFH" localSheetId="0">'Lumber Assessments-Latest price'!$J$111</definedName>
    <definedName name="LAFH" localSheetId="1">'Lumber assessments-SpecificDate'!$J$111</definedName>
    <definedName name="LAFI" localSheetId="0">'Lumber Assessments-Latest price'!$J$112</definedName>
    <definedName name="LAFI" localSheetId="1">'Lumber assessments-SpecificDate'!$J$112</definedName>
    <definedName name="LAFJ" localSheetId="0">'Lumber Assessments-Latest price'!$J$113</definedName>
    <definedName name="LAFJ" localSheetId="1">'Lumber assessments-SpecificDate'!$J$113</definedName>
    <definedName name="LAFK" localSheetId="0">'Lumber Assessments-Latest price'!$J$114</definedName>
    <definedName name="LAFK" localSheetId="1">'Lumber assessments-SpecificDate'!$J$114</definedName>
    <definedName name="LAFL" localSheetId="0">'Lumber Assessments-Latest price'!$J$115</definedName>
    <definedName name="LAFL" localSheetId="1">'Lumber assessments-SpecificDate'!$J$115</definedName>
    <definedName name="LAFM" localSheetId="0">'Lumber Assessments-Latest price'!$J$116</definedName>
    <definedName name="LAFM" localSheetId="1">'Lumber assessments-SpecificDate'!$J$116</definedName>
    <definedName name="LAFN" localSheetId="0">'Lumber Assessments-Latest price'!$J$117</definedName>
    <definedName name="LAFN" localSheetId="1">'Lumber assessments-SpecificDate'!$J$117</definedName>
    <definedName name="LAFO" localSheetId="0">'Lumber Assessments-Latest price'!$J$118</definedName>
    <definedName name="LAFO" localSheetId="1">'Lumber assessments-SpecificDate'!$J$118</definedName>
    <definedName name="LAFP" localSheetId="0">'Lumber Assessments-Latest price'!$J$119</definedName>
    <definedName name="LAFP" localSheetId="1">'Lumber assessments-SpecificDate'!$J$119</definedName>
    <definedName name="LAFS" localSheetId="0">'Lumber Assessments-Latest price'!$E$128</definedName>
    <definedName name="LAFS" localSheetId="1">'Lumber assessments-SpecificDate'!$E$128</definedName>
    <definedName name="LAFT" localSheetId="0">'Lumber Assessments-Latest price'!$E$130</definedName>
    <definedName name="LAFT" localSheetId="1">'Lumber assessments-SpecificDate'!$E$130</definedName>
    <definedName name="LAFU" localSheetId="0">'Lumber Assessments-Latest price'!$E$131</definedName>
    <definedName name="LAFU" localSheetId="1">'Lumber assessments-SpecificDate'!$E$131</definedName>
    <definedName name="LAFV" localSheetId="0">'Lumber Assessments-Latest price'!$E$132</definedName>
    <definedName name="LAFV" localSheetId="1">'Lumber assessments-SpecificDate'!$E$132</definedName>
    <definedName name="LAFW" localSheetId="0">'Lumber Assessments-Latest price'!$E$133</definedName>
    <definedName name="LAFW" localSheetId="1">'Lumber assessments-SpecificDate'!$E$133</definedName>
    <definedName name="LAFX" localSheetId="0">'Lumber Assessments-Latest price'!$E$134</definedName>
    <definedName name="LAFX" localSheetId="1">'Lumber assessments-SpecificDate'!$E$134</definedName>
    <definedName name="LAFY" localSheetId="0">'Lumber Assessments-Latest price'!$E$135</definedName>
    <definedName name="LAFY" localSheetId="1">'Lumber assessments-SpecificDate'!$E$135</definedName>
    <definedName name="LAFZ" localSheetId="0">'Lumber Assessments-Latest price'!$H$249</definedName>
    <definedName name="LAFZ" localSheetId="1">'Lumber assessments-SpecificDate'!$H$249</definedName>
    <definedName name="LAGA" localSheetId="0">'Lumber Assessments-Latest price'!$H$250</definedName>
    <definedName name="LAGA" localSheetId="1">'Lumber assessments-SpecificDate'!$H$250</definedName>
    <definedName name="LAGB" localSheetId="0">'Lumber Assessments-Latest price'!$H$254</definedName>
    <definedName name="LAGB" localSheetId="1">'Lumber assessments-SpecificDate'!$H$254</definedName>
    <definedName name="LAGD" localSheetId="0">'Lumber Assessments-Latest price'!$K$110</definedName>
    <definedName name="LAGD" localSheetId="1">'Lumber assessments-SpecificDate'!$K$110</definedName>
    <definedName name="LAGE" localSheetId="0">'Lumber Assessments-Latest price'!$K$111</definedName>
    <definedName name="LAGE" localSheetId="1">'Lumber assessments-SpecificDate'!$K$111</definedName>
    <definedName name="LAGF" localSheetId="0">'Lumber Assessments-Latest price'!$K$112</definedName>
    <definedName name="LAGF" localSheetId="1">'Lumber assessments-SpecificDate'!$K$112</definedName>
    <definedName name="LAGG" localSheetId="0">'Lumber Assessments-Latest price'!$K$113</definedName>
    <definedName name="LAGG" localSheetId="1">'Lumber assessments-SpecificDate'!$K$113</definedName>
    <definedName name="LAGH" localSheetId="0">'Lumber Assessments-Latest price'!$K$114</definedName>
    <definedName name="LAGH" localSheetId="1">'Lumber assessments-SpecificDate'!$K$114</definedName>
    <definedName name="LAGI" localSheetId="0">'Lumber Assessments-Latest price'!$K$115</definedName>
    <definedName name="LAGI" localSheetId="1">'Lumber assessments-SpecificDate'!$K$115</definedName>
    <definedName name="LAGJ" localSheetId="0">'Lumber Assessments-Latest price'!$K$116</definedName>
    <definedName name="LAGJ" localSheetId="1">'Lumber assessments-SpecificDate'!$K$116</definedName>
    <definedName name="LAGK" localSheetId="0">'Lumber Assessments-Latest price'!$K$117</definedName>
    <definedName name="LAGK" localSheetId="1">'Lumber assessments-SpecificDate'!$K$117</definedName>
    <definedName name="LAGL" localSheetId="0">'Lumber Assessments-Latest price'!$K$118</definedName>
    <definedName name="LAGL" localSheetId="1">'Lumber assessments-SpecificDate'!$K$118</definedName>
    <definedName name="LAGM" localSheetId="0">'Lumber Assessments-Latest price'!$K$119</definedName>
    <definedName name="LAGM" localSheetId="1">'Lumber assessments-SpecificDate'!$K$119</definedName>
    <definedName name="LAGY" localSheetId="0">'Lumber Assessments-Latest price'!$I$249</definedName>
    <definedName name="LAGY" localSheetId="1">'Lumber assessments-SpecificDate'!$I$249</definedName>
    <definedName name="LAGZ" localSheetId="0">'Lumber Assessments-Latest price'!$I$250</definedName>
    <definedName name="LAGZ" localSheetId="1">'Lumber assessments-SpecificDate'!$I$250</definedName>
    <definedName name="LAHA" localSheetId="0">'Lumber Assessments-Latest price'!$I$253</definedName>
    <definedName name="LAHA" localSheetId="1">'Lumber assessments-SpecificDate'!$I$253</definedName>
    <definedName name="LAHB" localSheetId="0">'Lumber Assessments-Latest price'!$I$254</definedName>
    <definedName name="LAHB" localSheetId="1">'Lumber assessments-SpecificDate'!$I$254</definedName>
    <definedName name="LAHC" localSheetId="0">'Lumber Assessments-Latest price'!$I$255</definedName>
    <definedName name="LAHC" localSheetId="1">'Lumber assessments-SpecificDate'!$I$255</definedName>
    <definedName name="LAHS" localSheetId="0">'Lumber Assessments-Latest price'!$J$250</definedName>
    <definedName name="LAHS" localSheetId="1">'Lumber assessments-SpecificDate'!$J$250</definedName>
    <definedName name="LAHU" localSheetId="0">'Lumber Assessments-Latest price'!$J$253</definedName>
    <definedName name="LAHU" localSheetId="1">'Lumber assessments-SpecificDate'!$J$253</definedName>
    <definedName name="LAHV" localSheetId="0">'Lumber Assessments-Latest price'!$J$254</definedName>
    <definedName name="LAHV" localSheetId="1">'Lumber assessments-SpecificDate'!$J$254</definedName>
    <definedName name="LAIA" localSheetId="0">'Lumber Assessments-Latest price'!$F$149</definedName>
    <definedName name="LAIA" localSheetId="1">'Lumber assessments-SpecificDate'!$F$149</definedName>
    <definedName name="LAIB" localSheetId="0">'Lumber Assessments-Latest price'!$F$152</definedName>
    <definedName name="LAIB" localSheetId="1">'Lumber assessments-SpecificDate'!$F$152</definedName>
    <definedName name="LAIC" localSheetId="0">'Lumber Assessments-Latest price'!$F$157</definedName>
    <definedName name="LAIC" localSheetId="1">'Lumber assessments-SpecificDate'!$F$157</definedName>
    <definedName name="LAID" localSheetId="0">'Lumber Assessments-Latest price'!$K$252</definedName>
    <definedName name="LAID" localSheetId="1">'Lumber assessments-SpecificDate'!$K$252</definedName>
    <definedName name="LAIE" localSheetId="0">'Lumber Assessments-Latest price'!$K$253</definedName>
    <definedName name="LAIE" localSheetId="1">'Lumber assessments-SpecificDate'!$K$253</definedName>
    <definedName name="LAIF" localSheetId="0">'Lumber Assessments-Latest price'!$K$254</definedName>
    <definedName name="LAIF" localSheetId="1">'Lumber assessments-SpecificDate'!$K$254</definedName>
    <definedName name="LAIG" localSheetId="0">'Lumber Assessments-Latest price'!$K$255</definedName>
    <definedName name="LAIG" localSheetId="1">'Lumber assessments-SpecificDate'!$K$255</definedName>
    <definedName name="LAIU" localSheetId="0">'Lumber Assessments-Latest price'!$L$250</definedName>
    <definedName name="LAIU" localSheetId="1">'Lumber assessments-SpecificDate'!$L$250</definedName>
    <definedName name="LAIV" localSheetId="0">'Lumber Assessments-Latest price'!$L$254</definedName>
    <definedName name="LAIV" localSheetId="1">'Lumber assessments-SpecificDate'!$L$254</definedName>
    <definedName name="LAIY" localSheetId="0">'Lumber Assessments-Latest price'!$M$111</definedName>
    <definedName name="LAIY" localSheetId="1">'Lumber assessments-SpecificDate'!$M$111</definedName>
    <definedName name="LAIZ" localSheetId="0">'Lumber Assessments-Latest price'!$M$112</definedName>
    <definedName name="LAIZ" localSheetId="1">'Lumber assessments-SpecificDate'!$M$112</definedName>
    <definedName name="LAJA" localSheetId="0">'Lumber Assessments-Latest price'!$M$113</definedName>
    <definedName name="LAJA" localSheetId="1">'Lumber assessments-SpecificDate'!$M$113</definedName>
    <definedName name="LAJB" localSheetId="0">'Lumber Assessments-Latest price'!$M$114</definedName>
    <definedName name="LAJB" localSheetId="1">'Lumber assessments-SpecificDate'!$M$114</definedName>
    <definedName name="LAJC" localSheetId="0">'Lumber Assessments-Latest price'!$I$148</definedName>
    <definedName name="LAJC" localSheetId="1">'Lumber assessments-SpecificDate'!$I$148</definedName>
    <definedName name="LAJD" localSheetId="0">'Lumber Assessments-Latest price'!$I$128</definedName>
    <definedName name="LAJD" localSheetId="1">'Lumber assessments-SpecificDate'!$I$128</definedName>
    <definedName name="LAJE" localSheetId="0">'Lumber Assessments-Latest price'!$I$129</definedName>
    <definedName name="LAJE" localSheetId="1">'Lumber assessments-SpecificDate'!$I$129</definedName>
    <definedName name="LAJF" localSheetId="0">'Lumber Assessments-Latest price'!$I$135</definedName>
    <definedName name="LAJF" localSheetId="1">'Lumber assessments-SpecificDate'!$I$135</definedName>
    <definedName name="LAJG" localSheetId="0">'Lumber Assessments-Latest price'!$I$136</definedName>
    <definedName name="LAJG" localSheetId="1">'Lumber assessments-SpecificDate'!$I$136</definedName>
    <definedName name="LAJH" localSheetId="0">'Lumber Assessments-Latest price'!$I$137</definedName>
    <definedName name="LAJH" localSheetId="1">'Lumber assessments-SpecificDate'!$I$137</definedName>
    <definedName name="LAJI" localSheetId="0">'Lumber Assessments-Latest price'!$I$138</definedName>
    <definedName name="LAJI" localSheetId="1">'Lumber assessments-SpecificDate'!$I$138</definedName>
    <definedName name="LAJJ" localSheetId="0">'Lumber Assessments-Latest price'!$I$139</definedName>
    <definedName name="LAJJ" localSheetId="1">'Lumber assessments-SpecificDate'!$I$139</definedName>
    <definedName name="LAJK" localSheetId="0">'Lumber Assessments-Latest price'!$N$135</definedName>
    <definedName name="LAJK" localSheetId="1">'Lumber assessments-SpecificDate'!$N$135</definedName>
    <definedName name="LAJL" localSheetId="0">'Lumber Assessments-Latest price'!$M$249</definedName>
    <definedName name="LAJL" localSheetId="1">'Lumber assessments-SpecificDate'!$M$249</definedName>
    <definedName name="LAJM" localSheetId="0">'Lumber Assessments-Latest price'!$M$250</definedName>
    <definedName name="LAJM" localSheetId="1">'Lumber assessments-SpecificDate'!$M$250</definedName>
    <definedName name="LAJN" localSheetId="0">'Lumber Assessments-Latest price'!$M$253</definedName>
    <definedName name="LAJN" localSheetId="1">'Lumber assessments-SpecificDate'!$M$253</definedName>
    <definedName name="LAJO" localSheetId="0">'Lumber Assessments-Latest price'!$M$254</definedName>
    <definedName name="LAJO" localSheetId="1">'Lumber assessments-SpecificDate'!$M$254</definedName>
    <definedName name="LAJP" localSheetId="0">'Lumber Assessments-Latest price'!$M$255</definedName>
    <definedName name="LAJP" localSheetId="1">'Lumber assessments-SpecificDate'!$M$255</definedName>
    <definedName name="LAJS" localSheetId="0">'Lumber Assessments-Latest price'!$N$111</definedName>
    <definedName name="LAJS" localSheetId="1">'Lumber assessments-SpecificDate'!$N$111</definedName>
    <definedName name="LAJT" localSheetId="0">'Lumber Assessments-Latest price'!$N$112</definedName>
    <definedName name="LAJT" localSheetId="1">'Lumber assessments-SpecificDate'!$N$112</definedName>
    <definedName name="LAJU" localSheetId="0">'Lumber Assessments-Latest price'!$N$113</definedName>
    <definedName name="LAJU" localSheetId="1">'Lumber assessments-SpecificDate'!$N$113</definedName>
    <definedName name="LAJW" localSheetId="0">'Lumber Assessments-Latest price'!$N$116</definedName>
    <definedName name="LAJW" localSheetId="1">'Lumber assessments-SpecificDate'!$N$116</definedName>
    <definedName name="LAJX" localSheetId="0">'Lumber Assessments-Latest price'!$J$148</definedName>
    <definedName name="LAJX" localSheetId="1">'Lumber assessments-SpecificDate'!$J$148</definedName>
    <definedName name="LAKA" localSheetId="0">'Lumber Assessments-Latest price'!$J$135</definedName>
    <definedName name="LAKA" localSheetId="1">'Lumber assessments-SpecificDate'!$J$135</definedName>
    <definedName name="LAKB" localSheetId="0">'Lumber Assessments-Latest price'!$O$135</definedName>
    <definedName name="LAKB" localSheetId="1">'Lumber assessments-SpecificDate'!$O$135</definedName>
    <definedName name="LAKC" localSheetId="0">'Lumber Assessments-Latest price'!$N$249</definedName>
    <definedName name="LAKC" localSheetId="1">'Lumber assessments-SpecificDate'!$N$249</definedName>
    <definedName name="LAKD" localSheetId="0">'Lumber Assessments-Latest price'!$N$252</definedName>
    <definedName name="LAKD" localSheetId="1">'Lumber assessments-SpecificDate'!$N$252</definedName>
    <definedName name="LAKE" localSheetId="0">'Lumber Assessments-Latest price'!$N$253</definedName>
    <definedName name="LAKE" localSheetId="1">'Lumber assessments-SpecificDate'!$N$253</definedName>
    <definedName name="LAKF" localSheetId="0">'Lumber Assessments-Latest price'!$O$110</definedName>
    <definedName name="LAKF" localSheetId="1">'Lumber assessments-SpecificDate'!$O$110</definedName>
    <definedName name="LAKG" localSheetId="0">'Lumber Assessments-Latest price'!$O$111</definedName>
    <definedName name="LAKG" localSheetId="1">'Lumber assessments-SpecificDate'!$O$111</definedName>
    <definedName name="LAKH" localSheetId="0">'Lumber Assessments-Latest price'!$O$112</definedName>
    <definedName name="LAKH" localSheetId="1">'Lumber assessments-SpecificDate'!$O$112</definedName>
    <definedName name="LAKI" localSheetId="0">'Lumber Assessments-Latest price'!$O$113</definedName>
    <definedName name="LAKI" localSheetId="1">'Lumber assessments-SpecificDate'!$O$113</definedName>
    <definedName name="LAKJ" localSheetId="0">'Lumber Assessments-Latest price'!$O$115</definedName>
    <definedName name="LAKJ" localSheetId="1">'Lumber assessments-SpecificDate'!$O$115</definedName>
    <definedName name="LAKK" localSheetId="0">'Lumber Assessments-Latest price'!$O$116</definedName>
    <definedName name="LAKK" localSheetId="1">'Lumber assessments-SpecificDate'!$O$116</definedName>
    <definedName name="LAKL" localSheetId="0">'Lumber Assessments-Latest price'!$K$148</definedName>
    <definedName name="LAKL" localSheetId="1">'Lumber assessments-SpecificDate'!$K$148</definedName>
    <definedName name="LAKM" localSheetId="0">'Lumber Assessments-Latest price'!$K$151</definedName>
    <definedName name="LAKM" localSheetId="1">'Lumber assessments-SpecificDate'!$K$151</definedName>
    <definedName name="LAKN" localSheetId="0">'Lumber Assessments-Latest price'!$K$156</definedName>
    <definedName name="LAKN" localSheetId="1">'Lumber assessments-SpecificDate'!$K$156</definedName>
    <definedName name="LAKO" localSheetId="0">'Lumber Assessments-Latest price'!$K$146</definedName>
    <definedName name="LAKO" localSheetId="1">'Lumber assessments-SpecificDate'!$K$146</definedName>
    <definedName name="LAKP" localSheetId="0">'Lumber Assessments-Latest price'!$K$153</definedName>
    <definedName name="LAKP" localSheetId="1">'Lumber assessments-SpecificDate'!$K$153</definedName>
    <definedName name="LAKS" localSheetId="0">'Lumber Assessments-Latest price'!$K$135</definedName>
    <definedName name="LAKS" localSheetId="1">'Lumber assessments-SpecificDate'!$K$135</definedName>
    <definedName name="LAKT" localSheetId="0">'Lumber Assessments-Latest price'!$P$135</definedName>
    <definedName name="LAKT" localSheetId="1">'Lumber assessments-SpecificDate'!$P$135</definedName>
    <definedName name="LAKU" localSheetId="0">'Lumber Assessments-Latest price'!$O$253</definedName>
    <definedName name="LAKU" localSheetId="1">'Lumber assessments-SpecificDate'!$O$253</definedName>
    <definedName name="LAKV" localSheetId="0">'Lumber Assessments-Latest price'!$O$254</definedName>
    <definedName name="LAKV" localSheetId="1">'Lumber assessments-SpecificDate'!$O$254</definedName>
    <definedName name="LAKW" localSheetId="0">'Lumber Assessments-Latest price'!$P$110</definedName>
    <definedName name="LAKW" localSheetId="1">'Lumber assessments-SpecificDate'!$P$110</definedName>
    <definedName name="LAKX" localSheetId="0">'Lumber Assessments-Latest price'!$P$111</definedName>
    <definedName name="LAKX" localSheetId="1">'Lumber assessments-SpecificDate'!$P$111</definedName>
    <definedName name="LAKY" localSheetId="0">'Lumber Assessments-Latest price'!$P$112</definedName>
    <definedName name="LAKY" localSheetId="1">'Lumber assessments-SpecificDate'!$P$112</definedName>
    <definedName name="LAKZ" localSheetId="0">'Lumber Assessments-Latest price'!$P$115</definedName>
    <definedName name="LAKZ" localSheetId="1">'Lumber assessments-SpecificDate'!$P$115</definedName>
    <definedName name="LALA" localSheetId="0">'Lumber Assessments-Latest price'!$P$116</definedName>
    <definedName name="LALA" localSheetId="1">'Lumber assessments-SpecificDate'!$P$116</definedName>
    <definedName name="LALB" localSheetId="0">'Lumber Assessments-Latest price'!$L$148</definedName>
    <definedName name="LALB" localSheetId="1">'Lumber assessments-SpecificDate'!$L$148</definedName>
    <definedName name="LALC" localSheetId="0">'Lumber Assessments-Latest price'!$L$151</definedName>
    <definedName name="LALC" localSheetId="1">'Lumber assessments-SpecificDate'!$L$151</definedName>
    <definedName name="LALD" localSheetId="0">'Lumber Assessments-Latest price'!$L$156</definedName>
    <definedName name="LALD" localSheetId="1">'Lumber assessments-SpecificDate'!$L$156</definedName>
    <definedName name="LALE" localSheetId="0">'Lumber Assessments-Latest price'!$L$146</definedName>
    <definedName name="LALE" localSheetId="1">'Lumber assessments-SpecificDate'!$L$146</definedName>
    <definedName name="LALF" localSheetId="0">'Lumber Assessments-Latest price'!$L$153</definedName>
    <definedName name="LALF" localSheetId="1">'Lumber assessments-SpecificDate'!$L$153</definedName>
    <definedName name="LALJ" localSheetId="0">'Lumber Assessments-Latest price'!$Q$110</definedName>
    <definedName name="LALJ" localSheetId="1">'Lumber assessments-SpecificDate'!$Q$110</definedName>
    <definedName name="LALK" localSheetId="0">'Lumber Assessments-Latest price'!$Q$111</definedName>
    <definedName name="LALK" localSheetId="1">'Lumber assessments-SpecificDate'!$Q$111</definedName>
    <definedName name="LALL" localSheetId="0">'Lumber Assessments-Latest price'!$Q$112</definedName>
    <definedName name="LALL" localSheetId="1">'Lumber assessments-SpecificDate'!$Q$112</definedName>
    <definedName name="LALM" localSheetId="0">'Lumber Assessments-Latest price'!$Q$113</definedName>
    <definedName name="LALM" localSheetId="1">'Lumber assessments-SpecificDate'!$Q$113</definedName>
    <definedName name="LALN" localSheetId="0">'Lumber Assessments-Latest price'!$M$148</definedName>
    <definedName name="LALN" localSheetId="1">'Lumber assessments-SpecificDate'!$M$148</definedName>
    <definedName name="LALO" localSheetId="0">'Lumber Assessments-Latest price'!$M$156</definedName>
    <definedName name="LALO" localSheetId="1">'Lumber assessments-SpecificDate'!$M$156</definedName>
    <definedName name="LALP" localSheetId="0">'Lumber Assessments-Latest price'!$B$206</definedName>
    <definedName name="LALP" localSheetId="1">'Lumber assessments-SpecificDate'!$B$206</definedName>
    <definedName name="LALQ" localSheetId="0">'Lumber Assessments-Latest price'!$B$207</definedName>
    <definedName name="LALQ" localSheetId="1">'Lumber assessments-SpecificDate'!$B$207</definedName>
    <definedName name="LALR" localSheetId="0">'Lumber Assessments-Latest price'!$B$208</definedName>
    <definedName name="LALR" localSheetId="1">'Lumber assessments-SpecificDate'!$B$208</definedName>
    <definedName name="LALS" localSheetId="0">'Lumber Assessments-Latest price'!$B$209</definedName>
    <definedName name="LALS" localSheetId="1">'Lumber assessments-SpecificDate'!$B$209</definedName>
    <definedName name="LALT" localSheetId="0">'Lumber Assessments-Latest price'!$B$210</definedName>
    <definedName name="LALT" localSheetId="1">'Lumber assessments-SpecificDate'!$B$210</definedName>
    <definedName name="LALU" localSheetId="0">'Lumber Assessments-Latest price'!$B$211</definedName>
    <definedName name="LALU" localSheetId="1">'Lumber assessments-SpecificDate'!$B$211</definedName>
    <definedName name="LALV" localSheetId="0">'Lumber Assessments-Latest price'!$B$212</definedName>
    <definedName name="LALV" localSheetId="1">'Lumber assessments-SpecificDate'!$B$212</definedName>
    <definedName name="LALW" localSheetId="0">'Lumber Assessments-Latest price'!$B$213</definedName>
    <definedName name="LALW" localSheetId="1">'Lumber assessments-SpecificDate'!$B$213</definedName>
    <definedName name="LALX" localSheetId="0">'Lumber Assessments-Latest price'!$B$214</definedName>
    <definedName name="LALX" localSheetId="1">'Lumber assessments-SpecificDate'!$B$214</definedName>
    <definedName name="LALY" localSheetId="0">'Lumber Assessments-Latest price'!$B$215</definedName>
    <definedName name="LALY" localSheetId="1">'Lumber assessments-SpecificDate'!$B$215</definedName>
    <definedName name="LAMB" localSheetId="0">'Lumber Assessments-Latest price'!$B$221</definedName>
    <definedName name="LAMB" localSheetId="1">'Lumber assessments-SpecificDate'!$B$221</definedName>
    <definedName name="LAMC" localSheetId="0">'Lumber Assessments-Latest price'!$B$222</definedName>
    <definedName name="LAMC" localSheetId="1">'Lumber assessments-SpecificDate'!$B$222</definedName>
    <definedName name="LAMD" localSheetId="0">'Lumber Assessments-Latest price'!$B$226</definedName>
    <definedName name="LAMD" localSheetId="1">'Lumber assessments-SpecificDate'!$B$226</definedName>
    <definedName name="LAME" localSheetId="0">'Lumber Assessments-Latest price'!$B$227</definedName>
    <definedName name="LAME" localSheetId="1">'Lumber assessments-SpecificDate'!$B$227</definedName>
    <definedName name="LAMF" localSheetId="0">'Lumber Assessments-Latest price'!$B$228</definedName>
    <definedName name="LAMF" localSheetId="1">'Lumber assessments-SpecificDate'!$B$228</definedName>
    <definedName name="LAMG" localSheetId="0">'Lumber Assessments-Latest price'!$B$229</definedName>
    <definedName name="LAMG" localSheetId="1">'Lumber assessments-SpecificDate'!$B$229</definedName>
    <definedName name="LAMH" localSheetId="0">'Lumber Assessments-Latest price'!$B$230</definedName>
    <definedName name="LAMH" localSheetId="1">'Lumber assessments-SpecificDate'!$B$230</definedName>
    <definedName name="LAMI" localSheetId="0">'Lumber Assessments-Latest price'!$B$235</definedName>
    <definedName name="LAMI" localSheetId="1">'Lumber assessments-SpecificDate'!$B$235</definedName>
    <definedName name="LAMJ" localSheetId="0">'Lumber Assessments-Latest price'!$B$236</definedName>
    <definedName name="LAMJ" localSheetId="1">'Lumber assessments-SpecificDate'!$B$236</definedName>
    <definedName name="LAMK" localSheetId="0">'Lumber Assessments-Latest price'!$B$238</definedName>
    <definedName name="LAMK" localSheetId="1">'Lumber assessments-SpecificDate'!$B$238</definedName>
    <definedName name="LAML" localSheetId="0">'Lumber Assessments-Latest price'!$B$239</definedName>
    <definedName name="LAML" localSheetId="1">'Lumber assessments-SpecificDate'!$B$239</definedName>
    <definedName name="LAMM" localSheetId="0">'Lumber Assessments-Latest price'!$K$239</definedName>
    <definedName name="LAMM" localSheetId="1">'Lumber assessments-SpecificDate'!$K$239</definedName>
    <definedName name="LAMN" localSheetId="0">'Lumber Assessments-Latest price'!$K$240</definedName>
    <definedName name="LAMN" localSheetId="1">'Lumber assessments-SpecificDate'!$K$240</definedName>
    <definedName name="LAMO" localSheetId="0">'Lumber Assessments-Latest price'!$K$241</definedName>
    <definedName name="LAMO" localSheetId="1">'Lumber assessments-SpecificDate'!$K$241</definedName>
    <definedName name="LAMP" localSheetId="0">'Lumber Assessments-Latest price'!$K$242</definedName>
    <definedName name="LAMP" localSheetId="1">'Lumber assessments-SpecificDate'!$K$242</definedName>
    <definedName name="LAMQ" localSheetId="0">'Lumber Assessments-Latest price'!$K$243</definedName>
    <definedName name="LAMQ" localSheetId="1">'Lumber assessments-SpecificDate'!$K$243</definedName>
    <definedName name="LAMR" localSheetId="0">'Lumber Assessments-Latest price'!$E$257</definedName>
    <definedName name="LAMR" localSheetId="1">'Lumber assessments-SpecificDate'!$E$257</definedName>
    <definedName name="LAMS" localSheetId="0">'Lumber Assessments-Latest price'!$E$258</definedName>
    <definedName name="LAMS" localSheetId="1">'Lumber assessments-SpecificDate'!$E$258</definedName>
    <definedName name="LAMT" localSheetId="0">'Lumber Assessments-Latest price'!$E$259</definedName>
    <definedName name="LAMT" localSheetId="1">'Lumber assessments-SpecificDate'!$E$259</definedName>
    <definedName name="LAMU" localSheetId="0">'Lumber Assessments-Latest price'!$E$260</definedName>
    <definedName name="LAMU" localSheetId="1">'Lumber assessments-SpecificDate'!$E$260</definedName>
    <definedName name="LAMW" localSheetId="0">'Lumber Assessments-Latest price'!$E$262</definedName>
    <definedName name="LAMW" localSheetId="1">'Lumber assessments-SpecificDate'!$E$262</definedName>
    <definedName name="LAMY" localSheetId="0">'Lumber Assessments-Latest price'!$E$263</definedName>
    <definedName name="LAMY" localSheetId="1">'Lumber assessments-SpecificDate'!$E$263</definedName>
    <definedName name="LAMZ" localSheetId="0">'Lumber Assessments-Latest price'!$E$265</definedName>
    <definedName name="LAMZ" localSheetId="1">'Lumber assessments-SpecificDate'!$E$265</definedName>
    <definedName name="LANA" localSheetId="0">'Lumber Assessments-Latest price'!$E$266</definedName>
    <definedName name="LANA" localSheetId="1">'Lumber assessments-SpecificDate'!$E$266</definedName>
    <definedName name="LANB" localSheetId="0">'Lumber Assessments-Latest price'!$C$206</definedName>
    <definedName name="LANB" localSheetId="1">'Lumber assessments-SpecificDate'!$C$206</definedName>
    <definedName name="LANC" localSheetId="0">'Lumber Assessments-Latest price'!$C$207</definedName>
    <definedName name="LANC" localSheetId="1">'Lumber assessments-SpecificDate'!$C$207</definedName>
    <definedName name="LAND" localSheetId="0">'Lumber Assessments-Latest price'!$C$208</definedName>
    <definedName name="LAND" localSheetId="1">'Lumber assessments-SpecificDate'!$C$208</definedName>
    <definedName name="LANE" localSheetId="0">'Lumber Assessments-Latest price'!$C$209</definedName>
    <definedName name="LANE" localSheetId="1">'Lumber assessments-SpecificDate'!$C$209</definedName>
    <definedName name="LANF" localSheetId="0">'Lumber Assessments-Latest price'!$C$210</definedName>
    <definedName name="LANF" localSheetId="1">'Lumber assessments-SpecificDate'!$C$210</definedName>
    <definedName name="LANG" localSheetId="0">'Lumber Assessments-Latest price'!$C$211</definedName>
    <definedName name="LANG" localSheetId="1">'Lumber assessments-SpecificDate'!$C$211</definedName>
    <definedName name="LANH" localSheetId="0">'Lumber Assessments-Latest price'!$C$212</definedName>
    <definedName name="LANH" localSheetId="1">'Lumber assessments-SpecificDate'!$C$212</definedName>
    <definedName name="LANI" localSheetId="0">'Lumber Assessments-Latest price'!$C$213</definedName>
    <definedName name="LANI" localSheetId="1">'Lumber assessments-SpecificDate'!$C$213</definedName>
    <definedName name="LANJ" localSheetId="0">'Lumber Assessments-Latest price'!$C$214</definedName>
    <definedName name="LANJ" localSheetId="1">'Lumber assessments-SpecificDate'!$C$214</definedName>
    <definedName name="LANK" localSheetId="0">'Lumber Assessments-Latest price'!$C$215</definedName>
    <definedName name="LANK" localSheetId="1">'Lumber assessments-SpecificDate'!$C$215</definedName>
    <definedName name="LANL" localSheetId="0">'Lumber Assessments-Latest price'!$C$216</definedName>
    <definedName name="LANL" localSheetId="1">'Lumber assessments-SpecificDate'!$C$216</definedName>
    <definedName name="LANM" localSheetId="0">'Lumber Assessments-Latest price'!$C$217</definedName>
    <definedName name="LANM" localSheetId="1">'Lumber assessments-SpecificDate'!$C$217</definedName>
    <definedName name="LANP" localSheetId="0">'Lumber Assessments-Latest price'!$C$221</definedName>
    <definedName name="LANP" localSheetId="1">'Lumber assessments-SpecificDate'!$C$221</definedName>
    <definedName name="LANQ" localSheetId="0">'Lumber Assessments-Latest price'!$C$222</definedName>
    <definedName name="LANQ" localSheetId="1">'Lumber assessments-SpecificDate'!$C$222</definedName>
    <definedName name="LANR" localSheetId="0">'Lumber Assessments-Latest price'!$C$226</definedName>
    <definedName name="LANR" localSheetId="1">'Lumber assessments-SpecificDate'!$C$226</definedName>
    <definedName name="LANS" localSheetId="0">'Lumber Assessments-Latest price'!$C$227</definedName>
    <definedName name="LANS" localSheetId="1">'Lumber assessments-SpecificDate'!$C$227</definedName>
    <definedName name="LANT" localSheetId="0">'Lumber Assessments-Latest price'!$C$228</definedName>
    <definedName name="LANT" localSheetId="1">'Lumber assessments-SpecificDate'!$C$228</definedName>
    <definedName name="LANU" localSheetId="0">'Lumber Assessments-Latest price'!$C$229</definedName>
    <definedName name="LANU" localSheetId="1">'Lumber assessments-SpecificDate'!$C$229</definedName>
    <definedName name="LANV" localSheetId="0">'Lumber Assessments-Latest price'!$C$230</definedName>
    <definedName name="LANV" localSheetId="1">'Lumber assessments-SpecificDate'!$C$230</definedName>
    <definedName name="LANW" localSheetId="0">'Lumber Assessments-Latest price'!$C$235</definedName>
    <definedName name="LANW" localSheetId="1">'Lumber assessments-SpecificDate'!$C$235</definedName>
    <definedName name="LANX" localSheetId="0">'Lumber Assessments-Latest price'!$C$236</definedName>
    <definedName name="LANX" localSheetId="1">'Lumber assessments-SpecificDate'!$C$236</definedName>
    <definedName name="LANY" localSheetId="0">'Lumber Assessments-Latest price'!$C$238</definedName>
    <definedName name="LANY" localSheetId="1">'Lumber assessments-SpecificDate'!$C$238</definedName>
    <definedName name="LANZ" localSheetId="0">'Lumber Assessments-Latest price'!$C$239</definedName>
    <definedName name="LANZ" localSheetId="1">'Lumber assessments-SpecificDate'!$C$239</definedName>
    <definedName name="LAOA" localSheetId="0">'Lumber Assessments-Latest price'!$L$239</definedName>
    <definedName name="LAOA" localSheetId="1">'Lumber assessments-SpecificDate'!$L$239</definedName>
    <definedName name="LAOB" localSheetId="0">'Lumber Assessments-Latest price'!$L$240</definedName>
    <definedName name="LAOB" localSheetId="1">'Lumber assessments-SpecificDate'!$L$240</definedName>
    <definedName name="LAOC" localSheetId="0">'Lumber Assessments-Latest price'!$L$241</definedName>
    <definedName name="LAOC" localSheetId="1">'Lumber assessments-SpecificDate'!$L$241</definedName>
    <definedName name="LAOD" localSheetId="0">'Lumber Assessments-Latest price'!$L$242</definedName>
    <definedName name="LAOD" localSheetId="1">'Lumber assessments-SpecificDate'!$L$242</definedName>
    <definedName name="LAOE" localSheetId="0">'Lumber Assessments-Latest price'!$L$243</definedName>
    <definedName name="LAOE" localSheetId="1">'Lumber assessments-SpecificDate'!$L$243</definedName>
    <definedName name="LAOF" localSheetId="0">'Lumber Assessments-Latest price'!$N$257</definedName>
    <definedName name="LAOF" localSheetId="1">'Lumber assessments-SpecificDate'!$N$257</definedName>
    <definedName name="LAOG" localSheetId="0">'Lumber Assessments-Latest price'!$N$258</definedName>
    <definedName name="LAOG" localSheetId="1">'Lumber assessments-SpecificDate'!$N$258</definedName>
    <definedName name="LAOH" localSheetId="0">'Lumber Assessments-Latest price'!$N$259</definedName>
    <definedName name="LAOH" localSheetId="1">'Lumber assessments-SpecificDate'!$N$259</definedName>
    <definedName name="LAOI" localSheetId="0">'Lumber Assessments-Latest price'!$N$260</definedName>
    <definedName name="LAOI" localSheetId="1">'Lumber assessments-SpecificDate'!$N$260</definedName>
    <definedName name="LAOK" localSheetId="0">'Lumber Assessments-Latest price'!$N$262</definedName>
    <definedName name="LAOK" localSheetId="1">'Lumber assessments-SpecificDate'!$N$262</definedName>
    <definedName name="LAOM" localSheetId="0">'Lumber Assessments-Latest price'!$N$263</definedName>
    <definedName name="LAOM" localSheetId="1">'Lumber assessments-SpecificDate'!$N$263</definedName>
    <definedName name="LAON" localSheetId="0">'Lumber Assessments-Latest price'!$N$265</definedName>
    <definedName name="LAON" localSheetId="1">'Lumber assessments-SpecificDate'!$N$265</definedName>
    <definedName name="LAOO" localSheetId="0">'Lumber Assessments-Latest price'!$N$266</definedName>
    <definedName name="LAOO" localSheetId="1">'Lumber assessments-SpecificDate'!$N$266</definedName>
    <definedName name="LAOP" localSheetId="0">'Lumber Assessments-Latest price'!$D$206</definedName>
    <definedName name="LAOP" localSheetId="1">'Lumber assessments-SpecificDate'!$D$206</definedName>
    <definedName name="LAOQ" localSheetId="0">'Lumber Assessments-Latest price'!$D$207</definedName>
    <definedName name="LAOQ" localSheetId="1">'Lumber assessments-SpecificDate'!$D$207</definedName>
    <definedName name="LAOR" localSheetId="0">'Lumber Assessments-Latest price'!$D$208</definedName>
    <definedName name="LAOR" localSheetId="1">'Lumber assessments-SpecificDate'!$D$208</definedName>
    <definedName name="LAOS" localSheetId="0">'Lumber Assessments-Latest price'!$D$209</definedName>
    <definedName name="LAOS" localSheetId="1">'Lumber assessments-SpecificDate'!$D$209</definedName>
    <definedName name="LAOT" localSheetId="0">'Lumber Assessments-Latest price'!$D$210</definedName>
    <definedName name="LAOT" localSheetId="1">'Lumber assessments-SpecificDate'!$D$210</definedName>
    <definedName name="LAOU" localSheetId="0">'Lumber Assessments-Latest price'!$D$211</definedName>
    <definedName name="LAOU" localSheetId="1">'Lumber assessments-SpecificDate'!$D$211</definedName>
    <definedName name="LAOV" localSheetId="0">'Lumber Assessments-Latest price'!$D$212</definedName>
    <definedName name="LAOV" localSheetId="1">'Lumber assessments-SpecificDate'!$D$212</definedName>
    <definedName name="LAOW" localSheetId="0">'Lumber Assessments-Latest price'!$D$213</definedName>
    <definedName name="LAOW" localSheetId="1">'Lumber assessments-SpecificDate'!$D$213</definedName>
    <definedName name="LAOX" localSheetId="0">'Lumber Assessments-Latest price'!$D$214</definedName>
    <definedName name="LAOX" localSheetId="1">'Lumber assessments-SpecificDate'!$D$214</definedName>
    <definedName name="LAOY" localSheetId="0">'Lumber Assessments-Latest price'!$D$215</definedName>
    <definedName name="LAOY" localSheetId="1">'Lumber assessments-SpecificDate'!$D$215</definedName>
    <definedName name="LAOZ" localSheetId="0">'Lumber Assessments-Latest price'!$D$216</definedName>
    <definedName name="LAOZ" localSheetId="1">'Lumber assessments-SpecificDate'!$D$216</definedName>
    <definedName name="LAPA" localSheetId="0">'Lumber Assessments-Latest price'!$D$217</definedName>
    <definedName name="LAPA" localSheetId="1">'Lumber assessments-SpecificDate'!$D$217</definedName>
    <definedName name="LAPD" localSheetId="0">'Lumber Assessments-Latest price'!$D$221</definedName>
    <definedName name="LAPD" localSheetId="1">'Lumber assessments-SpecificDate'!$D$221</definedName>
    <definedName name="LAPE" localSheetId="0">'Lumber Assessments-Latest price'!$D$222</definedName>
    <definedName name="LAPE" localSheetId="1">'Lumber assessments-SpecificDate'!$D$222</definedName>
    <definedName name="LAPF" localSheetId="0">'Lumber Assessments-Latest price'!$D$226</definedName>
    <definedName name="LAPF" localSheetId="1">'Lumber assessments-SpecificDate'!$D$226</definedName>
    <definedName name="LAPG" localSheetId="0">'Lumber Assessments-Latest price'!$D$227</definedName>
    <definedName name="LAPG" localSheetId="1">'Lumber assessments-SpecificDate'!$D$227</definedName>
    <definedName name="LAPH" localSheetId="0">'Lumber Assessments-Latest price'!$D$228</definedName>
    <definedName name="LAPH" localSheetId="1">'Lumber assessments-SpecificDate'!$D$228</definedName>
    <definedName name="LAPI" localSheetId="0">'Lumber Assessments-Latest price'!$D$229</definedName>
    <definedName name="LAPI" localSheetId="1">'Lumber assessments-SpecificDate'!$D$229</definedName>
    <definedName name="LAPJ" localSheetId="0">'Lumber Assessments-Latest price'!$D$230</definedName>
    <definedName name="LAPJ" localSheetId="1">'Lumber assessments-SpecificDate'!$D$230</definedName>
    <definedName name="LAPK" localSheetId="0">'Lumber Assessments-Latest price'!$D$235</definedName>
    <definedName name="LAPK" localSheetId="1">'Lumber assessments-SpecificDate'!$D$235</definedName>
    <definedName name="LAPL" localSheetId="0">'Lumber Assessments-Latest price'!$D$236</definedName>
    <definedName name="LAPL" localSheetId="1">'Lumber assessments-SpecificDate'!$D$236</definedName>
    <definedName name="LAPM" localSheetId="0">'Lumber Assessments-Latest price'!$D$238</definedName>
    <definedName name="LAPM" localSheetId="1">'Lumber assessments-SpecificDate'!$D$238</definedName>
    <definedName name="LAPN" localSheetId="0">'Lumber Assessments-Latest price'!$D$239</definedName>
    <definedName name="LAPN" localSheetId="1">'Lumber assessments-SpecificDate'!$D$239</definedName>
    <definedName name="LAPO" localSheetId="0">'Lumber Assessments-Latest price'!$M$239</definedName>
    <definedName name="LAPO" localSheetId="1">'Lumber assessments-SpecificDate'!$M$239</definedName>
    <definedName name="LAPP" localSheetId="0">'Lumber Assessments-Latest price'!$M$240</definedName>
    <definedName name="LAPP" localSheetId="1">'Lumber assessments-SpecificDate'!$M$240</definedName>
    <definedName name="LAPQ" localSheetId="0">'Lumber Assessments-Latest price'!$M$241</definedName>
    <definedName name="LAPQ" localSheetId="1">'Lumber assessments-SpecificDate'!$M$241</definedName>
    <definedName name="LAPR" localSheetId="0">'Lumber Assessments-Latest price'!$M$242</definedName>
    <definedName name="LAPR" localSheetId="1">'Lumber assessments-SpecificDate'!$M$242</definedName>
    <definedName name="LAPS" localSheetId="0">'Lumber Assessments-Latest price'!$M$243</definedName>
    <definedName name="LAPS" localSheetId="1">'Lumber assessments-SpecificDate'!$M$243</definedName>
    <definedName name="LAPT" localSheetId="0">'Lumber Assessments-Latest price'!$E$206</definedName>
    <definedName name="LAPT" localSheetId="1">'Lumber assessments-SpecificDate'!$E$206</definedName>
    <definedName name="LAPU" localSheetId="0">'Lumber Assessments-Latest price'!$E$207</definedName>
    <definedName name="LAPU" localSheetId="1">'Lumber assessments-SpecificDate'!$E$207</definedName>
    <definedName name="LAPV" localSheetId="0">'Lumber Assessments-Latest price'!$E$208</definedName>
    <definedName name="LAPV" localSheetId="1">'Lumber assessments-SpecificDate'!$E$208</definedName>
    <definedName name="LAPW" localSheetId="0">'Lumber Assessments-Latest price'!$E$209</definedName>
    <definedName name="LAPW" localSheetId="1">'Lumber assessments-SpecificDate'!$E$209</definedName>
    <definedName name="LAPX" localSheetId="0">'Lumber Assessments-Latest price'!$E$210</definedName>
    <definedName name="LAPX" localSheetId="1">'Lumber assessments-SpecificDate'!$E$210</definedName>
    <definedName name="LAPY" localSheetId="0">'Lumber Assessments-Latest price'!$E$211</definedName>
    <definedName name="LAPY" localSheetId="1">'Lumber assessments-SpecificDate'!$E$211</definedName>
    <definedName name="LAPZ" localSheetId="0">'Lumber Assessments-Latest price'!$E$212</definedName>
    <definedName name="LAPZ" localSheetId="1">'Lumber assessments-SpecificDate'!$E$212</definedName>
    <definedName name="LAQA" localSheetId="0">'Lumber Assessments-Latest price'!$E$213</definedName>
    <definedName name="LAQA" localSheetId="1">'Lumber assessments-SpecificDate'!$E$213</definedName>
    <definedName name="LAQB" localSheetId="0">'Lumber Assessments-Latest price'!$E$214</definedName>
    <definedName name="LAQB" localSheetId="1">'Lumber assessments-SpecificDate'!$E$214</definedName>
    <definedName name="LAQC" localSheetId="0">'Lumber Assessments-Latest price'!$E$215</definedName>
    <definedName name="LAQC" localSheetId="1">'Lumber assessments-SpecificDate'!$E$215</definedName>
    <definedName name="LAQF" localSheetId="0">'Lumber Assessments-Latest price'!$E$221</definedName>
    <definedName name="LAQF" localSheetId="1">'Lumber assessments-SpecificDate'!$E$221</definedName>
    <definedName name="LAQG" localSheetId="0">'Lumber Assessments-Latest price'!$E$222</definedName>
    <definedName name="LAQG" localSheetId="1">'Lumber assessments-SpecificDate'!$E$222</definedName>
    <definedName name="LAQH" localSheetId="0">'Lumber Assessments-Latest price'!$E$226</definedName>
    <definedName name="LAQH" localSheetId="1">'Lumber assessments-SpecificDate'!$E$226</definedName>
    <definedName name="LAQI" localSheetId="0">'Lumber Assessments-Latest price'!$E$227</definedName>
    <definedName name="LAQI" localSheetId="1">'Lumber assessments-SpecificDate'!$E$227</definedName>
    <definedName name="LAQJ" localSheetId="0">'Lumber Assessments-Latest price'!$E$228</definedName>
    <definedName name="LAQJ" localSheetId="1">'Lumber assessments-SpecificDate'!$E$228</definedName>
    <definedName name="LAQK" localSheetId="0">'Lumber Assessments-Latest price'!$E$229</definedName>
    <definedName name="LAQK" localSheetId="1">'Lumber assessments-SpecificDate'!$E$229</definedName>
    <definedName name="LAQL" localSheetId="0">'Lumber Assessments-Latest price'!$E$230</definedName>
    <definedName name="LAQL" localSheetId="1">'Lumber assessments-SpecificDate'!$E$230</definedName>
    <definedName name="LAQM" localSheetId="0">'Lumber Assessments-Latest price'!$E$235</definedName>
    <definedName name="LAQM" localSheetId="1">'Lumber assessments-SpecificDate'!$E$235</definedName>
    <definedName name="LAQN" localSheetId="0">'Lumber Assessments-Latest price'!$E$236</definedName>
    <definedName name="LAQN" localSheetId="1">'Lumber assessments-SpecificDate'!$E$236</definedName>
    <definedName name="LAQO" localSheetId="0">'Lumber Assessments-Latest price'!$E$238</definedName>
    <definedName name="LAQO" localSheetId="1">'Lumber assessments-SpecificDate'!$E$238</definedName>
    <definedName name="LAQP" localSheetId="0">'Lumber Assessments-Latest price'!$E$239</definedName>
    <definedName name="LAQP" localSheetId="1">'Lumber assessments-SpecificDate'!$E$239</definedName>
    <definedName name="LAQQ" localSheetId="0">'Lumber Assessments-Latest price'!$N$239</definedName>
    <definedName name="LAQQ" localSheetId="1">'Lumber assessments-SpecificDate'!$N$239</definedName>
    <definedName name="LAQR" localSheetId="0">'Lumber Assessments-Latest price'!$N$240</definedName>
    <definedName name="LAQR" localSheetId="1">'Lumber assessments-SpecificDate'!$N$240</definedName>
    <definedName name="LAQS" localSheetId="0">'Lumber Assessments-Latest price'!$N$241</definedName>
    <definedName name="LAQS" localSheetId="1">'Lumber assessments-SpecificDate'!$N$241</definedName>
    <definedName name="LAQT" localSheetId="0">'Lumber Assessments-Latest price'!$N$242</definedName>
    <definedName name="LAQT" localSheetId="1">'Lumber assessments-SpecificDate'!$N$242</definedName>
    <definedName name="LAQU" localSheetId="0">'Lumber Assessments-Latest price'!$N$243</definedName>
    <definedName name="LAQU" localSheetId="1">'Lumber assessments-SpecificDate'!$N$243</definedName>
    <definedName name="LAQV" localSheetId="0">'Lumber Assessments-Latest price'!$F$206</definedName>
    <definedName name="LAQV" localSheetId="1">'Lumber assessments-SpecificDate'!$F$206</definedName>
    <definedName name="LAQW" localSheetId="0">'Lumber Assessments-Latest price'!$F$207</definedName>
    <definedName name="LAQW" localSheetId="1">'Lumber assessments-SpecificDate'!$F$207</definedName>
    <definedName name="LAQX" localSheetId="0">'Lumber Assessments-Latest price'!$F$208</definedName>
    <definedName name="LAQX" localSheetId="1">'Lumber assessments-SpecificDate'!$F$208</definedName>
    <definedName name="LAQY" localSheetId="0">'Lumber Assessments-Latest price'!$F$209</definedName>
    <definedName name="LAQY" localSheetId="1">'Lumber assessments-SpecificDate'!$F$209</definedName>
    <definedName name="LAQZ" localSheetId="0">'Lumber Assessments-Latest price'!$F$210</definedName>
    <definedName name="LAQZ" localSheetId="1">'Lumber assessments-SpecificDate'!$F$210</definedName>
    <definedName name="LARA" localSheetId="0">'Lumber Assessments-Latest price'!$F$211</definedName>
    <definedName name="LARA" localSheetId="1">'Lumber assessments-SpecificDate'!$F$211</definedName>
    <definedName name="LARB" localSheetId="0">'Lumber Assessments-Latest price'!$F$212</definedName>
    <definedName name="LARB" localSheetId="1">'Lumber assessments-SpecificDate'!$F$212</definedName>
    <definedName name="LARC" localSheetId="0">'Lumber Assessments-Latest price'!$F$213</definedName>
    <definedName name="LARC" localSheetId="1">'Lumber assessments-SpecificDate'!$F$213</definedName>
    <definedName name="LARD" localSheetId="0">'Lumber Assessments-Latest price'!$F$214</definedName>
    <definedName name="LARD" localSheetId="1">'Lumber assessments-SpecificDate'!$F$214</definedName>
    <definedName name="LARE" localSheetId="0">'Lumber Assessments-Latest price'!$F$215</definedName>
    <definedName name="LARE" localSheetId="1">'Lumber assessments-SpecificDate'!$F$215</definedName>
    <definedName name="LARH" localSheetId="0">'Lumber Assessments-Latest price'!$F$221</definedName>
    <definedName name="LARH" localSheetId="1">'Lumber assessments-SpecificDate'!$F$221</definedName>
    <definedName name="LARI" localSheetId="0">'Lumber Assessments-Latest price'!$F$222</definedName>
    <definedName name="LARI" localSheetId="1">'Lumber assessments-SpecificDate'!$F$222</definedName>
    <definedName name="LARJ" localSheetId="0">'Lumber Assessments-Latest price'!$F$226</definedName>
    <definedName name="LARJ" localSheetId="1">'Lumber assessments-SpecificDate'!$F$226</definedName>
    <definedName name="LARK" localSheetId="0">'Lumber Assessments-Latest price'!$F$227</definedName>
    <definedName name="LARK" localSheetId="1">'Lumber assessments-SpecificDate'!$F$227</definedName>
    <definedName name="LARL" localSheetId="0">'Lumber Assessments-Latest price'!$F$228</definedName>
    <definedName name="LARL" localSheetId="1">'Lumber assessments-SpecificDate'!$F$228</definedName>
    <definedName name="LARM" localSheetId="0">'Lumber Assessments-Latest price'!$F$229</definedName>
    <definedName name="LARM" localSheetId="1">'Lumber assessments-SpecificDate'!$F$229</definedName>
    <definedName name="LARN" localSheetId="0">'Lumber Assessments-Latest price'!$F$230</definedName>
    <definedName name="LARN" localSheetId="1">'Lumber assessments-SpecificDate'!$F$230</definedName>
    <definedName name="LARO" localSheetId="0">'Lumber Assessments-Latest price'!$F$235</definedName>
    <definedName name="LARO" localSheetId="1">'Lumber assessments-SpecificDate'!$F$235</definedName>
    <definedName name="LARP" localSheetId="0">'Lumber Assessments-Latest price'!$F$236</definedName>
    <definedName name="LARP" localSheetId="1">'Lumber assessments-SpecificDate'!$F$236</definedName>
    <definedName name="LARQ" localSheetId="0">'Lumber Assessments-Latest price'!$F$238</definedName>
    <definedName name="LARQ" localSheetId="1">'Lumber assessments-SpecificDate'!$F$238</definedName>
    <definedName name="LARR" localSheetId="0">'Lumber Assessments-Latest price'!$F$239</definedName>
    <definedName name="LARR" localSheetId="1">'Lumber assessments-SpecificDate'!$F$239</definedName>
    <definedName name="LARS" localSheetId="0">'Lumber Assessments-Latest price'!$O$239</definedName>
    <definedName name="LARS" localSheetId="1">'Lumber assessments-SpecificDate'!$O$239</definedName>
    <definedName name="LART" localSheetId="0">'Lumber Assessments-Latest price'!$O$240</definedName>
    <definedName name="LART" localSheetId="1">'Lumber assessments-SpecificDate'!$O$240</definedName>
    <definedName name="LARU" localSheetId="0">'Lumber Assessments-Latest price'!$O$241</definedName>
    <definedName name="LARU" localSheetId="1">'Lumber assessments-SpecificDate'!$O$241</definedName>
    <definedName name="LARV" localSheetId="0">'Lumber Assessments-Latest price'!$O$242</definedName>
    <definedName name="LARV" localSheetId="1">'Lumber assessments-SpecificDate'!$O$242</definedName>
    <definedName name="LARW" localSheetId="0">'Lumber Assessments-Latest price'!$O$243</definedName>
    <definedName name="LARW" localSheetId="1">'Lumber assessments-SpecificDate'!$O$243</definedName>
    <definedName name="LASA" localSheetId="0">'Lumber Assessments-Latest price'!$G$206</definedName>
    <definedName name="LASA" localSheetId="1">'Lumber assessments-SpecificDate'!$G$206</definedName>
    <definedName name="LASB" localSheetId="0">'Lumber Assessments-Latest price'!$G$207</definedName>
    <definedName name="LASB" localSheetId="1">'Lumber assessments-SpecificDate'!$G$207</definedName>
    <definedName name="LASC" localSheetId="0">'Lumber Assessments-Latest price'!$G$208</definedName>
    <definedName name="LASC" localSheetId="1">'Lumber assessments-SpecificDate'!$G$208</definedName>
    <definedName name="LASD" localSheetId="0">'Lumber Assessments-Latest price'!$G$209</definedName>
    <definedName name="LASD" localSheetId="1">'Lumber assessments-SpecificDate'!$G$209</definedName>
    <definedName name="LASE" localSheetId="0">'Lumber Assessments-Latest price'!$G$210</definedName>
    <definedName name="LASE" localSheetId="1">'Lumber assessments-SpecificDate'!$G$210</definedName>
    <definedName name="LASF" localSheetId="0">'Lumber Assessments-Latest price'!$G$211</definedName>
    <definedName name="LASF" localSheetId="1">'Lumber assessments-SpecificDate'!$G$211</definedName>
    <definedName name="LASG" localSheetId="0">'Lumber Assessments-Latest price'!$G$212</definedName>
    <definedName name="LASG" localSheetId="1">'Lumber assessments-SpecificDate'!$G$212</definedName>
    <definedName name="LASH" localSheetId="0">'Lumber Assessments-Latest price'!$G$213</definedName>
    <definedName name="LASH" localSheetId="1">'Lumber assessments-SpecificDate'!$G$213</definedName>
    <definedName name="LASI" localSheetId="0">'Lumber Assessments-Latest price'!$G$214</definedName>
    <definedName name="LASI" localSheetId="1">'Lumber assessments-SpecificDate'!$G$214</definedName>
    <definedName name="LASJ" localSheetId="0">'Lumber Assessments-Latest price'!$G$215</definedName>
    <definedName name="LASJ" localSheetId="1">'Lumber assessments-SpecificDate'!$G$215</definedName>
    <definedName name="LASK" localSheetId="0">'Lumber Assessments-Latest price'!$G$216</definedName>
    <definedName name="LASK" localSheetId="1">'Lumber assessments-SpecificDate'!$G$216</definedName>
    <definedName name="LASL" localSheetId="0">'Lumber Assessments-Latest price'!$G$217</definedName>
    <definedName name="LASL" localSheetId="1">'Lumber assessments-SpecificDate'!$G$217</definedName>
    <definedName name="LASO" localSheetId="0">'Lumber Assessments-Latest price'!$G$221</definedName>
    <definedName name="LASO" localSheetId="1">'Lumber assessments-SpecificDate'!$G$221</definedName>
    <definedName name="LASP" localSheetId="0">'Lumber Assessments-Latest price'!$G$222</definedName>
    <definedName name="LASP" localSheetId="1">'Lumber assessments-SpecificDate'!$G$222</definedName>
    <definedName name="LASQ" localSheetId="0">'Lumber Assessments-Latest price'!$G$226</definedName>
    <definedName name="LASQ" localSheetId="1">'Lumber assessments-SpecificDate'!$G$226</definedName>
    <definedName name="LASR" localSheetId="0">'Lumber Assessments-Latest price'!$G$227</definedName>
    <definedName name="LASR" localSheetId="1">'Lumber assessments-SpecificDate'!$G$227</definedName>
    <definedName name="LASS" localSheetId="0">'Lumber Assessments-Latest price'!$G$228</definedName>
    <definedName name="LASS" localSheetId="1">'Lumber assessments-SpecificDate'!$G$228</definedName>
    <definedName name="LAST" localSheetId="0">'Lumber Assessments-Latest price'!$G$229</definedName>
    <definedName name="LAST" localSheetId="1">'Lumber assessments-SpecificDate'!$G$229</definedName>
    <definedName name="LASU" localSheetId="0">'Lumber Assessments-Latest price'!$G$230</definedName>
    <definedName name="LASU" localSheetId="1">'Lumber assessments-SpecificDate'!$G$230</definedName>
    <definedName name="LASV" localSheetId="0">'Lumber Assessments-Latest price'!$P$239</definedName>
    <definedName name="LASV" localSheetId="1">'Lumber assessments-SpecificDate'!$P$239</definedName>
    <definedName name="LASW" localSheetId="0">'Lumber Assessments-Latest price'!$P$240</definedName>
    <definedName name="LASW" localSheetId="1">'Lumber assessments-SpecificDate'!$P$240</definedName>
    <definedName name="LASX" localSheetId="0">'Lumber Assessments-Latest price'!$P$241</definedName>
    <definedName name="LASX" localSheetId="1">'Lumber assessments-SpecificDate'!$P$241</definedName>
    <definedName name="LASY" localSheetId="0">'Lumber Assessments-Latest price'!$P$242</definedName>
    <definedName name="LASY" localSheetId="1">'Lumber assessments-SpecificDate'!$P$242</definedName>
    <definedName name="LASZ" localSheetId="0">'Lumber Assessments-Latest price'!$P$243</definedName>
    <definedName name="LASZ" localSheetId="1">'Lumber assessments-SpecificDate'!$P$243</definedName>
    <definedName name="LATD" localSheetId="0">'Lumber Assessments-Latest price'!$H$206</definedName>
    <definedName name="LATD" localSheetId="1">'Lumber assessments-SpecificDate'!$H$206</definedName>
    <definedName name="LATE" localSheetId="0">'Lumber Assessments-Latest price'!$H$207</definedName>
    <definedName name="LATE" localSheetId="1">'Lumber assessments-SpecificDate'!$H$207</definedName>
    <definedName name="LATF" localSheetId="0">'Lumber Assessments-Latest price'!$H$208</definedName>
    <definedName name="LATF" localSheetId="1">'Lumber assessments-SpecificDate'!$H$208</definedName>
    <definedName name="LATG" localSheetId="0">'Lumber Assessments-Latest price'!$H$209</definedName>
    <definedName name="LATG" localSheetId="1">'Lumber assessments-SpecificDate'!$H$209</definedName>
    <definedName name="LATH" localSheetId="0">'Lumber Assessments-Latest price'!$H$210</definedName>
    <definedName name="LATH" localSheetId="1">'Lumber assessments-SpecificDate'!$H$210</definedName>
    <definedName name="LATI" localSheetId="0">'Lumber Assessments-Latest price'!$H$211</definedName>
    <definedName name="LATI" localSheetId="1">'Lumber assessments-SpecificDate'!$H$211</definedName>
    <definedName name="LATJ" localSheetId="0">'Lumber Assessments-Latest price'!$H$212</definedName>
    <definedName name="LATJ" localSheetId="1">'Lumber assessments-SpecificDate'!$H$212</definedName>
    <definedName name="LATK" localSheetId="0">'Lumber Assessments-Latest price'!$H$213</definedName>
    <definedName name="LATK" localSheetId="1">'Lumber assessments-SpecificDate'!$H$213</definedName>
    <definedName name="LATL" localSheetId="0">'Lumber Assessments-Latest price'!$H$214</definedName>
    <definedName name="LATL" localSheetId="1">'Lumber assessments-SpecificDate'!$H$214</definedName>
    <definedName name="LATM" localSheetId="0">'Lumber Assessments-Latest price'!$H$215</definedName>
    <definedName name="LATM" localSheetId="1">'Lumber assessments-SpecificDate'!$H$215</definedName>
    <definedName name="LATN" localSheetId="0">'Lumber Assessments-Latest price'!$H$216</definedName>
    <definedName name="LATN" localSheetId="1">'Lumber assessments-SpecificDate'!$H$216</definedName>
    <definedName name="LATO" localSheetId="0">'Lumber Assessments-Latest price'!$H$217</definedName>
    <definedName name="LATO" localSheetId="1">'Lumber assessments-SpecificDate'!$H$217</definedName>
    <definedName name="LATR" localSheetId="0">'Lumber Assessments-Latest price'!$H$221</definedName>
    <definedName name="LATR" localSheetId="1">'Lumber assessments-SpecificDate'!$H$221</definedName>
    <definedName name="LATS" localSheetId="0">'Lumber Assessments-Latest price'!$H$222</definedName>
    <definedName name="LATS" localSheetId="1">'Lumber assessments-SpecificDate'!$H$222</definedName>
    <definedName name="LATT" localSheetId="0">'Lumber Assessments-Latest price'!$H$226</definedName>
    <definedName name="LATT" localSheetId="1">'Lumber assessments-SpecificDate'!$H$226</definedName>
    <definedName name="LATU" localSheetId="0">'Lumber Assessments-Latest price'!$H$227</definedName>
    <definedName name="LATU" localSheetId="1">'Lumber assessments-SpecificDate'!$H$227</definedName>
    <definedName name="LATV" localSheetId="0">'Lumber Assessments-Latest price'!$H$228</definedName>
    <definedName name="LATV" localSheetId="1">'Lumber assessments-SpecificDate'!$H$228</definedName>
    <definedName name="LATW" localSheetId="0">'Lumber Assessments-Latest price'!$H$229</definedName>
    <definedName name="LATW" localSheetId="1">'Lumber assessments-SpecificDate'!$H$229</definedName>
    <definedName name="LATX" localSheetId="0">'Lumber Assessments-Latest price'!$H$230</definedName>
    <definedName name="LATX" localSheetId="1">'Lumber assessments-SpecificDate'!$H$230</definedName>
    <definedName name="LATY" localSheetId="0">'Lumber Assessments-Latest price'!$Q$239</definedName>
    <definedName name="LATY" localSheetId="1">'Lumber assessments-SpecificDate'!$Q$239</definedName>
    <definedName name="LATZ" localSheetId="0">'Lumber Assessments-Latest price'!$Q$240</definedName>
    <definedName name="LATZ" localSheetId="1">'Lumber assessments-SpecificDate'!$Q$240</definedName>
    <definedName name="LAUA" localSheetId="0">'Lumber Assessments-Latest price'!$Q$241</definedName>
    <definedName name="LAUA" localSheetId="1">'Lumber assessments-SpecificDate'!$Q$241</definedName>
    <definedName name="LAUB" localSheetId="0">'Lumber Assessments-Latest price'!$Q$242</definedName>
    <definedName name="LAUB" localSheetId="1">'Lumber assessments-SpecificDate'!$Q$242</definedName>
    <definedName name="LAUC" localSheetId="0">'Lumber Assessments-Latest price'!$Q$243</definedName>
    <definedName name="LAUC" localSheetId="1">'Lumber assessments-SpecificDate'!$Q$243</definedName>
    <definedName name="LAUI" localSheetId="0">'Lumber Assessments-Latest price'!$R$240</definedName>
    <definedName name="LAUI" localSheetId="1">'Lumber assessments-SpecificDate'!$R$240</definedName>
    <definedName name="LAUJ" localSheetId="0">'Lumber Assessments-Latest price'!$R$241</definedName>
    <definedName name="LAUJ" localSheetId="1">'Lumber assessments-SpecificDate'!$R$241</definedName>
    <definedName name="LAUK" localSheetId="0">'Lumber Assessments-Latest price'!$R$242</definedName>
    <definedName name="LAUK" localSheetId="1">'Lumber assessments-SpecificDate'!$R$242</definedName>
    <definedName name="LAUL" localSheetId="0">'Lumber Assessments-Latest price'!$R$243</definedName>
    <definedName name="LAUL" localSheetId="1">'Lumber assessments-SpecificDate'!$R$243</definedName>
    <definedName name="LAUP" localSheetId="0">'Lumber Assessments-Latest price'!$D$121</definedName>
    <definedName name="LAUP" localSheetId="1">'Lumber assessments-SpecificDate'!$D$121</definedName>
    <definedName name="LAUQ" localSheetId="0">'Lumber Assessments-Latest price'!$I$266</definedName>
    <definedName name="LAUQ" localSheetId="1">'Lumber assessments-SpecificDate'!$I$266</definedName>
    <definedName name="LAUR" localSheetId="0">'Lumber Assessments-Latest price'!$I$265</definedName>
    <definedName name="LAUR" localSheetId="1">'Lumber assessments-SpecificDate'!$I$265</definedName>
    <definedName name="LAUS" localSheetId="0">'Lumber Assessments-Latest price'!$S$240</definedName>
    <definedName name="LAUS" localSheetId="1">'Lumber assessments-SpecificDate'!$S$240</definedName>
    <definedName name="LAUT" localSheetId="0">'Lumber Assessments-Latest price'!$S$241</definedName>
    <definedName name="LAUT" localSheetId="1">'Lumber assessments-SpecificDate'!$S$241</definedName>
    <definedName name="LAUU" localSheetId="0">'Lumber Assessments-Latest price'!$S$242</definedName>
    <definedName name="LAUU" localSheetId="1">'Lumber assessments-SpecificDate'!$S$242</definedName>
    <definedName name="LAUV" localSheetId="0">'Lumber Assessments-Latest price'!$S$243</definedName>
    <definedName name="LAUV" localSheetId="1">'Lumber assessments-SpecificDate'!$S$243</definedName>
    <definedName name="LAUZ" localSheetId="0">'Lumber Assessments-Latest price'!$M$266</definedName>
    <definedName name="LAUZ" localSheetId="1">'Lumber assessments-SpecificDate'!$M$266</definedName>
    <definedName name="LAVA" localSheetId="0">'Lumber Assessments-Latest price'!$M$265</definedName>
    <definedName name="LAVA" localSheetId="1">'Lumber assessments-SpecificDate'!$M$265</definedName>
    <definedName name="LAVB" localSheetId="0">'Lumber Assessments-Latest price'!$K$206</definedName>
    <definedName name="LAVB" localSheetId="1">'Lumber assessments-SpecificDate'!$K$206</definedName>
    <definedName name="LAVC" localSheetId="0">'Lumber Assessments-Latest price'!$K$207</definedName>
    <definedName name="LAVC" localSheetId="1">'Lumber assessments-SpecificDate'!$K$207</definedName>
    <definedName name="LAVD" localSheetId="0">'Lumber Assessments-Latest price'!$K$208</definedName>
    <definedName name="LAVD" localSheetId="1">'Lumber assessments-SpecificDate'!$K$208</definedName>
    <definedName name="LAVE" localSheetId="0">'Lumber Assessments-Latest price'!$K$209</definedName>
    <definedName name="LAVE" localSheetId="1">'Lumber assessments-SpecificDate'!$K$209</definedName>
    <definedName name="LAVF" localSheetId="0">'Lumber Assessments-Latest price'!$K$210</definedName>
    <definedName name="LAVF" localSheetId="1">'Lumber assessments-SpecificDate'!$K$210</definedName>
    <definedName name="LAVG" localSheetId="0">'Lumber Assessments-Latest price'!$K$211</definedName>
    <definedName name="LAVG" localSheetId="1">'Lumber assessments-SpecificDate'!$K$211</definedName>
    <definedName name="LAVH" localSheetId="0">'Lumber Assessments-Latest price'!$K$212</definedName>
    <definedName name="LAVH" localSheetId="1">'Lumber assessments-SpecificDate'!$K$212</definedName>
    <definedName name="LAVI" localSheetId="0">'Lumber Assessments-Latest price'!$K$213</definedName>
    <definedName name="LAVI" localSheetId="1">'Lumber assessments-SpecificDate'!$K$213</definedName>
    <definedName name="LAVJ" localSheetId="0">'Lumber Assessments-Latest price'!$K$214</definedName>
    <definedName name="LAVJ" localSheetId="1">'Lumber assessments-SpecificDate'!$K$214</definedName>
    <definedName name="LAVK" localSheetId="0">'Lumber Assessments-Latest price'!$K$215</definedName>
    <definedName name="LAVK" localSheetId="1">'Lumber assessments-SpecificDate'!$K$215</definedName>
    <definedName name="LAVM" localSheetId="0">'Lumber Assessments-Latest price'!$K$220</definedName>
    <definedName name="LAVM" localSheetId="1">'Lumber assessments-SpecificDate'!$K$220</definedName>
    <definedName name="LAVN" localSheetId="0">'Lumber Assessments-Latest price'!$K$221</definedName>
    <definedName name="LAVN" localSheetId="1">'Lumber assessments-SpecificDate'!$K$221</definedName>
    <definedName name="LAVO" localSheetId="0">'Lumber Assessments-Latest price'!$K$222</definedName>
    <definedName name="LAVO" localSheetId="1">'Lumber assessments-SpecificDate'!$K$222</definedName>
    <definedName name="LAVP" localSheetId="0">'Lumber Assessments-Latest price'!$K$223</definedName>
    <definedName name="LAVP" localSheetId="1">'Lumber assessments-SpecificDate'!$K$223</definedName>
    <definedName name="LAVV" localSheetId="0">'Lumber Assessments-Latest price'!$T$240</definedName>
    <definedName name="LAVV" localSheetId="1">'Lumber assessments-SpecificDate'!$T$240</definedName>
    <definedName name="LAVW" localSheetId="0">'Lumber Assessments-Latest price'!$T$241</definedName>
    <definedName name="LAVW" localSheetId="1">'Lumber assessments-SpecificDate'!$T$241</definedName>
    <definedName name="LAVX" localSheetId="0">'Lumber Assessments-Latest price'!$T$242</definedName>
    <definedName name="LAVX" localSheetId="1">'Lumber assessments-SpecificDate'!$T$242</definedName>
    <definedName name="LAVY" localSheetId="0">'Lumber Assessments-Latest price'!$T$243</definedName>
    <definedName name="LAVY" localSheetId="1">'Lumber assessments-SpecificDate'!$T$243</definedName>
    <definedName name="LAVZ" localSheetId="0">'Lumber Assessments-Latest price'!$L$206</definedName>
    <definedName name="LAVZ" localSheetId="1">'Lumber assessments-SpecificDate'!$L$206</definedName>
    <definedName name="LAWA" localSheetId="0">'Lumber Assessments-Latest price'!$L$207</definedName>
    <definedName name="LAWA" localSheetId="1">'Lumber assessments-SpecificDate'!$L$207</definedName>
    <definedName name="LAWB" localSheetId="0">'Lumber Assessments-Latest price'!$L$208</definedName>
    <definedName name="LAWB" localSheetId="1">'Lumber assessments-SpecificDate'!$L$208</definedName>
    <definedName name="LAWC" localSheetId="0">'Lumber Assessments-Latest price'!$L$209</definedName>
    <definedName name="LAWC" localSheetId="1">'Lumber assessments-SpecificDate'!$L$209</definedName>
    <definedName name="LAWD" localSheetId="0">'Lumber Assessments-Latest price'!$L$210</definedName>
    <definedName name="LAWD" localSheetId="1">'Lumber assessments-SpecificDate'!$L$210</definedName>
    <definedName name="LAWE" localSheetId="0">'Lumber Assessments-Latest price'!$L$211</definedName>
    <definedName name="LAWE" localSheetId="1">'Lumber assessments-SpecificDate'!$L$211</definedName>
    <definedName name="LAWF" localSheetId="0">'Lumber Assessments-Latest price'!$L$212</definedName>
    <definedName name="LAWF" localSheetId="1">'Lumber assessments-SpecificDate'!$L$212</definedName>
    <definedName name="LAWG" localSheetId="0">'Lumber Assessments-Latest price'!$L$213</definedName>
    <definedName name="LAWG" localSheetId="1">'Lumber assessments-SpecificDate'!$L$213</definedName>
    <definedName name="LAWH" localSheetId="0">'Lumber Assessments-Latest price'!$L$214</definedName>
    <definedName name="LAWH" localSheetId="1">'Lumber assessments-SpecificDate'!$L$214</definedName>
    <definedName name="LAWI" localSheetId="0">'Lumber Assessments-Latest price'!$L$215</definedName>
    <definedName name="LAWI" localSheetId="1">'Lumber assessments-SpecificDate'!$L$215</definedName>
    <definedName name="LAWK" localSheetId="0">'Lumber Assessments-Latest price'!$L$220</definedName>
    <definedName name="LAWK" localSheetId="1">'Lumber assessments-SpecificDate'!$L$220</definedName>
    <definedName name="LAWL" localSheetId="0">'Lumber Assessments-Latest price'!$L$221</definedName>
    <definedName name="LAWL" localSheetId="1">'Lumber assessments-SpecificDate'!$L$221</definedName>
    <definedName name="LAWM" localSheetId="0">'Lumber Assessments-Latest price'!$L$222</definedName>
    <definedName name="LAWM" localSheetId="1">'Lumber assessments-SpecificDate'!$L$222</definedName>
    <definedName name="LAWN" localSheetId="0">'Lumber Assessments-Latest price'!$L$223</definedName>
    <definedName name="LAWN" localSheetId="1">'Lumber assessments-SpecificDate'!$L$223</definedName>
    <definedName name="LAWT" localSheetId="0">'Lumber Assessments-Latest price'!$U$240</definedName>
    <definedName name="LAWT" localSheetId="1">'Lumber assessments-SpecificDate'!$U$240</definedName>
    <definedName name="LAWU" localSheetId="0">'Lumber Assessments-Latest price'!$U$241</definedName>
    <definedName name="LAWU" localSheetId="1">'Lumber assessments-SpecificDate'!$U$241</definedName>
    <definedName name="LAWV" localSheetId="0">'Lumber Assessments-Latest price'!$U$242</definedName>
    <definedName name="LAWV" localSheetId="1">'Lumber assessments-SpecificDate'!$U$242</definedName>
    <definedName name="LAWW" localSheetId="0">'Lumber Assessments-Latest price'!$U$243</definedName>
    <definedName name="LAWW" localSheetId="1">'Lumber assessments-SpecificDate'!$U$243</definedName>
    <definedName name="LAWX" localSheetId="0">'Lumber Assessments-Latest price'!$M$206</definedName>
    <definedName name="LAWX" localSheetId="1">'Lumber assessments-SpecificDate'!$M$206</definedName>
    <definedName name="LAWY" localSheetId="0">'Lumber Assessments-Latest price'!$M$207</definedName>
    <definedName name="LAWY" localSheetId="1">'Lumber assessments-SpecificDate'!$M$207</definedName>
    <definedName name="LAWZ" localSheetId="0">'Lumber Assessments-Latest price'!$M$208</definedName>
    <definedName name="LAWZ" localSheetId="1">'Lumber assessments-SpecificDate'!$M$208</definedName>
    <definedName name="LAXA" localSheetId="0">'Lumber Assessments-Latest price'!$M$209</definedName>
    <definedName name="LAXA" localSheetId="1">'Lumber assessments-SpecificDate'!$M$209</definedName>
    <definedName name="LAXB" localSheetId="0">'Lumber Assessments-Latest price'!$M$210</definedName>
    <definedName name="LAXB" localSheetId="1">'Lumber assessments-SpecificDate'!$M$210</definedName>
    <definedName name="LAXC" localSheetId="0">'Lumber Assessments-Latest price'!$M$211</definedName>
    <definedName name="LAXC" localSheetId="1">'Lumber assessments-SpecificDate'!$M$211</definedName>
    <definedName name="LAXD" localSheetId="0">'Lumber Assessments-Latest price'!$M$212</definedName>
    <definedName name="LAXD" localSheetId="1">'Lumber assessments-SpecificDate'!$M$212</definedName>
    <definedName name="LAXE" localSheetId="0">'Lumber Assessments-Latest price'!$M$213</definedName>
    <definedName name="LAXE" localSheetId="1">'Lumber assessments-SpecificDate'!$M$213</definedName>
    <definedName name="LAXF" localSheetId="0">'Lumber Assessments-Latest price'!$M$214</definedName>
    <definedName name="LAXF" localSheetId="1">'Lumber assessments-SpecificDate'!$M$214</definedName>
    <definedName name="LAXG" localSheetId="0">'Lumber Assessments-Latest price'!$M$215</definedName>
    <definedName name="LAXG" localSheetId="1">'Lumber assessments-SpecificDate'!$M$215</definedName>
    <definedName name="LAXI" localSheetId="0">'Lumber Assessments-Latest price'!$M$220</definedName>
    <definedName name="LAXI" localSheetId="1">'Lumber assessments-SpecificDate'!$M$220</definedName>
    <definedName name="LAXJ" localSheetId="0">'Lumber Assessments-Latest price'!$M$221</definedName>
    <definedName name="LAXJ" localSheetId="1">'Lumber assessments-SpecificDate'!$M$221</definedName>
    <definedName name="LAXK" localSheetId="0">'Lumber Assessments-Latest price'!$M$222</definedName>
    <definedName name="LAXK" localSheetId="1">'Lumber assessments-SpecificDate'!$M$222</definedName>
    <definedName name="LAXL" localSheetId="0">'Lumber Assessments-Latest price'!$M$223</definedName>
    <definedName name="LAXL" localSheetId="1">'Lumber assessments-SpecificDate'!$M$223</definedName>
    <definedName name="LAXR" localSheetId="0">'Lumber Assessments-Latest price'!$L$244</definedName>
    <definedName name="LAXR" localSheetId="1">'Lumber assessments-SpecificDate'!$L$244</definedName>
    <definedName name="LAXS" localSheetId="0">'Lumber Assessments-Latest price'!$N$244</definedName>
    <definedName name="LAXS" localSheetId="1">'Lumber assessments-SpecificDate'!$N$244</definedName>
    <definedName name="LAXT" localSheetId="0">'Lumber Assessments-Latest price'!$P$244</definedName>
    <definedName name="LAXT" localSheetId="1">'Lumber assessments-SpecificDate'!$P$244</definedName>
    <definedName name="LAXU" localSheetId="0">'Lumber Assessments-Latest price'!$R$244</definedName>
    <definedName name="LAXU" localSheetId="1">'Lumber assessments-SpecificDate'!$R$244</definedName>
    <definedName name="LAXV" localSheetId="0">'Lumber Assessments-Latest price'!$B$262</definedName>
    <definedName name="LAXV" localSheetId="1">'Lumber assessments-SpecificDate'!$B$262</definedName>
    <definedName name="LAXW" localSheetId="0">'Lumber Assessments-Latest price'!$B$258</definedName>
    <definedName name="LAXW" localSheetId="1">'Lumber assessments-SpecificDate'!$B$258</definedName>
    <definedName name="LAXX" localSheetId="0">'Lumber Assessments-Latest price'!$B$257</definedName>
    <definedName name="LAXX" localSheetId="1">'Lumber assessments-SpecificDate'!$B$257</definedName>
    <definedName name="LAXY" localSheetId="0">'Lumber Assessments-Latest price'!$N$206</definedName>
    <definedName name="LAXY" localSheetId="1">'Lumber assessments-SpecificDate'!$N$206</definedName>
    <definedName name="LAXZ" localSheetId="0">'Lumber Assessments-Latest price'!$N$207</definedName>
    <definedName name="LAXZ" localSheetId="1">'Lumber assessments-SpecificDate'!$N$207</definedName>
    <definedName name="LAYA" localSheetId="0">'Lumber Assessments-Latest price'!$N$208</definedName>
    <definedName name="LAYA" localSheetId="1">'Lumber assessments-SpecificDate'!$N$208</definedName>
    <definedName name="LAYB" localSheetId="0">'Lumber Assessments-Latest price'!$N$209</definedName>
    <definedName name="LAYB" localSheetId="1">'Lumber assessments-SpecificDate'!$N$209</definedName>
    <definedName name="LAYC" localSheetId="0">'Lumber Assessments-Latest price'!$N$210</definedName>
    <definedName name="LAYC" localSheetId="1">'Lumber assessments-SpecificDate'!$N$210</definedName>
    <definedName name="LAYD" localSheetId="0">'Lumber Assessments-Latest price'!$N$211</definedName>
    <definedName name="LAYD" localSheetId="1">'Lumber assessments-SpecificDate'!$N$211</definedName>
    <definedName name="LAYE" localSheetId="0">'Lumber Assessments-Latest price'!$N$212</definedName>
    <definedName name="LAYE" localSheetId="1">'Lumber assessments-SpecificDate'!$N$212</definedName>
    <definedName name="LAYF" localSheetId="0">'Lumber Assessments-Latest price'!$N$213</definedName>
    <definedName name="LAYF" localSheetId="1">'Lumber assessments-SpecificDate'!$N$213</definedName>
    <definedName name="LAYG" localSheetId="0">'Lumber Assessments-Latest price'!$N$214</definedName>
    <definedName name="LAYG" localSheetId="1">'Lumber assessments-SpecificDate'!$N$214</definedName>
    <definedName name="LAYH" localSheetId="0">'Lumber Assessments-Latest price'!$N$215</definedName>
    <definedName name="LAYH" localSheetId="1">'Lumber assessments-SpecificDate'!$N$215</definedName>
    <definedName name="LAYJ" localSheetId="0">'Lumber Assessments-Latest price'!$N$220</definedName>
    <definedName name="LAYJ" localSheetId="1">'Lumber assessments-SpecificDate'!$N$220</definedName>
    <definedName name="LAYK" localSheetId="0">'Lumber Assessments-Latest price'!$N$221</definedName>
    <definedName name="LAYK" localSheetId="1">'Lumber assessments-SpecificDate'!$N$221</definedName>
    <definedName name="LAYL" localSheetId="0">'Lumber Assessments-Latest price'!$N$222</definedName>
    <definedName name="LAYL" localSheetId="1">'Lumber assessments-SpecificDate'!$N$222</definedName>
    <definedName name="LAYM" localSheetId="0">'Lumber Assessments-Latest price'!$N$223</definedName>
    <definedName name="LAYM" localSheetId="1">'Lumber assessments-SpecificDate'!$N$223</definedName>
    <definedName name="LAYS" localSheetId="0">'Lumber Assessments-Latest price'!$F$270</definedName>
    <definedName name="LAYS" localSheetId="1">'Lumber assessments-SpecificDate'!$F$270</definedName>
    <definedName name="LAYT" localSheetId="0">'Lumber Assessments-Latest price'!$G$262</definedName>
    <definedName name="LAYT" localSheetId="1">'Lumber assessments-SpecificDate'!$G$262</definedName>
    <definedName name="LAYU" localSheetId="0">'Lumber Assessments-Latest price'!$G$258</definedName>
    <definedName name="LAYU" localSheetId="1">'Lumber assessments-SpecificDate'!$G$258</definedName>
    <definedName name="LAYV" localSheetId="0">'Lumber Assessments-Latest price'!$G$257</definedName>
    <definedName name="LAYV" localSheetId="1">'Lumber assessments-SpecificDate'!$G$257</definedName>
    <definedName name="LAYW" localSheetId="0">'Lumber Assessments-Latest price'!$O$206</definedName>
    <definedName name="LAYW" localSheetId="1">'Lumber assessments-SpecificDate'!$O$206</definedName>
    <definedName name="LAYX" localSheetId="0">'Lumber Assessments-Latest price'!$O$207</definedName>
    <definedName name="LAYX" localSheetId="1">'Lumber assessments-SpecificDate'!$O$207</definedName>
    <definedName name="LAYY" localSheetId="0">'Lumber Assessments-Latest price'!$O$208</definedName>
    <definedName name="LAYY" localSheetId="1">'Lumber assessments-SpecificDate'!$O$208</definedName>
    <definedName name="LAYZ" localSheetId="0">'Lumber Assessments-Latest price'!$O$209</definedName>
    <definedName name="LAYZ" localSheetId="1">'Lumber assessments-SpecificDate'!$O$209</definedName>
    <definedName name="LAZA" localSheetId="0">'Lumber Assessments-Latest price'!$O$210</definedName>
    <definedName name="LAZA" localSheetId="1">'Lumber assessments-SpecificDate'!$O$210</definedName>
    <definedName name="LAZB" localSheetId="0">'Lumber Assessments-Latest price'!$O$211</definedName>
    <definedName name="LAZB" localSheetId="1">'Lumber assessments-SpecificDate'!$O$211</definedName>
    <definedName name="LAZC" localSheetId="0">'Lumber Assessments-Latest price'!$O$212</definedName>
    <definedName name="LAZC" localSheetId="1">'Lumber assessments-SpecificDate'!$O$212</definedName>
    <definedName name="LAZD" localSheetId="0">'Lumber Assessments-Latest price'!$O$213</definedName>
    <definedName name="LAZD" localSheetId="1">'Lumber assessments-SpecificDate'!$O$213</definedName>
    <definedName name="LAZE" localSheetId="0">'Lumber Assessments-Latest price'!$O$214</definedName>
    <definedName name="LAZE" localSheetId="1">'Lumber assessments-SpecificDate'!$O$214</definedName>
    <definedName name="LAZF" localSheetId="0">'Lumber Assessments-Latest price'!$O$215</definedName>
    <definedName name="LAZF" localSheetId="1">'Lumber assessments-SpecificDate'!$O$215</definedName>
    <definedName name="LAZH" localSheetId="0">'Lumber Assessments-Latest price'!$O$220</definedName>
    <definedName name="LAZH" localSheetId="1">'Lumber assessments-SpecificDate'!$O$220</definedName>
    <definedName name="LAZI" localSheetId="0">'Lumber Assessments-Latest price'!$O$221</definedName>
    <definedName name="LAZI" localSheetId="1">'Lumber assessments-SpecificDate'!$O$221</definedName>
    <definedName name="LAZJ" localSheetId="0">'Lumber Assessments-Latest price'!$O$222</definedName>
    <definedName name="LAZJ" localSheetId="1">'Lumber assessments-SpecificDate'!$O$222</definedName>
    <definedName name="LAZK" localSheetId="0">'Lumber Assessments-Latest price'!$O$223</definedName>
    <definedName name="LAZK" localSheetId="1">'Lumber assessments-SpecificDate'!$O$223</definedName>
    <definedName name="LAZQ" localSheetId="0">'Lumber Assessments-Latest price'!$P$206</definedName>
    <definedName name="LAZQ" localSheetId="1">'Lumber assessments-SpecificDate'!$P$206</definedName>
    <definedName name="LAZR" localSheetId="0">'Lumber Assessments-Latest price'!$P$207</definedName>
    <definedName name="LAZR" localSheetId="1">'Lumber assessments-SpecificDate'!$P$207</definedName>
    <definedName name="LAZS" localSheetId="0">'Lumber Assessments-Latest price'!$P$208</definedName>
    <definedName name="LAZS" localSheetId="1">'Lumber assessments-SpecificDate'!$P$208</definedName>
    <definedName name="LAZT" localSheetId="0">'Lumber Assessments-Latest price'!$P$209</definedName>
    <definedName name="LAZT" localSheetId="1">'Lumber assessments-SpecificDate'!$P$209</definedName>
    <definedName name="LAZU" localSheetId="0">'Lumber Assessments-Latest price'!$P$210</definedName>
    <definedName name="LAZU" localSheetId="1">'Lumber assessments-SpecificDate'!$P$210</definedName>
    <definedName name="LAZV" localSheetId="0">'Lumber Assessments-Latest price'!$P$211</definedName>
    <definedName name="LAZV" localSheetId="1">'Lumber assessments-SpecificDate'!$P$211</definedName>
    <definedName name="LAZW" localSheetId="0">'Lumber Assessments-Latest price'!$P$212</definedName>
    <definedName name="LAZW" localSheetId="1">'Lumber assessments-SpecificDate'!$P$212</definedName>
    <definedName name="LAZX" localSheetId="0">'Lumber Assessments-Latest price'!$P$213</definedName>
    <definedName name="LAZX" localSheetId="1">'Lumber assessments-SpecificDate'!$P$213</definedName>
    <definedName name="LAZY" localSheetId="0">'Lumber Assessments-Latest price'!$P$214</definedName>
    <definedName name="LAZY" localSheetId="1">'Lumber assessments-SpecificDate'!$P$214</definedName>
    <definedName name="LAZZ" localSheetId="0">'Lumber Assessments-Latest price'!$P$215</definedName>
    <definedName name="LAZZ" localSheetId="1">'Lumber assessments-SpecificDate'!$P$215</definedName>
    <definedName name="LBAB" localSheetId="0">'Lumber Assessments-Latest price'!$P$220</definedName>
    <definedName name="LBAB" localSheetId="1">'Lumber assessments-SpecificDate'!$P$220</definedName>
    <definedName name="LBAC" localSheetId="0">'Lumber Assessments-Latest price'!$P$221</definedName>
    <definedName name="LBAC" localSheetId="1">'Lumber assessments-SpecificDate'!$P$221</definedName>
    <definedName name="LBAD" localSheetId="0">'Lumber Assessments-Latest price'!$P$222</definedName>
    <definedName name="LBAD" localSheetId="1">'Lumber assessments-SpecificDate'!$P$222</definedName>
    <definedName name="LBAE" localSheetId="0">'Lumber Assessments-Latest price'!$P$223</definedName>
    <definedName name="LBAE" localSheetId="1">'Lumber assessments-SpecificDate'!$P$223</definedName>
    <definedName name="LBAK" localSheetId="0">'Lumber Assessments-Latest price'!$Q$206</definedName>
    <definedName name="LBAK" localSheetId="1">'Lumber assessments-SpecificDate'!$Q$206</definedName>
    <definedName name="LBAL" localSheetId="0">'Lumber Assessments-Latest price'!$Q$207</definedName>
    <definedName name="LBAL" localSheetId="1">'Lumber assessments-SpecificDate'!$Q$207</definedName>
    <definedName name="LBAM" localSheetId="0">'Lumber Assessments-Latest price'!$Q$208</definedName>
    <definedName name="LBAM" localSheetId="1">'Lumber assessments-SpecificDate'!$Q$208</definedName>
    <definedName name="LBAN" localSheetId="0">'Lumber Assessments-Latest price'!$Q$209</definedName>
    <definedName name="LBAN" localSheetId="1">'Lumber assessments-SpecificDate'!$Q$209</definedName>
    <definedName name="LBAO" localSheetId="0">'Lumber Assessments-Latest price'!$Q$210</definedName>
    <definedName name="LBAO" localSheetId="1">'Lumber assessments-SpecificDate'!$Q$210</definedName>
    <definedName name="LBAP" localSheetId="0">'Lumber Assessments-Latest price'!$Q$211</definedName>
    <definedName name="LBAP" localSheetId="1">'Lumber assessments-SpecificDate'!$Q$211</definedName>
    <definedName name="LBAQ" localSheetId="0">'Lumber Assessments-Latest price'!$Q$212</definedName>
    <definedName name="LBAQ" localSheetId="1">'Lumber assessments-SpecificDate'!$Q$212</definedName>
    <definedName name="LBAR" localSheetId="0">'Lumber Assessments-Latest price'!$Q$213</definedName>
    <definedName name="LBAR" localSheetId="1">'Lumber assessments-SpecificDate'!$Q$213</definedName>
    <definedName name="LBAS" localSheetId="0">'Lumber Assessments-Latest price'!$Q$214</definedName>
    <definedName name="LBAS" localSheetId="1">'Lumber assessments-SpecificDate'!$Q$214</definedName>
    <definedName name="LBAT" localSheetId="0">'Lumber Assessments-Latest price'!$Q$215</definedName>
    <definedName name="LBAT" localSheetId="1">'Lumber assessments-SpecificDate'!$Q$215</definedName>
    <definedName name="LBAV" localSheetId="0">'Lumber Assessments-Latest price'!$Q$220</definedName>
    <definedName name="LBAV" localSheetId="1">'Lumber assessments-SpecificDate'!$Q$220</definedName>
    <definedName name="LBAW" localSheetId="0">'Lumber Assessments-Latest price'!$Q$221</definedName>
    <definedName name="LBAW" localSheetId="1">'Lumber assessments-SpecificDate'!$Q$221</definedName>
    <definedName name="LBAX" localSheetId="0">'Lumber Assessments-Latest price'!$Q$222</definedName>
    <definedName name="LBAX" localSheetId="1">'Lumber assessments-SpecificDate'!$Q$222</definedName>
    <definedName name="LBAY" localSheetId="0">'Lumber Assessments-Latest price'!$Q$223</definedName>
    <definedName name="LBAY" localSheetId="1">'Lumber assessments-SpecificDate'!$Q$223</definedName>
    <definedName name="LBBE" localSheetId="0">'Lumber Assessments-Latest price'!$F$267</definedName>
    <definedName name="LBBE" localSheetId="1">'Lumber assessments-SpecificDate'!$F$267</definedName>
    <definedName name="LBBF" localSheetId="0">'Lumber Assessments-Latest price'!$F$268</definedName>
    <definedName name="LBBF" localSheetId="1">'Lumber assessments-SpecificDate'!$F$268</definedName>
    <definedName name="LBBG" localSheetId="0">'Lumber Assessments-Latest price'!$F$269</definedName>
    <definedName name="LBBG" localSheetId="1">'Lumber assessments-SpecificDate'!$F$269</definedName>
    <definedName name="LBBJ" localSheetId="0">'Lumber Assessments-Latest price'!$R$212</definedName>
    <definedName name="LBBJ" localSheetId="1">'Lumber assessments-SpecificDate'!$R$212</definedName>
    <definedName name="LBBK" localSheetId="0">'Lumber Assessments-Latest price'!$R$213</definedName>
    <definedName name="LBBK" localSheetId="1">'Lumber assessments-SpecificDate'!$R$213</definedName>
    <definedName name="LBBL" localSheetId="0">'Lumber Assessments-Latest price'!$R$214</definedName>
    <definedName name="LBBL" localSheetId="1">'Lumber assessments-SpecificDate'!$R$214</definedName>
    <definedName name="LBBM" localSheetId="0">'Lumber Assessments-Latest price'!$R$215</definedName>
    <definedName name="LBBM" localSheetId="1">'Lumber assessments-SpecificDate'!$R$215</definedName>
    <definedName name="LBBN" localSheetId="0">'Lumber Assessments-Latest price'!$R$220</definedName>
    <definedName name="LBBN" localSheetId="1">'Lumber assessments-SpecificDate'!$R$220</definedName>
    <definedName name="LBBO" localSheetId="0">'Lumber Assessments-Latest price'!$R$221</definedName>
    <definedName name="LBBO" localSheetId="1">'Lumber assessments-SpecificDate'!$R$221</definedName>
    <definedName name="LBBP" localSheetId="0">'Lumber Assessments-Latest price'!$R$222</definedName>
    <definedName name="LBBP" localSheetId="1">'Lumber assessments-SpecificDate'!$R$222</definedName>
    <definedName name="LBBQ" localSheetId="0">'Lumber Assessments-Latest price'!$R$223</definedName>
    <definedName name="LBBQ" localSheetId="1">'Lumber assessments-SpecificDate'!$R$223</definedName>
    <definedName name="LBBV" localSheetId="0">'Lumber Assessments-Latest price'!$J$267</definedName>
    <definedName name="LBBV" localSheetId="1">'Lumber assessments-SpecificDate'!$J$267</definedName>
    <definedName name="LBBW" localSheetId="0">'Lumber Assessments-Latest price'!$J$268</definedName>
    <definedName name="LBBW" localSheetId="1">'Lumber assessments-SpecificDate'!$J$268</definedName>
    <definedName name="LBBX" localSheetId="0">'Lumber Assessments-Latest price'!$J$269</definedName>
    <definedName name="LBBX" localSheetId="1">'Lumber assessments-SpecificDate'!$J$269</definedName>
    <definedName name="LBCA" localSheetId="0">'Lumber Assessments-Latest price'!$S$212</definedName>
    <definedName name="LBCA" localSheetId="1">'Lumber assessments-SpecificDate'!$S$212</definedName>
    <definedName name="LBCB" localSheetId="0">'Lumber Assessments-Latest price'!$S$213</definedName>
    <definedName name="LBCB" localSheetId="1">'Lumber assessments-SpecificDate'!$S$213</definedName>
    <definedName name="LBCC" localSheetId="0">'Lumber Assessments-Latest price'!$S$214</definedName>
    <definedName name="LBCC" localSheetId="1">'Lumber assessments-SpecificDate'!$S$214</definedName>
    <definedName name="LBCD" localSheetId="0">'Lumber Assessments-Latest price'!$S$215</definedName>
    <definedName name="LBCD" localSheetId="1">'Lumber assessments-SpecificDate'!$S$215</definedName>
    <definedName name="LBCE" localSheetId="0">'Lumber Assessments-Latest price'!$S$220</definedName>
    <definedName name="LBCE" localSheetId="1">'Lumber assessments-SpecificDate'!$S$220</definedName>
    <definedName name="LBCF" localSheetId="0">'Lumber Assessments-Latest price'!$S$221</definedName>
    <definedName name="LBCF" localSheetId="1">'Lumber assessments-SpecificDate'!$S$221</definedName>
    <definedName name="LBCG" localSheetId="0">'Lumber Assessments-Latest price'!$S$222</definedName>
    <definedName name="LBCG" localSheetId="1">'Lumber assessments-SpecificDate'!$S$222</definedName>
    <definedName name="LBCH" localSheetId="0">'Lumber Assessments-Latest price'!$S$223</definedName>
    <definedName name="LBCH" localSheetId="1">'Lumber assessments-SpecificDate'!$S$223</definedName>
    <definedName name="LBCM" localSheetId="0">'Lumber Assessments-Latest price'!$O$267</definedName>
    <definedName name="LBCM" localSheetId="1">'Lumber assessments-SpecificDate'!$O$267</definedName>
    <definedName name="LBCN" localSheetId="0">'Lumber Assessments-Latest price'!$O$268</definedName>
    <definedName name="LBCN" localSheetId="1">'Lumber assessments-SpecificDate'!$O$268</definedName>
    <definedName name="LBCP" localSheetId="0">'Lumber Assessments-Latest price'!$B$307</definedName>
    <definedName name="LBCP" localSheetId="1">'Lumber assessments-SpecificDate'!$B$307</definedName>
    <definedName name="LBCQ" localSheetId="0">'Lumber Assessments-Latest price'!$B$308</definedName>
    <definedName name="LBCQ" localSheetId="1">'Lumber assessments-SpecificDate'!$B$308</definedName>
    <definedName name="LBCR" localSheetId="0">'Lumber Assessments-Latest price'!$B$309</definedName>
    <definedName name="LBCR" localSheetId="1">'Lumber assessments-SpecificDate'!$B$309</definedName>
    <definedName name="LBCS" localSheetId="0">'Lumber Assessments-Latest price'!$B$310</definedName>
    <definedName name="LBCS" localSheetId="1">'Lumber assessments-SpecificDate'!$B$310</definedName>
    <definedName name="LBCT" localSheetId="0">'Lumber Assessments-Latest price'!$B$311</definedName>
    <definedName name="LBCT" localSheetId="1">'Lumber assessments-SpecificDate'!$B$311</definedName>
    <definedName name="LBCU" localSheetId="0">'Lumber Assessments-Latest price'!$B$323</definedName>
    <definedName name="LBCU" localSheetId="1">'Lumber assessments-SpecificDate'!$B$323</definedName>
    <definedName name="LBCV" localSheetId="0">'Lumber Assessments-Latest price'!$B$324</definedName>
    <definedName name="LBCV" localSheetId="1">'Lumber assessments-SpecificDate'!$B$324</definedName>
    <definedName name="LBCW" localSheetId="0">'Lumber Assessments-Latest price'!$B$325</definedName>
    <definedName name="LBCW" localSheetId="1">'Lumber assessments-SpecificDate'!$B$325</definedName>
    <definedName name="LBCX" localSheetId="0">'Lumber Assessments-Latest price'!$B$326</definedName>
    <definedName name="LBCX" localSheetId="1">'Lumber assessments-SpecificDate'!$B$326</definedName>
    <definedName name="LBCY" localSheetId="0">'Lumber Assessments-Latest price'!$B$327</definedName>
    <definedName name="LBCY" localSheetId="1">'Lumber assessments-SpecificDate'!$B$327</definedName>
    <definedName name="LBDE" localSheetId="0">'Lumber Assessments-Latest price'!$B$332</definedName>
    <definedName name="LBDE" localSheetId="1">'Lumber assessments-SpecificDate'!$B$332</definedName>
    <definedName name="LBDF" localSheetId="0">'Lumber Assessments-Latest price'!$B$333</definedName>
    <definedName name="LBDF" localSheetId="1">'Lumber assessments-SpecificDate'!$B$333</definedName>
    <definedName name="LBDG" localSheetId="0">'Lumber Assessments-Latest price'!$B$334</definedName>
    <definedName name="LBDG" localSheetId="1">'Lumber assessments-SpecificDate'!$B$334</definedName>
    <definedName name="LBDH" localSheetId="0">'Lumber Assessments-Latest price'!$B$335</definedName>
    <definedName name="LBDH" localSheetId="1">'Lumber assessments-SpecificDate'!$B$335</definedName>
    <definedName name="LBDI" localSheetId="0">'Lumber Assessments-Latest price'!$B$336</definedName>
    <definedName name="LBDI" localSheetId="1">'Lumber assessments-SpecificDate'!$B$336</definedName>
    <definedName name="LBDJ" localSheetId="0">'Lumber Assessments-Latest price'!$B$358</definedName>
    <definedName name="LBDJ" localSheetId="1">'Lumber assessments-SpecificDate'!$B$358</definedName>
    <definedName name="LBDK" localSheetId="0">'Lumber Assessments-Latest price'!$B$359</definedName>
    <definedName name="LBDK" localSheetId="1">'Lumber assessments-SpecificDate'!$B$359</definedName>
    <definedName name="LBDL" localSheetId="0">'Lumber Assessments-Latest price'!$B$360</definedName>
    <definedName name="LBDL" localSheetId="1">'Lumber assessments-SpecificDate'!$B$360</definedName>
    <definedName name="LBDM" localSheetId="0">'Lumber Assessments-Latest price'!$B$361</definedName>
    <definedName name="LBDM" localSheetId="1">'Lumber assessments-SpecificDate'!$B$361</definedName>
    <definedName name="LBDN" localSheetId="0">'Lumber Assessments-Latest price'!$B$362</definedName>
    <definedName name="LBDN" localSheetId="1">'Lumber assessments-SpecificDate'!$B$362</definedName>
    <definedName name="LBDO" localSheetId="0">'Lumber Assessments-Latest price'!$C$307</definedName>
    <definedName name="LBDO" localSheetId="1">'Lumber assessments-SpecificDate'!$C$307</definedName>
    <definedName name="LBDP" localSheetId="0">'Lumber Assessments-Latest price'!$C$308</definedName>
    <definedName name="LBDP" localSheetId="1">'Lumber assessments-SpecificDate'!$C$308</definedName>
    <definedName name="LBDQ" localSheetId="0">'Lumber Assessments-Latest price'!$C$309</definedName>
    <definedName name="LBDQ" localSheetId="1">'Lumber assessments-SpecificDate'!$C$309</definedName>
    <definedName name="LBDR" localSheetId="0">'Lumber Assessments-Latest price'!$C$310</definedName>
    <definedName name="LBDR" localSheetId="1">'Lumber assessments-SpecificDate'!$C$310</definedName>
    <definedName name="LBDS" localSheetId="0">'Lumber Assessments-Latest price'!$C$311</definedName>
    <definedName name="LBDS" localSheetId="1">'Lumber assessments-SpecificDate'!$C$311</definedName>
    <definedName name="LBDT" localSheetId="0">'Lumber Assessments-Latest price'!$C$323</definedName>
    <definedName name="LBDT" localSheetId="1">'Lumber assessments-SpecificDate'!$C$323</definedName>
    <definedName name="LBDU" localSheetId="0">'Lumber Assessments-Latest price'!$C$324</definedName>
    <definedName name="LBDU" localSheetId="1">'Lumber assessments-SpecificDate'!$C$324</definedName>
    <definedName name="LBDV" localSheetId="0">'Lumber Assessments-Latest price'!$C$325</definedName>
    <definedName name="LBDV" localSheetId="1">'Lumber assessments-SpecificDate'!$C$325</definedName>
    <definedName name="LBDW" localSheetId="0">'Lumber Assessments-Latest price'!$C$326</definedName>
    <definedName name="LBDW" localSheetId="1">'Lumber assessments-SpecificDate'!$C$326</definedName>
    <definedName name="LBDX" localSheetId="0">'Lumber Assessments-Latest price'!$C$327</definedName>
    <definedName name="LBDX" localSheetId="1">'Lumber assessments-SpecificDate'!$C$327</definedName>
    <definedName name="LBED" localSheetId="0">'Lumber Assessments-Latest price'!$C$332</definedName>
    <definedName name="LBED" localSheetId="1">'Lumber assessments-SpecificDate'!$C$332</definedName>
    <definedName name="LBEE" localSheetId="0">'Lumber Assessments-Latest price'!$C$333</definedName>
    <definedName name="LBEE" localSheetId="1">'Lumber assessments-SpecificDate'!$C$333</definedName>
    <definedName name="LBEF" localSheetId="0">'Lumber Assessments-Latest price'!$C$334</definedName>
    <definedName name="LBEF" localSheetId="1">'Lumber assessments-SpecificDate'!$C$334</definedName>
    <definedName name="LBEG" localSheetId="0">'Lumber Assessments-Latest price'!$C$335</definedName>
    <definedName name="LBEG" localSheetId="1">'Lumber assessments-SpecificDate'!$C$335</definedName>
    <definedName name="LBEH" localSheetId="0">'Lumber Assessments-Latest price'!$C$336</definedName>
    <definedName name="LBEH" localSheetId="1">'Lumber assessments-SpecificDate'!$C$336</definedName>
    <definedName name="LBEO" localSheetId="0">'Lumber Assessments-Latest price'!$L$449</definedName>
    <definedName name="LBEO" localSheetId="1">'Lumber assessments-SpecificDate'!$L$449</definedName>
    <definedName name="LBEP" localSheetId="0">'Lumber Assessments-Latest price'!$F$360</definedName>
    <definedName name="LBEP" localSheetId="1">'Lumber assessments-SpecificDate'!$F$360</definedName>
    <definedName name="LBER" localSheetId="0">'Lumber Assessments-Latest price'!$C$351</definedName>
    <definedName name="LBER" localSheetId="1">'Lumber assessments-SpecificDate'!$C$351</definedName>
    <definedName name="LBES" localSheetId="0">'Lumber Assessments-Latest price'!$C$352</definedName>
    <definedName name="LBES" localSheetId="1">'Lumber assessments-SpecificDate'!$C$352</definedName>
    <definedName name="LBET" localSheetId="0">'Lumber Assessments-Latest price'!$D$307</definedName>
    <definedName name="LBET" localSheetId="1">'Lumber assessments-SpecificDate'!$D$307</definedName>
    <definedName name="LBEU" localSheetId="0">'Lumber Assessments-Latest price'!$D$308</definedName>
    <definedName name="LBEU" localSheetId="1">'Lumber assessments-SpecificDate'!$D$308</definedName>
    <definedName name="LBEV" localSheetId="0">'Lumber Assessments-Latest price'!$D$309</definedName>
    <definedName name="LBEV" localSheetId="1">'Lumber assessments-SpecificDate'!$D$309</definedName>
    <definedName name="LBEW" localSheetId="0">'Lumber Assessments-Latest price'!$D$310</definedName>
    <definedName name="LBEW" localSheetId="1">'Lumber assessments-SpecificDate'!$D$310</definedName>
    <definedName name="LBEX" localSheetId="0">'Lumber Assessments-Latest price'!$D$311</definedName>
    <definedName name="LBEX" localSheetId="1">'Lumber assessments-SpecificDate'!$D$311</definedName>
    <definedName name="LBEY" localSheetId="0">'Lumber Assessments-Latest price'!$D$323</definedName>
    <definedName name="LBEY" localSheetId="1">'Lumber assessments-SpecificDate'!$D$323</definedName>
    <definedName name="LBEZ" localSheetId="0">'Lumber Assessments-Latest price'!$D$324</definedName>
    <definedName name="LBEZ" localSheetId="1">'Lumber assessments-SpecificDate'!$D$324</definedName>
    <definedName name="LBFA" localSheetId="0">'Lumber Assessments-Latest price'!$D$325</definedName>
    <definedName name="LBFA" localSheetId="1">'Lumber assessments-SpecificDate'!$D$325</definedName>
    <definedName name="LBFB" localSheetId="0">'Lumber Assessments-Latest price'!$D$326</definedName>
    <definedName name="LBFB" localSheetId="1">'Lumber assessments-SpecificDate'!$D$326</definedName>
    <definedName name="LBFC" localSheetId="0">'Lumber Assessments-Latest price'!$D$327</definedName>
    <definedName name="LBFC" localSheetId="1">'Lumber assessments-SpecificDate'!$D$327</definedName>
    <definedName name="LBFD" localSheetId="0">'Lumber Assessments-Latest price'!$I$307</definedName>
    <definedName name="LBFD" localSheetId="1">'Lumber assessments-SpecificDate'!$I$307</definedName>
    <definedName name="LBFE" localSheetId="0">'Lumber Assessments-Latest price'!$I$308</definedName>
    <definedName name="LBFE" localSheetId="1">'Lumber assessments-SpecificDate'!$I$308</definedName>
    <definedName name="LBFF" localSheetId="0">'Lumber Assessments-Latest price'!$I$309</definedName>
    <definedName name="LBFF" localSheetId="1">'Lumber assessments-SpecificDate'!$I$309</definedName>
    <definedName name="LBFG" localSheetId="0">'Lumber Assessments-Latest price'!$I$310</definedName>
    <definedName name="LBFG" localSheetId="1">'Lumber assessments-SpecificDate'!$I$310</definedName>
    <definedName name="LBFH" localSheetId="0">'Lumber Assessments-Latest price'!$I$311</definedName>
    <definedName name="LBFH" localSheetId="1">'Lumber assessments-SpecificDate'!$I$311</definedName>
    <definedName name="LBFJ" localSheetId="0">'Lumber Assessments-Latest price'!$D$332</definedName>
    <definedName name="LBFJ" localSheetId="1">'Lumber assessments-SpecificDate'!$D$332</definedName>
    <definedName name="LBFK" localSheetId="0">'Lumber Assessments-Latest price'!$D$333</definedName>
    <definedName name="LBFK" localSheetId="1">'Lumber assessments-SpecificDate'!$D$333</definedName>
    <definedName name="LBFL" localSheetId="0">'Lumber Assessments-Latest price'!$D$334</definedName>
    <definedName name="LBFL" localSheetId="1">'Lumber assessments-SpecificDate'!$D$334</definedName>
    <definedName name="LBFM" localSheetId="0">'Lumber Assessments-Latest price'!$D$335</definedName>
    <definedName name="LBFM" localSheetId="1">'Lumber assessments-SpecificDate'!$D$335</definedName>
    <definedName name="LBFN" localSheetId="0">'Lumber Assessments-Latest price'!$D$336</definedName>
    <definedName name="LBFN" localSheetId="1">'Lumber assessments-SpecificDate'!$D$336</definedName>
    <definedName name="LBFO" localSheetId="0">'Lumber Assessments-Latest price'!$D$360</definedName>
    <definedName name="LBFO" localSheetId="1">'Lumber assessments-SpecificDate'!$D$360</definedName>
    <definedName name="LBFR" localSheetId="0">'Lumber Assessments-Latest price'!$D$351</definedName>
    <definedName name="LBFR" localSheetId="1">'Lumber assessments-SpecificDate'!$D$351</definedName>
    <definedName name="LBFS" localSheetId="0">'Lumber Assessments-Latest price'!$D$352</definedName>
    <definedName name="LBFS" localSheetId="1">'Lumber assessments-SpecificDate'!$D$352</definedName>
    <definedName name="LBFT" localSheetId="0">'Lumber Assessments-Latest price'!$E$307</definedName>
    <definedName name="LBFT" localSheetId="1">'Lumber assessments-SpecificDate'!$E$307</definedName>
    <definedName name="LBFU" localSheetId="0">'Lumber Assessments-Latest price'!$E$308</definedName>
    <definedName name="LBFU" localSheetId="1">'Lumber assessments-SpecificDate'!$E$308</definedName>
    <definedName name="LBFV" localSheetId="0">'Lumber Assessments-Latest price'!$E$309</definedName>
    <definedName name="LBFV" localSheetId="1">'Lumber assessments-SpecificDate'!$E$309</definedName>
    <definedName name="LBFW" localSheetId="0">'Lumber Assessments-Latest price'!$E$310</definedName>
    <definedName name="LBFW" localSheetId="1">'Lumber assessments-SpecificDate'!$E$310</definedName>
    <definedName name="LBFX" localSheetId="0">'Lumber Assessments-Latest price'!$E$311</definedName>
    <definedName name="LBFX" localSheetId="1">'Lumber assessments-SpecificDate'!$E$311</definedName>
    <definedName name="LBFY" localSheetId="0">'Lumber Assessments-Latest price'!$E$323</definedName>
    <definedName name="LBFY" localSheetId="1">'Lumber assessments-SpecificDate'!$E$323</definedName>
    <definedName name="LBFZ" localSheetId="0">'Lumber Assessments-Latest price'!$E$324</definedName>
    <definedName name="LBFZ" localSheetId="1">'Lumber assessments-SpecificDate'!$E$324</definedName>
    <definedName name="LBGA" localSheetId="0">'Lumber Assessments-Latest price'!$E$325</definedName>
    <definedName name="LBGA" localSheetId="1">'Lumber assessments-SpecificDate'!$E$325</definedName>
    <definedName name="LBGB" localSheetId="0">'Lumber Assessments-Latest price'!$E$326</definedName>
    <definedName name="LBGB" localSheetId="1">'Lumber assessments-SpecificDate'!$E$326</definedName>
    <definedName name="LBGC" localSheetId="0">'Lumber Assessments-Latest price'!$E$327</definedName>
    <definedName name="LBGC" localSheetId="1">'Lumber assessments-SpecificDate'!$E$327</definedName>
    <definedName name="LBGD" localSheetId="0">'Lumber Assessments-Latest price'!$J$307</definedName>
    <definedName name="LBGD" localSheetId="1">'Lumber assessments-SpecificDate'!$J$307</definedName>
    <definedName name="LBGE" localSheetId="0">'Lumber Assessments-Latest price'!$J$308</definedName>
    <definedName name="LBGE" localSheetId="1">'Lumber assessments-SpecificDate'!$J$308</definedName>
    <definedName name="LBGF" localSheetId="0">'Lumber Assessments-Latest price'!$J$309</definedName>
    <definedName name="LBGF" localSheetId="1">'Lumber assessments-SpecificDate'!$J$309</definedName>
    <definedName name="LBGG" localSheetId="0">'Lumber Assessments-Latest price'!$J$310</definedName>
    <definedName name="LBGG" localSheetId="1">'Lumber assessments-SpecificDate'!$J$310</definedName>
    <definedName name="LBGH" localSheetId="0">'Lumber Assessments-Latest price'!$J$311</definedName>
    <definedName name="LBGH" localSheetId="1">'Lumber assessments-SpecificDate'!$J$311</definedName>
    <definedName name="LBGJ" localSheetId="0">'Lumber Assessments-Latest price'!$E$332</definedName>
    <definedName name="LBGJ" localSheetId="1">'Lumber assessments-SpecificDate'!$E$332</definedName>
    <definedName name="LBGK" localSheetId="0">'Lumber Assessments-Latest price'!$E$333</definedName>
    <definedName name="LBGK" localSheetId="1">'Lumber assessments-SpecificDate'!$E$333</definedName>
    <definedName name="LBGL" localSheetId="0">'Lumber Assessments-Latest price'!$E$334</definedName>
    <definedName name="LBGL" localSheetId="1">'Lumber assessments-SpecificDate'!$E$334</definedName>
    <definedName name="LBGM" localSheetId="0">'Lumber Assessments-Latest price'!$E$335</definedName>
    <definedName name="LBGM" localSheetId="1">'Lumber assessments-SpecificDate'!$E$335</definedName>
    <definedName name="LBGN" localSheetId="0">'Lumber Assessments-Latest price'!$E$336</definedName>
    <definedName name="LBGN" localSheetId="1">'Lumber assessments-SpecificDate'!$E$336</definedName>
    <definedName name="LBGO" localSheetId="0">'Lumber Assessments-Latest price'!$E$360</definedName>
    <definedName name="LBGO" localSheetId="1">'Lumber assessments-SpecificDate'!$E$360</definedName>
    <definedName name="LBGP" localSheetId="0">'Lumber Assessments-Latest price'!$E$361</definedName>
    <definedName name="LBGP" localSheetId="1">'Lumber assessments-SpecificDate'!$E$361</definedName>
    <definedName name="LBGQ" localSheetId="0">'Lumber Assessments-Latest price'!$F$307</definedName>
    <definedName name="LBGQ" localSheetId="1">'Lumber assessments-SpecificDate'!$F$307</definedName>
    <definedName name="LBGR" localSheetId="0">'Lumber Assessments-Latest price'!$F$308</definedName>
    <definedName name="LBGR" localSheetId="1">'Lumber assessments-SpecificDate'!$F$308</definedName>
    <definedName name="LBGS" localSheetId="0">'Lumber Assessments-Latest price'!$F$309</definedName>
    <definedName name="LBGS" localSheetId="1">'Lumber assessments-SpecificDate'!$F$309</definedName>
    <definedName name="LBGT" localSheetId="0">'Lumber Assessments-Latest price'!$F$310</definedName>
    <definedName name="LBGT" localSheetId="1">'Lumber assessments-SpecificDate'!$F$310</definedName>
    <definedName name="LBGU" localSheetId="0">'Lumber Assessments-Latest price'!$F$311</definedName>
    <definedName name="LBGU" localSheetId="1">'Lumber assessments-SpecificDate'!$F$311</definedName>
    <definedName name="LBGV" localSheetId="0">'Lumber Assessments-Latest price'!$F$323</definedName>
    <definedName name="LBGV" localSheetId="1">'Lumber assessments-SpecificDate'!$F$323</definedName>
    <definedName name="LBGW" localSheetId="0">'Lumber Assessments-Latest price'!$F$324</definedName>
    <definedName name="LBGW" localSheetId="1">'Lumber assessments-SpecificDate'!$F$324</definedName>
    <definedName name="LBGX" localSheetId="0">'Lumber Assessments-Latest price'!$F$325</definedName>
    <definedName name="LBGX" localSheetId="1">'Lumber assessments-SpecificDate'!$F$325</definedName>
    <definedName name="LBGY" localSheetId="0">'Lumber Assessments-Latest price'!$F$326</definedName>
    <definedName name="LBGY" localSheetId="1">'Lumber assessments-SpecificDate'!$F$326</definedName>
    <definedName name="LBGZ" localSheetId="0">'Lumber Assessments-Latest price'!$F$327</definedName>
    <definedName name="LBGZ" localSheetId="1">'Lumber assessments-SpecificDate'!$F$327</definedName>
    <definedName name="LBHA" localSheetId="0">'Lumber Assessments-Latest price'!$K$307</definedName>
    <definedName name="LBHA" localSheetId="1">'Lumber assessments-SpecificDate'!$K$307</definedName>
    <definedName name="LBHB" localSheetId="0">'Lumber Assessments-Latest price'!$K$308</definedName>
    <definedName name="LBHB" localSheetId="1">'Lumber assessments-SpecificDate'!$K$308</definedName>
    <definedName name="LBHC" localSheetId="0">'Lumber Assessments-Latest price'!$K$309</definedName>
    <definedName name="LBHC" localSheetId="1">'Lumber assessments-SpecificDate'!$K$309</definedName>
    <definedName name="LBHD" localSheetId="0">'Lumber Assessments-Latest price'!$K$310</definedName>
    <definedName name="LBHD" localSheetId="1">'Lumber assessments-SpecificDate'!$K$310</definedName>
    <definedName name="LBHE" localSheetId="0">'Lumber Assessments-Latest price'!$K$311</definedName>
    <definedName name="LBHE" localSheetId="1">'Lumber assessments-SpecificDate'!$K$311</definedName>
    <definedName name="LBHG" localSheetId="0">'Lumber Assessments-Latest price'!$C$363</definedName>
    <definedName name="LBHG" localSheetId="1">'Lumber assessments-SpecificDate'!$C$363</definedName>
    <definedName name="LBHH" localSheetId="0">'Lumber Assessments-Latest price'!$J$358</definedName>
    <definedName name="LBHH" localSheetId="1">'Lumber assessments-SpecificDate'!$J$358</definedName>
    <definedName name="LBHI" localSheetId="0">'Lumber Assessments-Latest price'!$J$359</definedName>
    <definedName name="LBHI" localSheetId="1">'Lumber assessments-SpecificDate'!$J$359</definedName>
    <definedName name="LBHJ" localSheetId="0">'Lumber Assessments-Latest price'!$J$360</definedName>
    <definedName name="LBHJ" localSheetId="1">'Lumber assessments-SpecificDate'!$J$360</definedName>
    <definedName name="LBHK" localSheetId="0">'Lumber Assessments-Latest price'!$J$361</definedName>
    <definedName name="LBHK" localSheetId="1">'Lumber assessments-SpecificDate'!$J$361</definedName>
    <definedName name="LBHL" localSheetId="0">'Lumber Assessments-Latest price'!$J$362</definedName>
    <definedName name="LBHL" localSheetId="1">'Lumber assessments-SpecificDate'!$J$362</definedName>
    <definedName name="LBHO" localSheetId="0">'Lumber Assessments-Latest price'!$L$358</definedName>
    <definedName name="LBHO" localSheetId="1">'Lumber assessments-SpecificDate'!$L$358</definedName>
    <definedName name="LBHP" localSheetId="0">'Lumber Assessments-Latest price'!$L$359</definedName>
    <definedName name="LBHP" localSheetId="1">'Lumber assessments-SpecificDate'!$L$359</definedName>
    <definedName name="LBHQ" localSheetId="0">'Lumber Assessments-Latest price'!$L$360</definedName>
    <definedName name="LBHQ" localSheetId="1">'Lumber assessments-SpecificDate'!$L$360</definedName>
    <definedName name="LBHR" localSheetId="0">'Lumber Assessments-Latest price'!$L$361</definedName>
    <definedName name="LBHR" localSheetId="1">'Lumber assessments-SpecificDate'!$L$361</definedName>
    <definedName name="LBHS" localSheetId="0">'Lumber Assessments-Latest price'!$L$362</definedName>
    <definedName name="LBHS" localSheetId="1">'Lumber assessments-SpecificDate'!$L$362</definedName>
    <definedName name="LBHW" localSheetId="0">'Lumber Assessments-Latest price'!$M$358</definedName>
    <definedName name="LBHW" localSheetId="1">'Lumber assessments-SpecificDate'!$M$358</definedName>
    <definedName name="LBHX" localSheetId="0">'Lumber Assessments-Latest price'!$M$359</definedName>
    <definedName name="LBHX" localSheetId="1">'Lumber assessments-SpecificDate'!$M$359</definedName>
    <definedName name="LBHY" localSheetId="0">'Lumber Assessments-Latest price'!$M$360</definedName>
    <definedName name="LBHY" localSheetId="1">'Lumber assessments-SpecificDate'!$M$360</definedName>
    <definedName name="LBHZ" localSheetId="0">'Lumber Assessments-Latest price'!$M$361</definedName>
    <definedName name="LBHZ" localSheetId="1">'Lumber assessments-SpecificDate'!$M$361</definedName>
    <definedName name="LBIA" localSheetId="0">'Lumber Assessments-Latest price'!$M$362</definedName>
    <definedName name="LBIA" localSheetId="1">'Lumber assessments-SpecificDate'!$M$362</definedName>
    <definedName name="LBIF" localSheetId="0">'Lumber Assessments-Latest price'!$D$315</definedName>
    <definedName name="LBIF" localSheetId="1">'Lumber assessments-SpecificDate'!$D$315</definedName>
    <definedName name="LBIG" localSheetId="0">'Lumber Assessments-Latest price'!$D$316</definedName>
    <definedName name="LBIG" localSheetId="1">'Lumber assessments-SpecificDate'!$D$316</definedName>
    <definedName name="LBIH" localSheetId="0">'Lumber Assessments-Latest price'!$D$317</definedName>
    <definedName name="LBIH" localSheetId="1">'Lumber assessments-SpecificDate'!$D$317</definedName>
    <definedName name="LBII" localSheetId="0">'Lumber Assessments-Latest price'!$D$318</definedName>
    <definedName name="LBII" localSheetId="1">'Lumber assessments-SpecificDate'!$D$318</definedName>
    <definedName name="LBIJ" localSheetId="0">'Lumber Assessments-Latest price'!$D$319</definedName>
    <definedName name="LBIJ" localSheetId="1">'Lumber assessments-SpecificDate'!$D$319</definedName>
    <definedName name="LBIK" localSheetId="0">'Lumber Assessments-Latest price'!$I$319</definedName>
    <definedName name="LBIK" localSheetId="1">'Lumber assessments-SpecificDate'!$I$319</definedName>
    <definedName name="LBIL" localSheetId="0">'Lumber Assessments-Latest price'!$I$320</definedName>
    <definedName name="LBIL" localSheetId="1">'Lumber assessments-SpecificDate'!$I$320</definedName>
    <definedName name="LBIM" localSheetId="0">'Lumber Assessments-Latest price'!$I$321</definedName>
    <definedName name="LBIM" localSheetId="1">'Lumber assessments-SpecificDate'!$I$321</definedName>
    <definedName name="LBIN" localSheetId="0">'Lumber Assessments-Latest price'!$I$322</definedName>
    <definedName name="LBIN" localSheetId="1">'Lumber assessments-SpecificDate'!$I$322</definedName>
    <definedName name="LBIO" localSheetId="0">'Lumber Assessments-Latest price'!$I$323</definedName>
    <definedName name="LBIO" localSheetId="1">'Lumber assessments-SpecificDate'!$I$323</definedName>
    <definedName name="LBIP" localSheetId="0">'Lumber Assessments-Latest price'!$I$329</definedName>
    <definedName name="LBIP" localSheetId="1">'Lumber assessments-SpecificDate'!$I$329</definedName>
    <definedName name="LBIQ" localSheetId="0">'Lumber Assessments-Latest price'!$I$330</definedName>
    <definedName name="LBIQ" localSheetId="1">'Lumber assessments-SpecificDate'!$I$330</definedName>
    <definedName name="LBIR" localSheetId="0">'Lumber Assessments-Latest price'!$I$331</definedName>
    <definedName name="LBIR" localSheetId="1">'Lumber assessments-SpecificDate'!$I$331</definedName>
    <definedName name="LBIS" localSheetId="0">'Lumber Assessments-Latest price'!$I$332</definedName>
    <definedName name="LBIS" localSheetId="1">'Lumber assessments-SpecificDate'!$I$332</definedName>
    <definedName name="LBIT" localSheetId="0">'Lumber Assessments-Latest price'!$I$333</definedName>
    <definedName name="LBIT" localSheetId="1">'Lumber assessments-SpecificDate'!$I$333</definedName>
    <definedName name="LBJE" localSheetId="0">'Lumber Assessments-Latest price'!$E$315</definedName>
    <definedName name="LBJE" localSheetId="1">'Lumber assessments-SpecificDate'!$E$315</definedName>
    <definedName name="LBJF" localSheetId="0">'Lumber Assessments-Latest price'!$E$316</definedName>
    <definedName name="LBJF" localSheetId="1">'Lumber assessments-SpecificDate'!$E$316</definedName>
    <definedName name="LBJG" localSheetId="0">'Lumber Assessments-Latest price'!$E$317</definedName>
    <definedName name="LBJG" localSheetId="1">'Lumber assessments-SpecificDate'!$E$317</definedName>
    <definedName name="LBJH" localSheetId="0">'Lumber Assessments-Latest price'!$E$318</definedName>
    <definedName name="LBJH" localSheetId="1">'Lumber assessments-SpecificDate'!$E$318</definedName>
    <definedName name="LBJI" localSheetId="0">'Lumber Assessments-Latest price'!$E$319</definedName>
    <definedName name="LBJI" localSheetId="1">'Lumber assessments-SpecificDate'!$E$319</definedName>
    <definedName name="LBJL" localSheetId="0">'Lumber Assessments-Latest price'!$J$319</definedName>
    <definedName name="LBJL" localSheetId="1">'Lumber assessments-SpecificDate'!$J$319</definedName>
    <definedName name="LBJM" localSheetId="0">'Lumber Assessments-Latest price'!$J$320</definedName>
    <definedName name="LBJM" localSheetId="1">'Lumber assessments-SpecificDate'!$J$320</definedName>
    <definedName name="LBJN" localSheetId="0">'Lumber Assessments-Latest price'!$J$321</definedName>
    <definedName name="LBJN" localSheetId="1">'Lumber assessments-SpecificDate'!$J$321</definedName>
    <definedName name="LBJO" localSheetId="0">'Lumber Assessments-Latest price'!$J$322</definedName>
    <definedName name="LBJO" localSheetId="1">'Lumber assessments-SpecificDate'!$J$322</definedName>
    <definedName name="LBJP" localSheetId="0">'Lumber Assessments-Latest price'!$J$323</definedName>
    <definedName name="LBJP" localSheetId="1">'Lumber assessments-SpecificDate'!$J$323</definedName>
    <definedName name="LBJQ" localSheetId="0">'Lumber Assessments-Latest price'!$J$329</definedName>
    <definedName name="LBJQ" localSheetId="1">'Lumber assessments-SpecificDate'!$J$329</definedName>
    <definedName name="LBJR" localSheetId="0">'Lumber Assessments-Latest price'!$J$330</definedName>
    <definedName name="LBJR" localSheetId="1">'Lumber assessments-SpecificDate'!$J$330</definedName>
    <definedName name="LBJS" localSheetId="0">'Lumber Assessments-Latest price'!$J$331</definedName>
    <definedName name="LBJS" localSheetId="1">'Lumber assessments-SpecificDate'!$J$331</definedName>
    <definedName name="LBJT" localSheetId="0">'Lumber Assessments-Latest price'!$J$332</definedName>
    <definedName name="LBJT" localSheetId="1">'Lumber assessments-SpecificDate'!$J$332</definedName>
    <definedName name="LBJU" localSheetId="0">'Lumber Assessments-Latest price'!$J$333</definedName>
    <definedName name="LBJU" localSheetId="1">'Lumber assessments-SpecificDate'!$J$333</definedName>
    <definedName name="LBKE" localSheetId="0">'Lumber Assessments-Latest price'!$K$319</definedName>
    <definedName name="LBKE" localSheetId="1">'Lumber assessments-SpecificDate'!$K$319</definedName>
    <definedName name="LBKF" localSheetId="0">'Lumber Assessments-Latest price'!$K$320</definedName>
    <definedName name="LBKF" localSheetId="1">'Lumber assessments-SpecificDate'!$K$320</definedName>
    <definedName name="LBKG" localSheetId="0">'Lumber Assessments-Latest price'!$K$321</definedName>
    <definedName name="LBKG" localSheetId="1">'Lumber assessments-SpecificDate'!$K$321</definedName>
    <definedName name="LBKH" localSheetId="0">'Lumber Assessments-Latest price'!$K$322</definedName>
    <definedName name="LBKH" localSheetId="1">'Lumber assessments-SpecificDate'!$K$322</definedName>
    <definedName name="LBKI" localSheetId="0">'Lumber Assessments-Latest price'!$K$323</definedName>
    <definedName name="LBKI" localSheetId="1">'Lumber assessments-SpecificDate'!$K$323</definedName>
    <definedName name="LBKJ" localSheetId="0">'Lumber Assessments-Latest price'!$K$329</definedName>
    <definedName name="LBKJ" localSheetId="1">'Lumber assessments-SpecificDate'!$K$329</definedName>
    <definedName name="LBKK" localSheetId="0">'Lumber Assessments-Latest price'!$K$330</definedName>
    <definedName name="LBKK" localSheetId="1">'Lumber assessments-SpecificDate'!$K$330</definedName>
    <definedName name="LBKL" localSheetId="0">'Lumber Assessments-Latest price'!$K$331</definedName>
    <definedName name="LBKL" localSheetId="1">'Lumber assessments-SpecificDate'!$K$331</definedName>
    <definedName name="LBKM" localSheetId="0">'Lumber Assessments-Latest price'!$K$332</definedName>
    <definedName name="LBKM" localSheetId="1">'Lumber assessments-SpecificDate'!$K$332</definedName>
    <definedName name="LBKN" localSheetId="0">'Lumber Assessments-Latest price'!$K$333</definedName>
    <definedName name="LBKN" localSheetId="1">'Lumber assessments-SpecificDate'!$K$333</definedName>
    <definedName name="LBKS" localSheetId="0">'Lumber Assessments-Latest price'!$L$319</definedName>
    <definedName name="LBKS" localSheetId="1">'Lumber assessments-SpecificDate'!$L$319</definedName>
    <definedName name="LBKT" localSheetId="0">'Lumber Assessments-Latest price'!$L$320</definedName>
    <definedName name="LBKT" localSheetId="1">'Lumber assessments-SpecificDate'!$L$320</definedName>
    <definedName name="LBKU" localSheetId="0">'Lumber Assessments-Latest price'!$L$321</definedName>
    <definedName name="LBKU" localSheetId="1">'Lumber assessments-SpecificDate'!$L$321</definedName>
    <definedName name="LBKV" localSheetId="0">'Lumber Assessments-Latest price'!$L$322</definedName>
    <definedName name="LBKV" localSheetId="1">'Lumber assessments-SpecificDate'!$L$322</definedName>
    <definedName name="LBKW" localSheetId="0">'Lumber Assessments-Latest price'!$L$323</definedName>
    <definedName name="LBKW" localSheetId="1">'Lumber assessments-SpecificDate'!$L$323</definedName>
    <definedName name="LBKX" localSheetId="0">'Lumber Assessments-Latest price'!$L$329</definedName>
    <definedName name="LBKX" localSheetId="1">'Lumber assessments-SpecificDate'!$L$329</definedName>
    <definedName name="LBKY" localSheetId="0">'Lumber Assessments-Latest price'!$L$330</definedName>
    <definedName name="LBKY" localSheetId="1">'Lumber assessments-SpecificDate'!$L$330</definedName>
    <definedName name="LBKZ" localSheetId="0">'Lumber Assessments-Latest price'!$L$331</definedName>
    <definedName name="LBKZ" localSheetId="1">'Lumber assessments-SpecificDate'!$L$331</definedName>
    <definedName name="LBLA" localSheetId="0">'Lumber Assessments-Latest price'!$L$332</definedName>
    <definedName name="LBLA" localSheetId="1">'Lumber assessments-SpecificDate'!$L$332</definedName>
    <definedName name="LBLB" localSheetId="0">'Lumber Assessments-Latest price'!$L$333</definedName>
    <definedName name="LBLB" localSheetId="1">'Lumber assessments-SpecificDate'!$L$333</definedName>
    <definedName name="LBLU" localSheetId="0">'Lumber Assessments-Latest price'!$B$409</definedName>
    <definedName name="LBLU" localSheetId="1">'Lumber assessments-SpecificDate'!$B$409</definedName>
    <definedName name="LBLV" localSheetId="0">'Lumber Assessments-Latest price'!$B$410</definedName>
    <definedName name="LBLV" localSheetId="1">'Lumber assessments-SpecificDate'!$B$410</definedName>
    <definedName name="LBME" localSheetId="0">'Lumber Assessments-Latest price'!$H$454</definedName>
    <definedName name="LBME" localSheetId="1">'Lumber assessments-SpecificDate'!$H$454</definedName>
    <definedName name="LBMF" localSheetId="0">'Lumber Assessments-Latest price'!$B$465</definedName>
    <definedName name="LBMF" localSheetId="1">'Lumber assessments-SpecificDate'!$B$465</definedName>
    <definedName name="LBMG" localSheetId="0">'Lumber Assessments-Latest price'!$B$466</definedName>
    <definedName name="LBMG" localSheetId="1">'Lumber assessments-SpecificDate'!$B$466</definedName>
    <definedName name="LBMH" localSheetId="0">'Lumber Assessments-Latest price'!$C$409</definedName>
    <definedName name="LBMH" localSheetId="1">'Lumber assessments-SpecificDate'!$C$409</definedName>
    <definedName name="LBMI" localSheetId="0">'Lumber Assessments-Latest price'!$C$410</definedName>
    <definedName name="LBMI" localSheetId="1">'Lumber assessments-SpecificDate'!$C$410</definedName>
    <definedName name="LBMR" localSheetId="0">'Lumber Assessments-Latest price'!$C$432</definedName>
    <definedName name="LBMR" localSheetId="1">'Lumber assessments-SpecificDate'!$C$432</definedName>
    <definedName name="LBMS" localSheetId="0">'Lumber Assessments-Latest price'!$C$433</definedName>
    <definedName name="LBMS" localSheetId="1">'Lumber assessments-SpecificDate'!$C$433</definedName>
    <definedName name="LBMT" localSheetId="0">'Lumber Assessments-Latest price'!$C$434</definedName>
    <definedName name="LBMT" localSheetId="1">'Lumber assessments-SpecificDate'!$C$434</definedName>
    <definedName name="LBMU" localSheetId="0">'Lumber Assessments-Latest price'!$C$435</definedName>
    <definedName name="LBMU" localSheetId="1">'Lumber assessments-SpecificDate'!$C$435</definedName>
    <definedName name="LBMZ" localSheetId="0">'Lumber Assessments-Latest price'!$B$454</definedName>
    <definedName name="LBMZ" localSheetId="1">'Lumber assessments-SpecificDate'!$B$454</definedName>
    <definedName name="LBNA" localSheetId="0">'Lumber Assessments-Latest price'!$B$455</definedName>
    <definedName name="LBNA" localSheetId="1">'Lumber assessments-SpecificDate'!$B$455</definedName>
    <definedName name="LBNB" localSheetId="0">'Lumber Assessments-Latest price'!$B$456</definedName>
    <definedName name="LBNB" localSheetId="1">'Lumber assessments-SpecificDate'!$B$456</definedName>
    <definedName name="LBND" localSheetId="0">'Lumber Assessments-Latest price'!$B$458</definedName>
    <definedName name="LBND" localSheetId="1">'Lumber assessments-SpecificDate'!$B$458</definedName>
    <definedName name="LBNG" localSheetId="0">'Lumber Assessments-Latest price'!$C$465</definedName>
    <definedName name="LBNG" localSheetId="1">'Lumber assessments-SpecificDate'!$C$465</definedName>
    <definedName name="LBNH" localSheetId="0">'Lumber Assessments-Latest price'!$D$409</definedName>
    <definedName name="LBNH" localSheetId="1">'Lumber assessments-SpecificDate'!$D$409</definedName>
    <definedName name="LBNI" localSheetId="0">'Lumber Assessments-Latest price'!$D$410</definedName>
    <definedName name="LBNI" localSheetId="1">'Lumber assessments-SpecificDate'!$D$410</definedName>
    <definedName name="LBNR" localSheetId="0">'Lumber Assessments-Latest price'!$D$432</definedName>
    <definedName name="LBNR" localSheetId="1">'Lumber assessments-SpecificDate'!$D$432</definedName>
    <definedName name="LBNS" localSheetId="0">'Lumber Assessments-Latest price'!$D$433</definedName>
    <definedName name="LBNS" localSheetId="1">'Lumber assessments-SpecificDate'!$D$433</definedName>
    <definedName name="LBNT" localSheetId="0">'Lumber Assessments-Latest price'!$D$434</definedName>
    <definedName name="LBNT" localSheetId="1">'Lumber assessments-SpecificDate'!$D$434</definedName>
    <definedName name="LBNU" localSheetId="0">'Lumber Assessments-Latest price'!$D$435</definedName>
    <definedName name="LBNU" localSheetId="1">'Lumber assessments-SpecificDate'!$D$435</definedName>
    <definedName name="LBNY" localSheetId="0">'Lumber Assessments-Latest price'!$C$454</definedName>
    <definedName name="LBNY" localSheetId="1">'Lumber assessments-SpecificDate'!$C$454</definedName>
    <definedName name="LBNZ" localSheetId="0">'Lumber Assessments-Latest price'!$C$455</definedName>
    <definedName name="LBNZ" localSheetId="1">'Lumber assessments-SpecificDate'!$C$455</definedName>
    <definedName name="LBOA" localSheetId="0">'Lumber Assessments-Latest price'!$C$456</definedName>
    <definedName name="LBOA" localSheetId="1">'Lumber assessments-SpecificDate'!$C$456</definedName>
    <definedName name="LBOC" localSheetId="0">'Lumber Assessments-Latest price'!$C$458</definedName>
    <definedName name="LBOC" localSheetId="1">'Lumber assessments-SpecificDate'!$C$458</definedName>
    <definedName name="LBOF" localSheetId="0">'Lumber Assessments-Latest price'!$E$409</definedName>
    <definedName name="LBOF" localSheetId="1">'Lumber assessments-SpecificDate'!$E$409</definedName>
    <definedName name="LBOG" localSheetId="0">'Lumber Assessments-Latest price'!$E$410</definedName>
    <definedName name="LBOG" localSheetId="1">'Lumber assessments-SpecificDate'!$E$410</definedName>
    <definedName name="LBOH" localSheetId="0">'Lumber Assessments-Latest price'!$E$411</definedName>
    <definedName name="LBOH" localSheetId="1">'Lumber assessments-SpecificDate'!$E$411</definedName>
    <definedName name="LBOI" localSheetId="0">'Lumber Assessments-Latest price'!$E$412</definedName>
    <definedName name="LBOI" localSheetId="1">'Lumber assessments-SpecificDate'!$E$412</definedName>
    <definedName name="LBOJ" localSheetId="0">'Lumber Assessments-Latest price'!$E$413</definedName>
    <definedName name="LBOJ" localSheetId="1">'Lumber assessments-SpecificDate'!$E$413</definedName>
    <definedName name="LBOS" localSheetId="0">'Lumber Assessments-Latest price'!$D$454</definedName>
    <definedName name="LBOS" localSheetId="1">'Lumber assessments-SpecificDate'!$D$454</definedName>
    <definedName name="LBOT" localSheetId="0">'Lumber Assessments-Latest price'!$D$455</definedName>
    <definedName name="LBOT" localSheetId="1">'Lumber assessments-SpecificDate'!$D$455</definedName>
    <definedName name="LBOU" localSheetId="0">'Lumber Assessments-Latest price'!$D$456</definedName>
    <definedName name="LBOU" localSheetId="1">'Lumber assessments-SpecificDate'!$D$456</definedName>
    <definedName name="LBOW" localSheetId="0">'Lumber Assessments-Latest price'!$D$458</definedName>
    <definedName name="LBOW" localSheetId="1">'Lumber assessments-SpecificDate'!$D$458</definedName>
    <definedName name="LBOX" localSheetId="0">'Lumber Assessments-Latest price'!$F$409</definedName>
    <definedName name="LBOX" localSheetId="1">'Lumber assessments-SpecificDate'!$F$409</definedName>
    <definedName name="LBOY" localSheetId="0">'Lumber Assessments-Latest price'!$F$410</definedName>
    <definedName name="LBOY" localSheetId="1">'Lumber assessments-SpecificDate'!$F$410</definedName>
    <definedName name="LBOZ" localSheetId="0">'Lumber Assessments-Latest price'!$F$411</definedName>
    <definedName name="LBOZ" localSheetId="1">'Lumber assessments-SpecificDate'!$F$411</definedName>
    <definedName name="LBPA" localSheetId="0">'Lumber Assessments-Latest price'!$F$412</definedName>
    <definedName name="LBPA" localSheetId="1">'Lumber assessments-SpecificDate'!$F$412</definedName>
    <definedName name="LBPB" localSheetId="0">'Lumber Assessments-Latest price'!$F$413</definedName>
    <definedName name="LBPB" localSheetId="1">'Lumber assessments-SpecificDate'!$F$413</definedName>
    <definedName name="LBPK" localSheetId="0">'Lumber Assessments-Latest price'!$E$455</definedName>
    <definedName name="LBPK" localSheetId="1">'Lumber assessments-SpecificDate'!$E$455</definedName>
    <definedName name="LBPL" localSheetId="0">'Lumber Assessments-Latest price'!$E$456</definedName>
    <definedName name="LBPL" localSheetId="1">'Lumber assessments-SpecificDate'!$E$456</definedName>
    <definedName name="LBPN" localSheetId="0">'Lumber Assessments-Latest price'!$E$458</definedName>
    <definedName name="LBPN" localSheetId="1">'Lumber assessments-SpecificDate'!$E$458</definedName>
    <definedName name="LBPO" localSheetId="0">'Lumber Assessments-Latest price'!$G$409</definedName>
    <definedName name="LBPO" localSheetId="1">'Lumber assessments-SpecificDate'!$G$409</definedName>
    <definedName name="LBPP" localSheetId="0">'Lumber Assessments-Latest price'!$G$410</definedName>
    <definedName name="LBPP" localSheetId="1">'Lumber assessments-SpecificDate'!$G$410</definedName>
    <definedName name="LBPQ" localSheetId="0">'Lumber Assessments-Latest price'!$G$411</definedName>
    <definedName name="LBPQ" localSheetId="1">'Lumber assessments-SpecificDate'!$G$411</definedName>
    <definedName name="LBPR" localSheetId="0">'Lumber Assessments-Latest price'!$G$412</definedName>
    <definedName name="LBPR" localSheetId="1">'Lumber assessments-SpecificDate'!$G$412</definedName>
    <definedName name="LBPS" localSheetId="0">'Lumber Assessments-Latest price'!$G$413</definedName>
    <definedName name="LBPS" localSheetId="1">'Lumber assessments-SpecificDate'!$G$413</definedName>
    <definedName name="LBPT" localSheetId="0">'Lumber Assessments-Latest price'!$F$455</definedName>
    <definedName name="LBPT" localSheetId="1">'Lumber assessments-SpecificDate'!$F$455</definedName>
    <definedName name="LBPU" localSheetId="0">'Lumber Assessments-Latest price'!$F$456</definedName>
    <definedName name="LBPU" localSheetId="1">'Lumber assessments-SpecificDate'!$F$456</definedName>
    <definedName name="LBQA" localSheetId="0">'Lumber Assessments-Latest price'!$G$431</definedName>
    <definedName name="LBQA" localSheetId="1">'Lumber assessments-SpecificDate'!$G$431</definedName>
    <definedName name="LBQB" localSheetId="0">'Lumber Assessments-Latest price'!$G$432</definedName>
    <definedName name="LBQB" localSheetId="1">'Lumber assessments-SpecificDate'!$G$432</definedName>
    <definedName name="LBQC" localSheetId="0">'Lumber Assessments-Latest price'!$G$433</definedName>
    <definedName name="LBQC" localSheetId="1">'Lumber assessments-SpecificDate'!$G$433</definedName>
    <definedName name="LBQE" localSheetId="0">'Lumber Assessments-Latest price'!$G$437</definedName>
    <definedName name="LBQE" localSheetId="1">'Lumber assessments-SpecificDate'!$G$437</definedName>
    <definedName name="LBQF" localSheetId="0">'Lumber Assessments-Latest price'!$I$409</definedName>
    <definedName name="LBQF" localSheetId="1">'Lumber assessments-SpecificDate'!$I$409</definedName>
    <definedName name="LBQG" localSheetId="0">'Lumber Assessments-Latest price'!$I$410</definedName>
    <definedName name="LBQG" localSheetId="1">'Lumber assessments-SpecificDate'!$I$410</definedName>
    <definedName name="LBQH" localSheetId="0">'Lumber Assessments-Latest price'!$I$414</definedName>
    <definedName name="LBQH" localSheetId="1">'Lumber assessments-SpecificDate'!$I$414</definedName>
    <definedName name="LBQI" localSheetId="0">'Lumber Assessments-Latest price'!$J$409</definedName>
    <definedName name="LBQI" localSheetId="1">'Lumber assessments-SpecificDate'!$J$409</definedName>
    <definedName name="LBQJ" localSheetId="0">'Lumber Assessments-Latest price'!$J$410</definedName>
    <definedName name="LBQJ" localSheetId="1">'Lumber assessments-SpecificDate'!$J$410</definedName>
    <definedName name="LBQK" localSheetId="0">'Lumber Assessments-Latest price'!$J$414</definedName>
    <definedName name="LBQK" localSheetId="1">'Lumber assessments-SpecificDate'!$J$414</definedName>
    <definedName name="LBQV" localSheetId="0">'Lumber Assessments-Latest price'!$L$434</definedName>
    <definedName name="LBQV" localSheetId="1">'Lumber assessments-SpecificDate'!$L$434</definedName>
    <definedName name="LBQW" localSheetId="0">'Lumber Assessments-Latest price'!$L$435</definedName>
    <definedName name="LBQW" localSheetId="1">'Lumber assessments-SpecificDate'!$L$435</definedName>
    <definedName name="LBQX" localSheetId="0">'Lumber Assessments-Latest price'!$L$436</definedName>
    <definedName name="LBQX" localSheetId="1">'Lumber assessments-SpecificDate'!$L$436</definedName>
    <definedName name="LBQY" localSheetId="0">'Lumber Assessments-Latest price'!$L$437</definedName>
    <definedName name="LBQY" localSheetId="1">'Lumber assessments-SpecificDate'!$L$437</definedName>
    <definedName name="LBQZ" localSheetId="0">'Lumber Assessments-Latest price'!$L$438</definedName>
    <definedName name="LBQZ" localSheetId="1">'Lumber assessments-SpecificDate'!$L$438</definedName>
    <definedName name="LBRA" localSheetId="0">'Lumber Assessments-Latest price'!$L$469</definedName>
    <definedName name="LBRA" localSheetId="1">'Lumber assessments-SpecificDate'!$L$469</definedName>
    <definedName name="LBRB" localSheetId="0">'Lumber Assessments-Latest price'!$L$470</definedName>
    <definedName name="LBRB" localSheetId="1">'Lumber assessments-SpecificDate'!$L$470</definedName>
    <definedName name="LBRC" localSheetId="0">'Lumber Assessments-Latest price'!$L$471</definedName>
    <definedName name="LBRC" localSheetId="1">'Lumber assessments-SpecificDate'!$L$471</definedName>
    <definedName name="LBRD" localSheetId="0">'Lumber Assessments-Latest price'!$M$409</definedName>
    <definedName name="LBRD" localSheetId="1">'Lumber assessments-SpecificDate'!$M$409</definedName>
    <definedName name="LBRE" localSheetId="0">'Lumber Assessments-Latest price'!$M$410</definedName>
    <definedName name="LBRE" localSheetId="1">'Lumber assessments-SpecificDate'!$M$410</definedName>
    <definedName name="LBRF" localSheetId="0">'Lumber Assessments-Latest price'!$M$411</definedName>
    <definedName name="LBRF" localSheetId="1">'Lumber assessments-SpecificDate'!$M$411</definedName>
    <definedName name="LBRG" localSheetId="0">'Lumber Assessments-Latest price'!$M$412</definedName>
    <definedName name="LBRG" localSheetId="1">'Lumber assessments-SpecificDate'!$M$412</definedName>
    <definedName name="LBRH" localSheetId="0">'Lumber Assessments-Latest price'!$M$413</definedName>
    <definedName name="LBRH" localSheetId="1">'Lumber assessments-SpecificDate'!$M$413</definedName>
    <definedName name="LBRR" localSheetId="0">'Lumber Assessments-Latest price'!$M$434</definedName>
    <definedName name="LBRR" localSheetId="1">'Lumber assessments-SpecificDate'!$M$434</definedName>
    <definedName name="LBRS" localSheetId="0">'Lumber Assessments-Latest price'!$M$435</definedName>
    <definedName name="LBRS" localSheetId="1">'Lumber assessments-SpecificDate'!$M$435</definedName>
    <definedName name="LBRT" localSheetId="0">'Lumber Assessments-Latest price'!$M$436</definedName>
    <definedName name="LBRT" localSheetId="1">'Lumber assessments-SpecificDate'!$M$436</definedName>
    <definedName name="LBRU" localSheetId="0">'Lumber Assessments-Latest price'!$M$437</definedName>
    <definedName name="LBRU" localSheetId="1">'Lumber assessments-SpecificDate'!$M$437</definedName>
    <definedName name="LBRV" localSheetId="0">'Lumber Assessments-Latest price'!$M$438</definedName>
    <definedName name="LBRV" localSheetId="1">'Lumber assessments-SpecificDate'!$M$438</definedName>
    <definedName name="LBRW" localSheetId="0">'Lumber Assessments-Latest price'!$P$447</definedName>
    <definedName name="LBRW" localSheetId="1">'Lumber assessments-SpecificDate'!$P$447</definedName>
    <definedName name="LBRX" localSheetId="0">'Lumber Assessments-Latest price'!$P$448</definedName>
    <definedName name="LBRX" localSheetId="1">'Lumber assessments-SpecificDate'!$P$448</definedName>
    <definedName name="LBRY" localSheetId="0">'Lumber Assessments-Latest price'!$L$457</definedName>
    <definedName name="LBRY" localSheetId="1">'Lumber assessments-SpecificDate'!$L$457</definedName>
    <definedName name="LBRZ" localSheetId="0">'Lumber Assessments-Latest price'!$L$458</definedName>
    <definedName name="LBRZ" localSheetId="1">'Lumber assessments-SpecificDate'!$L$458</definedName>
    <definedName name="LBSA" localSheetId="0">'Lumber Assessments-Latest price'!$L$459</definedName>
    <definedName name="LBSA" localSheetId="1">'Lumber assessments-SpecificDate'!$L$459</definedName>
    <definedName name="LBSB" localSheetId="0">'Lumber Assessments-Latest price'!$L$460</definedName>
    <definedName name="LBSB" localSheetId="1">'Lumber assessments-SpecificDate'!$L$460</definedName>
    <definedName name="LBSC" localSheetId="0">'Lumber Assessments-Latest price'!$L$461</definedName>
    <definedName name="LBSC" localSheetId="1">'Lumber assessments-SpecificDate'!$L$461</definedName>
    <definedName name="LBSD" localSheetId="0">'Lumber Assessments-Latest price'!$M$469</definedName>
    <definedName name="LBSD" localSheetId="1">'Lumber assessments-SpecificDate'!$M$469</definedName>
    <definedName name="LBSE" localSheetId="0">'Lumber Assessments-Latest price'!$M$470</definedName>
    <definedName name="LBSE" localSheetId="1">'Lumber assessments-SpecificDate'!$M$470</definedName>
    <definedName name="LBSF" localSheetId="0">'Lumber Assessments-Latest price'!$P$472</definedName>
    <definedName name="LBSF" localSheetId="1">'Lumber assessments-SpecificDate'!$P$472</definedName>
    <definedName name="LBSP" localSheetId="0">'Lumber Assessments-Latest price'!$Q$447</definedName>
    <definedName name="LBSP" localSheetId="1">'Lumber assessments-SpecificDate'!$Q$447</definedName>
    <definedName name="LBSQ" localSheetId="0">'Lumber Assessments-Latest price'!$Q$448</definedName>
    <definedName name="LBSQ" localSheetId="1">'Lumber assessments-SpecificDate'!$Q$448</definedName>
    <definedName name="LBSS" localSheetId="0">'Lumber Assessments-Latest price'!$M$458</definedName>
    <definedName name="LBSS" localSheetId="1">'Lumber assessments-SpecificDate'!$M$458</definedName>
    <definedName name="LBSU" localSheetId="0">'Lumber Assessments-Latest price'!$M$460</definedName>
    <definedName name="LBSU" localSheetId="1">'Lumber assessments-SpecificDate'!$M$460</definedName>
    <definedName name="LBSV" localSheetId="0">'Lumber Assessments-Latest price'!$M$461</definedName>
    <definedName name="LBSV" localSheetId="1">'Lumber assessments-SpecificDate'!$M$461</definedName>
    <definedName name="LBTF" localSheetId="0">'Lumber Assessments-Latest price'!$N$457</definedName>
    <definedName name="LBTF" localSheetId="1">'Lumber assessments-SpecificDate'!$N$457</definedName>
    <definedName name="LBTG" localSheetId="0">'Lumber Assessments-Latest price'!$N$458</definedName>
    <definedName name="LBTG" localSheetId="1">'Lumber assessments-SpecificDate'!$N$458</definedName>
    <definedName name="LBTH" localSheetId="0">'Lumber Assessments-Latest price'!$N$459</definedName>
    <definedName name="LBTH" localSheetId="1">'Lumber assessments-SpecificDate'!$N$459</definedName>
    <definedName name="LBTI" localSheetId="0">'Lumber Assessments-Latest price'!$N$460</definedName>
    <definedName name="LBTI" localSheetId="1">'Lumber assessments-SpecificDate'!$N$460</definedName>
    <definedName name="LBTQ" localSheetId="0">'Lumber Assessments-Latest price'!$Q$434</definedName>
    <definedName name="LBTQ" localSheetId="1">'Lumber assessments-SpecificDate'!$Q$434</definedName>
    <definedName name="LBTR" localSheetId="0">'Lumber Assessments-Latest price'!$Q$435</definedName>
    <definedName name="LBTR" localSheetId="1">'Lumber assessments-SpecificDate'!$Q$435</definedName>
    <definedName name="LBTS" localSheetId="0">'Lumber Assessments-Latest price'!$Q$436</definedName>
    <definedName name="LBTS" localSheetId="1">'Lumber assessments-SpecificDate'!$Q$436</definedName>
    <definedName name="LBTT" localSheetId="0">'Lumber Assessments-Latest price'!$Q$437</definedName>
    <definedName name="LBTT" localSheetId="1">'Lumber assessments-SpecificDate'!$Q$437</definedName>
    <definedName name="LBTU" localSheetId="0">'Lumber Assessments-Latest price'!$Q$438</definedName>
    <definedName name="LBTU" localSheetId="1">'Lumber assessments-SpecificDate'!$Q$438</definedName>
    <definedName name="LBTV" localSheetId="0">'Lumber Assessments-Latest price'!$Q$439</definedName>
    <definedName name="LBTV" localSheetId="1">'Lumber assessments-SpecificDate'!$Q$439</definedName>
    <definedName name="LBTW" localSheetId="0">'Lumber Assessments-Latest price'!$P$469</definedName>
    <definedName name="LBTW" localSheetId="1">'Lumber assessments-SpecificDate'!$P$469</definedName>
    <definedName name="LBTY" localSheetId="0">'Lumber Assessments-Latest price'!$P$470</definedName>
    <definedName name="LBTY" localSheetId="1">'Lumber assessments-SpecificDate'!$P$470</definedName>
    <definedName name="LBUA" localSheetId="0">'Lumber Assessments-Latest price'!$R$434</definedName>
    <definedName name="LBUA" localSheetId="1">'Lumber assessments-SpecificDate'!$R$434</definedName>
    <definedName name="LBUE" localSheetId="0">'Lumber Assessments-Latest price'!$G$436</definedName>
    <definedName name="LBUE" localSheetId="1">'Lumber assessments-SpecificDate'!$G$436</definedName>
    <definedName name="LBUF" localSheetId="0">'Lumber Assessments-Latest price'!$P$113</definedName>
    <definedName name="LBUF" localSheetId="1">'Lumber assessments-SpecificDate'!$P$113</definedName>
    <definedName name="LBUG" localSheetId="0">'Lumber Assessments-Latest price'!$Q$115</definedName>
    <definedName name="LBUG" localSheetId="1">'Lumber assessments-SpecificDate'!$Q$115</definedName>
    <definedName name="LBUH" localSheetId="0">'Lumber Assessments-Latest price'!$Q$116</definedName>
    <definedName name="LBUH" localSheetId="1">'Lumber assessments-SpecificDate'!$Q$116</definedName>
    <definedName name="LBUJ" localSheetId="0">'Lumber Assessments-Latest price'!$R$447</definedName>
    <definedName name="LBUJ" localSheetId="1">'Lumber assessments-SpecificDate'!$R$447</definedName>
    <definedName name="LBUK" localSheetId="0">'Lumber Assessments-Latest price'!$D$465</definedName>
    <definedName name="LBUK" localSheetId="1">'Lumber assessments-SpecificDate'!$D$465</definedName>
    <definedName name="LBUL" localSheetId="0">'Lumber Assessments-Latest price'!$D$466</definedName>
    <definedName name="LBUL" localSheetId="1">'Lumber assessments-SpecificDate'!$D$466</definedName>
    <definedName name="LBUM" localSheetId="0">'Lumber Assessments-Latest price'!$B$223</definedName>
    <definedName name="LBUM" localSheetId="1">'Lumber assessments-SpecificDate'!$B$223</definedName>
    <definedName name="LBUN" localSheetId="0">'Lumber Assessments-Latest price'!$B$224</definedName>
    <definedName name="LBUN" localSheetId="1">'Lumber assessments-SpecificDate'!$B$224</definedName>
    <definedName name="LBUO" localSheetId="0">'Lumber Assessments-Latest price'!$B$225</definedName>
    <definedName name="LBUO" localSheetId="1">'Lumber assessments-SpecificDate'!$B$225</definedName>
    <definedName name="LBUP" localSheetId="0">'Lumber Assessments-Latest price'!$C$223</definedName>
    <definedName name="LBUP" localSheetId="1">'Lumber assessments-SpecificDate'!$C$223</definedName>
    <definedName name="LBUQ" localSheetId="0">'Lumber Assessments-Latest price'!$C$224</definedName>
    <definedName name="LBUQ" localSheetId="1">'Lumber assessments-SpecificDate'!$C$224</definedName>
    <definedName name="LBUR" localSheetId="0">'Lumber Assessments-Latest price'!$C$225</definedName>
    <definedName name="LBUR" localSheetId="1">'Lumber assessments-SpecificDate'!$C$225</definedName>
    <definedName name="LBUS" localSheetId="0">'Lumber Assessments-Latest price'!$D$223</definedName>
    <definedName name="LBUS" localSheetId="1">'Lumber assessments-SpecificDate'!$D$223</definedName>
    <definedName name="LBUT" localSheetId="0">'Lumber Assessments-Latest price'!$D$224</definedName>
    <definedName name="LBUT" localSheetId="1">'Lumber assessments-SpecificDate'!$D$224</definedName>
    <definedName name="LBUU" localSheetId="0">'Lumber Assessments-Latest price'!$D$225</definedName>
    <definedName name="LBUU" localSheetId="1">'Lumber assessments-SpecificDate'!$D$225</definedName>
    <definedName name="LBUV" localSheetId="0">'Lumber Assessments-Latest price'!$E$223</definedName>
    <definedName name="LBUV" localSheetId="1">'Lumber assessments-SpecificDate'!$E$223</definedName>
    <definedName name="LBUW" localSheetId="0">'Lumber Assessments-Latest price'!$E$224</definedName>
    <definedName name="LBUW" localSheetId="1">'Lumber assessments-SpecificDate'!$E$224</definedName>
    <definedName name="LBUX" localSheetId="0">'Lumber Assessments-Latest price'!$E$225</definedName>
    <definedName name="LBUX" localSheetId="1">'Lumber assessments-SpecificDate'!$E$225</definedName>
    <definedName name="LBUY" localSheetId="0">'Lumber Assessments-Latest price'!$F$223</definedName>
    <definedName name="LBUY" localSheetId="1">'Lumber assessments-SpecificDate'!$F$223</definedName>
    <definedName name="LBUZ" localSheetId="0">'Lumber Assessments-Latest price'!$F$224</definedName>
    <definedName name="LBUZ" localSheetId="1">'Lumber assessments-SpecificDate'!$F$224</definedName>
    <definedName name="LBVA" localSheetId="0">'Lumber Assessments-Latest price'!$F$225</definedName>
    <definedName name="LBVA" localSheetId="1">'Lumber assessments-SpecificDate'!$F$225</definedName>
    <definedName name="LBVB" localSheetId="0">'Lumber Assessments-Latest price'!$G$223</definedName>
    <definedName name="LBVB" localSheetId="1">'Lumber assessments-SpecificDate'!$G$223</definedName>
    <definedName name="LBVC" localSheetId="0">'Lumber Assessments-Latest price'!$G$224</definedName>
    <definedName name="LBVC" localSheetId="1">'Lumber assessments-SpecificDate'!$G$224</definedName>
    <definedName name="LBVD" localSheetId="0">'Lumber Assessments-Latest price'!$G$225</definedName>
    <definedName name="LBVD" localSheetId="1">'Lumber assessments-SpecificDate'!$G$225</definedName>
    <definedName name="LBVE" localSheetId="0">'Lumber Assessments-Latest price'!$H$223</definedName>
    <definedName name="LBVE" localSheetId="1">'Lumber assessments-SpecificDate'!$H$223</definedName>
    <definedName name="LBVF" localSheetId="0">'Lumber Assessments-Latest price'!$H$224</definedName>
    <definedName name="LBVF" localSheetId="1">'Lumber assessments-SpecificDate'!$H$224</definedName>
    <definedName name="LBVG" localSheetId="0">'Lumber Assessments-Latest price'!$H$225</definedName>
    <definedName name="LBVG" localSheetId="1">'Lumber assessments-SpecificDate'!$H$225</definedName>
    <definedName name="LBVI" localSheetId="0">'Lumber Assessments-Latest price'!$M$116</definedName>
    <definedName name="LBVI" localSheetId="1">'Lumber assessments-SpecificDate'!$M$116</definedName>
    <definedName name="LBVJ" localSheetId="0">'Lumber Assessments-Latest price'!$M$117</definedName>
    <definedName name="LBVJ" localSheetId="1">'Lumber assessments-SpecificDate'!$M$117</definedName>
    <definedName name="LBVK" localSheetId="0">'Lumber Assessments-Latest price'!$M$118</definedName>
    <definedName name="LBVK" localSheetId="1">'Lumber assessments-SpecificDate'!$M$118</definedName>
    <definedName name="LBVL" localSheetId="0">'Lumber Assessments-Latest price'!$M$119</definedName>
    <definedName name="LBVL" localSheetId="1">'Lumber assessments-SpecificDate'!$M$119</definedName>
    <definedName name="LBVM" localSheetId="0">'Lumber Assessments-Latest price'!$N$117</definedName>
    <definedName name="LBVM" localSheetId="1">'Lumber assessments-SpecificDate'!$N$117</definedName>
    <definedName name="LBVN" localSheetId="0">'Lumber Assessments-Latest price'!$N$118</definedName>
    <definedName name="LBVN" localSheetId="1">'Lumber assessments-SpecificDate'!$N$118</definedName>
    <definedName name="LBVO" localSheetId="0">'Lumber Assessments-Latest price'!$N$119</definedName>
    <definedName name="LBVO" localSheetId="1">'Lumber assessments-SpecificDate'!$N$119</definedName>
    <definedName name="LBVQ" localSheetId="0">'Lumber Assessments-Latest price'!$Q$163</definedName>
    <definedName name="LBVQ" localSheetId="1">'Lumber assessments-SpecificDate'!$Q$163</definedName>
    <definedName name="LBVR" localSheetId="0">'Lumber Assessments-Latest price'!$K$147</definedName>
    <definedName name="LBVR" localSheetId="1">'Lumber assessments-SpecificDate'!$K$147</definedName>
    <definedName name="LBVS" localSheetId="0">'Lumber Assessments-Latest price'!$L$147</definedName>
    <definedName name="LBVS" localSheetId="1">'Lumber assessments-SpecificDate'!$L$147</definedName>
    <definedName name="LBVV" localSheetId="0">'Lumber Assessments-Latest price'!$I$131</definedName>
    <definedName name="LBVV" localSheetId="1">'Lumber assessments-SpecificDate'!$I$131</definedName>
    <definedName name="LBWC" localSheetId="0">'Lumber Assessments-Latest price'!$K$447</definedName>
    <definedName name="LBWC" localSheetId="1">'Lumber assessments-SpecificDate'!$K$447</definedName>
    <definedName name="LBWD" localSheetId="0">'Lumber Assessments-Latest price'!$K$448</definedName>
    <definedName name="LBWD" localSheetId="1">'Lumber assessments-SpecificDate'!$K$448</definedName>
    <definedName name="LBWE" localSheetId="0">'Lumber Assessments-Latest price'!$L$447</definedName>
    <definedName name="LBWE" localSheetId="1">'Lumber assessments-SpecificDate'!$L$447</definedName>
    <definedName name="LBWF" localSheetId="0">'Lumber Assessments-Latest price'!$L$448</definedName>
    <definedName name="LBWF" localSheetId="1">'Lumber assessments-SpecificDate'!$L$448</definedName>
    <definedName name="LBWG" localSheetId="0">'Lumber Assessments-Latest price'!$N$114</definedName>
    <definedName name="LBWG" localSheetId="1">'Lumber assessments-SpecificDate'!$N$114</definedName>
    <definedName name="LBWK" localSheetId="0">'Lumber Assessments-Latest price'!$M$146</definedName>
    <definedName name="LBWK" localSheetId="1">'Lumber assessments-SpecificDate'!$M$146</definedName>
    <definedName name="LBWL" localSheetId="0">'Lumber Assessments-Latest price'!$M$153</definedName>
    <definedName name="LBWL" localSheetId="1">'Lumber assessments-SpecificDate'!$M$153</definedName>
    <definedName name="LBWN" localSheetId="0">'Lumber Assessments-Latest price'!$J$136</definedName>
    <definedName name="LBWN" localSheetId="1">'Lumber assessments-SpecificDate'!$J$136</definedName>
    <definedName name="LBWO" localSheetId="0">'Lumber Assessments-Latest price'!$J$137</definedName>
    <definedName name="LBWO" localSheetId="1">'Lumber assessments-SpecificDate'!$J$137</definedName>
    <definedName name="LBWP" localSheetId="0">'Lumber Assessments-Latest price'!$J$138</definedName>
    <definedName name="LBWP" localSheetId="1">'Lumber assessments-SpecificDate'!$J$138</definedName>
    <definedName name="LBWQ" localSheetId="0">'Lumber Assessments-Latest price'!$J$139</definedName>
    <definedName name="LBWQ" localSheetId="1">'Lumber assessments-SpecificDate'!$J$139</definedName>
    <definedName name="LBWR" localSheetId="0">'Lumber Assessments-Latest price'!$C$270</definedName>
    <definedName name="LBWR" localSheetId="1">'Lumber assessments-SpecificDate'!$C$270</definedName>
    <definedName name="LBWS" localSheetId="0">'Lumber Assessments-Latest price'!$C$358</definedName>
    <definedName name="LBWS" localSheetId="1">'Lumber assessments-SpecificDate'!$C$358</definedName>
    <definedName name="LBWT" localSheetId="0">'Lumber Assessments-Latest price'!$C$359</definedName>
    <definedName name="LBWT" localSheetId="1">'Lumber assessments-SpecificDate'!$C$359</definedName>
    <definedName name="LBWU" localSheetId="0">'Lumber Assessments-Latest price'!$C$360</definedName>
    <definedName name="LBWU" localSheetId="1">'Lumber assessments-SpecificDate'!$C$360</definedName>
    <definedName name="LBWV" localSheetId="0">'Lumber Assessments-Latest price'!$C$361</definedName>
    <definedName name="LBWV" localSheetId="1">'Lumber assessments-SpecificDate'!$C$361</definedName>
    <definedName name="LBWW" localSheetId="0">'Lumber Assessments-Latest price'!$C$362</definedName>
    <definedName name="LBWW" localSheetId="1">'Lumber assessments-SpecificDate'!$C$362</definedName>
    <definedName name="LBWX" localSheetId="0">'Lumber Assessments-Latest price'!$K$409</definedName>
    <definedName name="LBWX" localSheetId="1">'Lumber assessments-SpecificDate'!$K$409</definedName>
    <definedName name="LBWY" localSheetId="0">'Lumber Assessments-Latest price'!$K$410</definedName>
    <definedName name="LBWY" localSheetId="1">'Lumber assessments-SpecificDate'!$K$410</definedName>
    <definedName name="LBWZ" localSheetId="0">'Lumber Assessments-Latest price'!$K$414</definedName>
    <definedName name="LBWZ" localSheetId="1">'Lumber assessments-SpecificDate'!$K$414</definedName>
    <definedName name="LBXB" localSheetId="0">'Lumber Assessments-Latest price'!$I$151</definedName>
    <definedName name="LBXB" localSheetId="1">'Lumber assessments-SpecificDate'!$I$151</definedName>
    <definedName name="LBXC" localSheetId="0">'Lumber Assessments-Latest price'!$I$156</definedName>
    <definedName name="LBXC" localSheetId="1">'Lumber assessments-SpecificDate'!$I$156</definedName>
    <definedName name="LBXD" localSheetId="0">'Lumber Assessments-Latest price'!$J$151</definedName>
    <definedName name="LBXD" localSheetId="1">'Lumber assessments-SpecificDate'!$J$151</definedName>
    <definedName name="LBXE" localSheetId="0">'Lumber Assessments-Latest price'!$J$156</definedName>
    <definedName name="LBXE" localSheetId="1">'Lumber assessments-SpecificDate'!$J$156</definedName>
    <definedName name="LBXH" localSheetId="0">'Lumber Assessments-Latest price'!$K$155</definedName>
    <definedName name="LBXH" localSheetId="1">'Lumber assessments-SpecificDate'!$K$155</definedName>
    <definedName name="LBXI" localSheetId="0">'Lumber Assessments-Latest price'!$L$155</definedName>
    <definedName name="LBXI" localSheetId="1">'Lumber assessments-SpecificDate'!$L$155</definedName>
    <definedName name="LBXJ" localSheetId="0">'Lumber Assessments-Latest price'!$C$159</definedName>
    <definedName name="LBXJ" localSheetId="1">'Lumber assessments-SpecificDate'!$C$159</definedName>
    <definedName name="LBXK" localSheetId="0">'Lumber Assessments-Latest price'!$E$159</definedName>
    <definedName name="LBXK" localSheetId="1">'Lumber assessments-SpecificDate'!$E$159</definedName>
    <definedName name="LBXL" localSheetId="0">'Lumber Assessments-Latest price'!$F$159</definedName>
    <definedName name="LBXL" localSheetId="1">'Lumber assessments-SpecificDate'!$F$159</definedName>
    <definedName name="LBXM" localSheetId="0">'Lumber Assessments-Latest price'!$P$137</definedName>
    <definedName name="LBXM" localSheetId="1">'Lumber assessments-SpecificDate'!$P$137</definedName>
    <definedName name="LBXN" localSheetId="0">'Lumber Assessments-Latest price'!$M$151</definedName>
    <definedName name="LBXN" localSheetId="1">'Lumber assessments-SpecificDate'!$M$151</definedName>
    <definedName name="LBXO" localSheetId="0">'Lumber Assessments-Latest price'!$K$158</definedName>
    <definedName name="LBXO" localSheetId="1">'Lumber assessments-SpecificDate'!$K$158</definedName>
    <definedName name="LBXP" localSheetId="0">'Lumber Assessments-Latest price'!$L$158</definedName>
    <definedName name="LBXP" localSheetId="1">'Lumber assessments-SpecificDate'!$L$158</definedName>
    <definedName name="LBXQ" localSheetId="0">'Lumber Assessments-Latest price'!$Q$155</definedName>
    <definedName name="LBXQ" localSheetId="1">'Lumber assessments-SpecificDate'!$Q$155</definedName>
    <definedName name="LBXR" localSheetId="0">'Lumber Assessments-Latest price'!$Q$158</definedName>
    <definedName name="LBXR" localSheetId="1">'Lumber assessments-SpecificDate'!$Q$158</definedName>
    <definedName name="LBXS" localSheetId="0">'Lumber Assessments-Latest price'!$Q$159</definedName>
    <definedName name="LBXS" localSheetId="1">'Lumber assessments-SpecificDate'!$Q$159</definedName>
    <definedName name="LBXV" localSheetId="0">'Lumber Assessments-Latest price'!$H$409</definedName>
    <definedName name="LBXV" localSheetId="1">'Lumber assessments-SpecificDate'!$H$409</definedName>
    <definedName name="LBXW" localSheetId="0">'Lumber Assessments-Latest price'!$H$410</definedName>
    <definedName name="LBXW" localSheetId="1">'Lumber assessments-SpecificDate'!$H$410</definedName>
    <definedName name="LBXX" localSheetId="0">'Lumber Assessments-Latest price'!$H$411</definedName>
    <definedName name="LBXX" localSheetId="1">'Lumber assessments-SpecificDate'!$H$411</definedName>
    <definedName name="LBXY" localSheetId="0">'Lumber Assessments-Latest price'!$H$412</definedName>
    <definedName name="LBXY" localSheetId="1">'Lumber assessments-SpecificDate'!$H$412</definedName>
    <definedName name="LBXZ" localSheetId="0">'Lumber Assessments-Latest price'!$H$413</definedName>
    <definedName name="LBXZ" localSheetId="1">'Lumber assessments-SpecificDate'!$H$413</definedName>
    <definedName name="LBYB" localSheetId="0">'Lumber Assessments-Latest price'!$Q$136</definedName>
    <definedName name="LBYB" localSheetId="1">'Lumber assessments-SpecificDate'!$Q$136</definedName>
    <definedName name="LBYC" localSheetId="0">'Lumber Assessments-Latest price'!$Q$137</definedName>
    <definedName name="LBYC" localSheetId="1">'Lumber assessments-SpecificDate'!$Q$137</definedName>
    <definedName name="LBYE" localSheetId="0">'Lumber Assessments-Latest price'!$O$129</definedName>
    <definedName name="LBYE" localSheetId="1">'Lumber assessments-SpecificDate'!$O$129</definedName>
    <definedName name="LBYG" localSheetId="0">'Lumber Assessments-Latest price'!$O$130</definedName>
    <definedName name="LBYG" localSheetId="1">'Lumber assessments-SpecificDate'!$O$130</definedName>
    <definedName name="LBYH" localSheetId="0">'Lumber Assessments-Latest price'!$O$131</definedName>
    <definedName name="LBYH" localSheetId="1">'Lumber assessments-SpecificDate'!$O$131</definedName>
    <definedName name="LBYI" localSheetId="0">'Lumber Assessments-Latest price'!$Q$138</definedName>
    <definedName name="LBYI" localSheetId="1">'Lumber assessments-SpecificDate'!$Q$138</definedName>
    <definedName name="LBYJ" localSheetId="0">'Lumber Assessments-Latest price'!$Q$139</definedName>
    <definedName name="LBYJ" localSheetId="1">'Lumber assessments-SpecificDate'!$Q$139</definedName>
    <definedName name="LBYK" localSheetId="0">'Lumber Assessments-Latest price'!$Q$140</definedName>
    <definedName name="LBYK" localSheetId="1">'Lumber assessments-SpecificDate'!$Q$140</definedName>
    <definedName name="LBYL" localSheetId="0">'Lumber Assessments-Latest price'!$M$158</definedName>
    <definedName name="LBYL" localSheetId="1">'Lumber assessments-SpecificDate'!$M$158</definedName>
    <definedName name="LBYN" localSheetId="0">'Lumber Assessments-Latest price'!$B$460</definedName>
    <definedName name="LBYN" localSheetId="1">'Lumber assessments-SpecificDate'!$B$460</definedName>
    <definedName name="LBYO" localSheetId="0">'Lumber Assessments-Latest price'!$C$460</definedName>
    <definedName name="LBYO" localSheetId="1">'Lumber assessments-SpecificDate'!$C$460</definedName>
    <definedName name="LBYP" localSheetId="0">'Lumber Assessments-Latest price'!$D$460</definedName>
    <definedName name="LBYP" localSheetId="1">'Lumber assessments-SpecificDate'!$D$460</definedName>
    <definedName name="LBYQ" localSheetId="0">'Lumber Assessments-Latest price'!$E$460</definedName>
    <definedName name="LBYQ" localSheetId="1">'Lumber assessments-SpecificDate'!$E$460</definedName>
    <definedName name="LBYS" localSheetId="0">'Lumber Assessments-Latest price'!$O$128</definedName>
    <definedName name="LBYS" localSheetId="1">'Lumber assessments-SpecificDate'!$O$128</definedName>
    <definedName name="LBYT" localSheetId="0">'Lumber Assessments-Latest price'!$B$152</definedName>
    <definedName name="LBYT" localSheetId="1">'Lumber assessments-SpecificDate'!$B$152</definedName>
    <definedName name="LBYU" localSheetId="0">'Lumber Assessments-Latest price'!$B$157</definedName>
    <definedName name="LBYU" localSheetId="1">'Lumber assessments-SpecificDate'!$B$157</definedName>
    <definedName name="LBYV" localSheetId="0">'Lumber Assessments-Latest price'!$B$159</definedName>
    <definedName name="LBYV" localSheetId="1">'Lumber assessments-SpecificDate'!$B$159</definedName>
    <definedName name="LBYW" localSheetId="0">'Lumber Assessments-Latest price'!$D$152</definedName>
    <definedName name="LBYW" localSheetId="1">'Lumber assessments-SpecificDate'!$D$152</definedName>
    <definedName name="LBYX" localSheetId="0">'Lumber Assessments-Latest price'!$D$157</definedName>
    <definedName name="LBYX" localSheetId="1">'Lumber assessments-SpecificDate'!$D$157</definedName>
    <definedName name="LBYY" localSheetId="0">'Lumber Assessments-Latest price'!$D$159</definedName>
    <definedName name="LBYY" localSheetId="1">'Lumber assessments-SpecificDate'!$D$159</definedName>
    <definedName name="LBYZ" localSheetId="0">'Lumber Assessments-Latest price'!$J$128</definedName>
    <definedName name="LBYZ" localSheetId="1">'Lumber assessments-SpecificDate'!$J$128</definedName>
    <definedName name="LBZA" localSheetId="0">'Lumber Assessments-Latest price'!$J$129</definedName>
    <definedName name="LBZA" localSheetId="1">'Lumber assessments-SpecificDate'!$J$129</definedName>
    <definedName name="LBZB" localSheetId="0">'Lumber Assessments-Latest price'!$J$131</definedName>
    <definedName name="LBZB" localSheetId="1">'Lumber assessments-SpecificDate'!$J$131</definedName>
    <definedName name="LBZC" localSheetId="0">'Lumber Assessments-Latest price'!$B$154</definedName>
    <definedName name="LBZC" localSheetId="1">'Lumber assessments-SpecificDate'!$B$154</definedName>
    <definedName name="LBZD" localSheetId="0">'Lumber Assessments-Latest price'!$C$470</definedName>
    <definedName name="LBZD" localSheetId="1">'Lumber assessments-SpecificDate'!$C$470</definedName>
    <definedName name="LBZE" localSheetId="0">'Lumber Assessments-Latest price'!$C$472</definedName>
    <definedName name="LBZE" localSheetId="1">'Lumber assessments-SpecificDate'!$C$472</definedName>
    <definedName name="LBZF" localSheetId="0">'Lumber Assessments-Latest price'!$D$470</definedName>
    <definedName name="LBZF" localSheetId="1">'Lumber assessments-SpecificDate'!$D$470</definedName>
    <definedName name="LBZG" localSheetId="0">'Lumber Assessments-Latest price'!$D$472</definedName>
    <definedName name="LBZG" localSheetId="1">'Lumber assessments-SpecificDate'!$D$472</definedName>
    <definedName name="LBZI" localSheetId="0">'Lumber Assessments-Latest price'!$I$130</definedName>
    <definedName name="LBZI" localSheetId="1">'Lumber assessments-SpecificDate'!$I$130</definedName>
    <definedName name="LBZJ" localSheetId="0">'Lumber Assessments-Latest price'!$J$130</definedName>
    <definedName name="LBZJ" localSheetId="1">'Lumber assessments-SpecificDate'!$J$130</definedName>
    <definedName name="LBZR" localSheetId="0">'Lumber Assessments-Latest price'!$H$431</definedName>
    <definedName name="LBZR" localSheetId="1">'Lumber assessments-SpecificDate'!$H$431</definedName>
    <definedName name="LBZS" localSheetId="0">'Lumber Assessments-Latest price'!$H$432</definedName>
    <definedName name="LBZS" localSheetId="1">'Lumber assessments-SpecificDate'!$H$432</definedName>
    <definedName name="LBZT" localSheetId="0">'Lumber Assessments-Latest price'!$C$364</definedName>
    <definedName name="LBZT" localSheetId="1">'Lumber assessments-SpecificDate'!$C$364</definedName>
    <definedName name="LBZV" localSheetId="0">'Lumber Assessments-Latest price'!$K$128</definedName>
    <definedName name="LBZV" localSheetId="1">'Lumber assessments-SpecificDate'!$K$128</definedName>
    <definedName name="LBZW" localSheetId="0">'Lumber Assessments-Latest price'!$K$129</definedName>
    <definedName name="LBZW" localSheetId="1">'Lumber assessments-SpecificDate'!$K$129</definedName>
    <definedName name="LBZX" localSheetId="0">'Lumber Assessments-Latest price'!$K$131</definedName>
    <definedName name="LBZX" localSheetId="1">'Lumber assessments-SpecificDate'!$K$131</definedName>
    <definedName name="LBZY" localSheetId="0">'Lumber Assessments-Latest price'!$L$128</definedName>
    <definedName name="LBZY" localSheetId="1">'Lumber assessments-SpecificDate'!$L$128</definedName>
    <definedName name="LBZZ" localSheetId="0">'Lumber Assessments-Latest price'!$L$129</definedName>
    <definedName name="LBZZ" localSheetId="1">'Lumber assessments-SpecificDate'!$L$129</definedName>
    <definedName name="LCAA" localSheetId="0">'Lumber Assessments-Latest price'!$L$131</definedName>
    <definedName name="LCAA" localSheetId="1">'Lumber assessments-SpecificDate'!$L$131</definedName>
    <definedName name="LCAC" localSheetId="0">'Lumber Assessments-Latest price'!$I$146</definedName>
    <definedName name="LCAC" localSheetId="1">'Lumber assessments-SpecificDate'!$I$146</definedName>
    <definedName name="LCAD" localSheetId="0">'Lumber Assessments-Latest price'!$J$146</definedName>
    <definedName name="LCAD" localSheetId="1">'Lumber assessments-SpecificDate'!$J$146</definedName>
    <definedName name="LCAE" localSheetId="0">'Lumber Assessments-Latest price'!$B$315</definedName>
    <definedName name="LCAE" localSheetId="1">'Lumber assessments-SpecificDate'!$B$315</definedName>
    <definedName name="LCAF" localSheetId="0">'Lumber Assessments-Latest price'!$B$316</definedName>
    <definedName name="LCAF" localSheetId="1">'Lumber assessments-SpecificDate'!$B$316</definedName>
    <definedName name="LCAG" localSheetId="0">'Lumber Assessments-Latest price'!$B$317</definedName>
    <definedName name="LCAG" localSheetId="1">'Lumber assessments-SpecificDate'!$B$317</definedName>
    <definedName name="LCAH" localSheetId="0">'Lumber Assessments-Latest price'!$B$318</definedName>
    <definedName name="LCAH" localSheetId="1">'Lumber assessments-SpecificDate'!$B$318</definedName>
    <definedName name="LCAI" localSheetId="0">'Lumber Assessments-Latest price'!$B$319</definedName>
    <definedName name="LCAI" localSheetId="1">'Lumber assessments-SpecificDate'!$B$319</definedName>
    <definedName name="LCAJ" localSheetId="0">'Lumber Assessments-Latest price'!$C$315</definedName>
    <definedName name="LCAJ" localSheetId="1">'Lumber assessments-SpecificDate'!$C$315</definedName>
    <definedName name="LCAK" localSheetId="0">'Lumber Assessments-Latest price'!$C$316</definedName>
    <definedName name="LCAK" localSheetId="1">'Lumber assessments-SpecificDate'!$C$316</definedName>
    <definedName name="LCAL" localSheetId="0">'Lumber Assessments-Latest price'!$C$317</definedName>
    <definedName name="LCAL" localSheetId="1">'Lumber assessments-SpecificDate'!$C$317</definedName>
    <definedName name="LCAM" localSheetId="0">'Lumber Assessments-Latest price'!$C$318</definedName>
    <definedName name="LCAM" localSheetId="1">'Lumber assessments-SpecificDate'!$C$318</definedName>
    <definedName name="LCAN" localSheetId="0">'Lumber Assessments-Latest price'!$C$319</definedName>
    <definedName name="LCAN" localSheetId="1">'Lumber assessments-SpecificDate'!$C$319</definedName>
    <definedName name="LCAO" localSheetId="0">'Lumber Assessments-Latest price'!$F$315</definedName>
    <definedName name="LCAO" localSheetId="1">'Lumber assessments-SpecificDate'!$F$315</definedName>
    <definedName name="LCAP" localSheetId="0">'Lumber Assessments-Latest price'!$F$316</definedName>
    <definedName name="LCAP" localSheetId="1">'Lumber assessments-SpecificDate'!$F$316</definedName>
    <definedName name="LCAQ" localSheetId="0">'Lumber Assessments-Latest price'!$F$317</definedName>
    <definedName name="LCAQ" localSheetId="1">'Lumber assessments-SpecificDate'!$F$317</definedName>
    <definedName name="LCAR" localSheetId="0">'Lumber Assessments-Latest price'!$F$318</definedName>
    <definedName name="LCAR" localSheetId="1">'Lumber assessments-SpecificDate'!$F$318</definedName>
    <definedName name="LCAS" localSheetId="0">'Lumber Assessments-Latest price'!$F$319</definedName>
    <definedName name="LCAS" localSheetId="1">'Lumber assessments-SpecificDate'!$F$319</definedName>
    <definedName name="LCAT" localSheetId="0">'Lumber Assessments-Latest price'!$M$110</definedName>
    <definedName name="LCAT" localSheetId="1">'Lumber assessments-SpecificDate'!$M$110</definedName>
    <definedName name="LCAU" localSheetId="0">'Lumber Assessments-Latest price'!$N$110</definedName>
    <definedName name="LCAU" localSheetId="1">'Lumber assessments-SpecificDate'!$N$110</definedName>
    <definedName name="LCAX" localSheetId="0">'Lumber Assessments-Latest price'!$B$461</definedName>
    <definedName name="LCAX" localSheetId="1">'Lumber assessments-SpecificDate'!$B$461</definedName>
    <definedName name="LCAY" localSheetId="0">'Lumber Assessments-Latest price'!$C$461</definedName>
    <definedName name="LCAY" localSheetId="1">'Lumber assessments-SpecificDate'!$C$461</definedName>
    <definedName name="LCAZ" localSheetId="0">'Lumber Assessments-Latest price'!$D$461</definedName>
    <definedName name="LCAZ" localSheetId="1">'Lumber assessments-SpecificDate'!$D$461</definedName>
    <definedName name="LCBA" localSheetId="0">'Lumber Assessments-Latest price'!$E$461</definedName>
    <definedName name="LCBA" localSheetId="1">'Lumber assessments-SpecificDate'!$E$461</definedName>
    <definedName name="LCBB" localSheetId="0">'Lumber Assessments-Latest price'!$K$434</definedName>
    <definedName name="LCBB" localSheetId="1">'Lumber assessments-SpecificDate'!$K$434</definedName>
    <definedName name="LCBC" localSheetId="0">'Lumber Assessments-Latest price'!$K$435</definedName>
    <definedName name="LCBC" localSheetId="1">'Lumber assessments-SpecificDate'!$K$435</definedName>
    <definedName name="LCBD" localSheetId="0">'Lumber Assessments-Latest price'!$K$436</definedName>
    <definedName name="LCBD" localSheetId="1">'Lumber assessments-SpecificDate'!$K$436</definedName>
    <definedName name="LCBE" localSheetId="0">'Lumber Assessments-Latest price'!$K$437</definedName>
    <definedName name="LCBE" localSheetId="1">'Lumber assessments-SpecificDate'!$K$437</definedName>
    <definedName name="LCBF" localSheetId="0">'Lumber Assessments-Latest price'!$K$438</definedName>
    <definedName name="LCBF" localSheetId="1">'Lumber assessments-SpecificDate'!$K$438</definedName>
    <definedName name="LCBG" localSheetId="0">'Lumber Assessments-Latest price'!$P$434</definedName>
    <definedName name="LCBG" localSheetId="1">'Lumber assessments-SpecificDate'!$P$434</definedName>
    <definedName name="LCBH" localSheetId="0">'Lumber Assessments-Latest price'!$P$435</definedName>
    <definedName name="LCBH" localSheetId="1">'Lumber assessments-SpecificDate'!$P$435</definedName>
    <definedName name="LCBI" localSheetId="0">'Lumber Assessments-Latest price'!$P$436</definedName>
    <definedName name="LCBI" localSheetId="1">'Lumber assessments-SpecificDate'!$P$436</definedName>
    <definedName name="LCBJ" localSheetId="0">'Lumber Assessments-Latest price'!$P$437</definedName>
    <definedName name="LCBJ" localSheetId="1">'Lumber assessments-SpecificDate'!$P$437</definedName>
    <definedName name="LCBK" localSheetId="0">'Lumber Assessments-Latest price'!$P$438</definedName>
    <definedName name="LCBK" localSheetId="1">'Lumber assessments-SpecificDate'!$P$438</definedName>
    <definedName name="LCBL" localSheetId="0">'Lumber Assessments-Latest price'!$P$439</definedName>
    <definedName name="LCBL" localSheetId="1">'Lumber assessments-SpecificDate'!$P$439</definedName>
    <definedName name="LCBM" localSheetId="0">'Lumber Assessments-Latest price'!$F$504</definedName>
    <definedName name="LCBM" localSheetId="1">'Lumber assessments-SpecificDate'!$F$504</definedName>
    <definedName name="LCBN" localSheetId="0">'Lumber Assessments-Latest price'!$G$504</definedName>
    <definedName name="LCBN" localSheetId="1">'Lumber assessments-SpecificDate'!$G$504</definedName>
    <definedName name="LCBO" localSheetId="0">'Lumber Assessments-Latest price'!$H$504</definedName>
    <definedName name="LCBO" localSheetId="1">'Lumber assessments-SpecificDate'!$H$504</definedName>
    <definedName name="LCBQ" localSheetId="0">'Lumber Assessments-Latest price'!$L$110</definedName>
    <definedName name="LCBQ" localSheetId="1">'Lumber assessments-SpecificDate'!$L$110</definedName>
    <definedName name="LCBR" localSheetId="0">'Lumber Assessments-Latest price'!$L$111</definedName>
    <definedName name="LCBR" localSheetId="1">'Lumber assessments-SpecificDate'!$L$111</definedName>
    <definedName name="LCBS" localSheetId="0">'Lumber Assessments-Latest price'!$L$112</definedName>
    <definedName name="LCBS" localSheetId="1">'Lumber assessments-SpecificDate'!$L$112</definedName>
    <definedName name="LCBT" localSheetId="0">'Lumber Assessments-Latest price'!$L$113</definedName>
    <definedName name="LCBT" localSheetId="1">'Lumber assessments-SpecificDate'!$L$113</definedName>
    <definedName name="LCBU" localSheetId="0">'Lumber Assessments-Latest price'!$L$114</definedName>
    <definedName name="LCBU" localSheetId="1">'Lumber assessments-SpecificDate'!$L$114</definedName>
    <definedName name="LCBW" localSheetId="0">'Lumber Assessments-Latest price'!$L$116</definedName>
    <definedName name="LCBW" localSheetId="1">'Lumber assessments-SpecificDate'!$L$116</definedName>
    <definedName name="LCBX" localSheetId="0">'Lumber Assessments-Latest price'!$L$117</definedName>
    <definedName name="LCBX" localSheetId="1">'Lumber assessments-SpecificDate'!$L$117</definedName>
    <definedName name="LCBY" localSheetId="0">'Lumber Assessments-Latest price'!$L$118</definedName>
    <definedName name="LCBY" localSheetId="1">'Lumber assessments-SpecificDate'!$L$118</definedName>
    <definedName name="LCBZ" localSheetId="0">'Lumber Assessments-Latest price'!$L$119</definedName>
    <definedName name="LCBZ" localSheetId="1">'Lumber assessments-SpecificDate'!$L$119</definedName>
    <definedName name="LCCA" localSheetId="0">'Lumber Assessments-Latest price'!$H$146</definedName>
    <definedName name="LCCA" localSheetId="1">'Lumber assessments-SpecificDate'!$H$146</definedName>
    <definedName name="LCCB" localSheetId="0">'Lumber Assessments-Latest price'!$H$148</definedName>
    <definedName name="LCCB" localSheetId="1">'Lumber assessments-SpecificDate'!$H$148</definedName>
    <definedName name="LCCC" localSheetId="0">'Lumber Assessments-Latest price'!$H$151</definedName>
    <definedName name="LCCC" localSheetId="1">'Lumber assessments-SpecificDate'!$H$151</definedName>
    <definedName name="LCCD" localSheetId="0">'Lumber Assessments-Latest price'!$H$156</definedName>
    <definedName name="LCCD" localSheetId="1">'Lumber assessments-SpecificDate'!$H$156</definedName>
    <definedName name="LCCE" localSheetId="0">'Lumber Assessments-Latest price'!$Q$162</definedName>
    <definedName name="LCCE" localSheetId="1">'Lumber assessments-SpecificDate'!$Q$162</definedName>
    <definedName name="LCCG" localSheetId="0">'Lumber Assessments-Latest price'!$K$228</definedName>
    <definedName name="LCCG" localSheetId="1">'Lumber assessments-SpecificDate'!$K$228</definedName>
    <definedName name="LCCH" localSheetId="0">'Lumber Assessments-Latest price'!$K$229</definedName>
    <definedName name="LCCH" localSheetId="1">'Lumber assessments-SpecificDate'!$K$229</definedName>
    <definedName name="LCCI" localSheetId="0">'Lumber Assessments-Latest price'!$K$230</definedName>
    <definedName name="LCCI" localSheetId="1">'Lumber assessments-SpecificDate'!$K$230</definedName>
    <definedName name="LCCJ" localSheetId="0">'Lumber Assessments-Latest price'!$K$231</definedName>
    <definedName name="LCCJ" localSheetId="1">'Lumber assessments-SpecificDate'!$K$231</definedName>
    <definedName name="LCCK" localSheetId="0">'Lumber Assessments-Latest price'!$K$232</definedName>
    <definedName name="LCCK" localSheetId="1">'Lumber assessments-SpecificDate'!$K$232</definedName>
    <definedName name="LCCM" localSheetId="0">'Lumber Assessments-Latest price'!$L$228</definedName>
    <definedName name="LCCM" localSheetId="1">'Lumber assessments-SpecificDate'!$L$228</definedName>
    <definedName name="LCCN" localSheetId="0">'Lumber Assessments-Latest price'!$L$229</definedName>
    <definedName name="LCCN" localSheetId="1">'Lumber assessments-SpecificDate'!$L$229</definedName>
    <definedName name="LCCO" localSheetId="0">'Lumber Assessments-Latest price'!$L$230</definedName>
    <definedName name="LCCO" localSheetId="1">'Lumber assessments-SpecificDate'!$L$230</definedName>
    <definedName name="LCCP" localSheetId="0">'Lumber Assessments-Latest price'!$L$231</definedName>
    <definedName name="LCCP" localSheetId="1">'Lumber assessments-SpecificDate'!$L$231</definedName>
    <definedName name="LCCQ" localSheetId="0">'Lumber Assessments-Latest price'!$L$232</definedName>
    <definedName name="LCCQ" localSheetId="1">'Lumber assessments-SpecificDate'!$L$232</definedName>
    <definedName name="LCCS" localSheetId="0">'Lumber Assessments-Latest price'!$M$228</definedName>
    <definedName name="LCCS" localSheetId="1">'Lumber assessments-SpecificDate'!$M$228</definedName>
    <definedName name="LCCT" localSheetId="0">'Lumber Assessments-Latest price'!$M$229</definedName>
    <definedName name="LCCT" localSheetId="1">'Lumber assessments-SpecificDate'!$M$229</definedName>
    <definedName name="LCCU" localSheetId="0">'Lumber Assessments-Latest price'!$M$230</definedName>
    <definedName name="LCCU" localSheetId="1">'Lumber assessments-SpecificDate'!$M$230</definedName>
    <definedName name="LCCV" localSheetId="0">'Lumber Assessments-Latest price'!$M$231</definedName>
    <definedName name="LCCV" localSheetId="1">'Lumber assessments-SpecificDate'!$M$231</definedName>
    <definedName name="LCCW" localSheetId="0">'Lumber Assessments-Latest price'!$M$232</definedName>
    <definedName name="LCCW" localSheetId="1">'Lumber assessments-SpecificDate'!$M$232</definedName>
    <definedName name="LCCY" localSheetId="0">'Lumber Assessments-Latest price'!$N$228</definedName>
    <definedName name="LCCY" localSheetId="1">'Lumber assessments-SpecificDate'!$N$228</definedName>
    <definedName name="LCCZ" localSheetId="0">'Lumber Assessments-Latest price'!$N$229</definedName>
    <definedName name="LCCZ" localSheetId="1">'Lumber assessments-SpecificDate'!$N$229</definedName>
    <definedName name="LCDA" localSheetId="0">'Lumber Assessments-Latest price'!$N$230</definedName>
    <definedName name="LCDA" localSheetId="1">'Lumber assessments-SpecificDate'!$N$230</definedName>
    <definedName name="LCDB" localSheetId="0">'Lumber Assessments-Latest price'!$N$231</definedName>
    <definedName name="LCDB" localSheetId="1">'Lumber assessments-SpecificDate'!$N$231</definedName>
    <definedName name="LCDC" localSheetId="0">'Lumber Assessments-Latest price'!$N$232</definedName>
    <definedName name="LCDC" localSheetId="1">'Lumber assessments-SpecificDate'!$N$232</definedName>
    <definedName name="LCDE" localSheetId="0">'Lumber Assessments-Latest price'!$O$228</definedName>
    <definedName name="LCDE" localSheetId="1">'Lumber assessments-SpecificDate'!$O$228</definedName>
    <definedName name="LCDF" localSheetId="0">'Lumber Assessments-Latest price'!$O$229</definedName>
    <definedName name="LCDF" localSheetId="1">'Lumber assessments-SpecificDate'!$O$229</definedName>
    <definedName name="LCDG" localSheetId="0">'Lumber Assessments-Latest price'!$O$230</definedName>
    <definedName name="LCDG" localSheetId="1">'Lumber assessments-SpecificDate'!$O$230</definedName>
    <definedName name="LCDH" localSheetId="0">'Lumber Assessments-Latest price'!$O$231</definedName>
    <definedName name="LCDH" localSheetId="1">'Lumber assessments-SpecificDate'!$O$231</definedName>
    <definedName name="LCDI" localSheetId="0">'Lumber Assessments-Latest price'!$O$232</definedName>
    <definedName name="LCDI" localSheetId="1">'Lumber assessments-SpecificDate'!$O$232</definedName>
    <definedName name="LCDK" localSheetId="0">'Lumber Assessments-Latest price'!$P$228</definedName>
    <definedName name="LCDK" localSheetId="1">'Lumber assessments-SpecificDate'!$P$228</definedName>
    <definedName name="LCDL" localSheetId="0">'Lumber Assessments-Latest price'!$P$229</definedName>
    <definedName name="LCDL" localSheetId="1">'Lumber assessments-SpecificDate'!$P$229</definedName>
    <definedName name="LCDM" localSheetId="0">'Lumber Assessments-Latest price'!$P$230</definedName>
    <definedName name="LCDM" localSheetId="1">'Lumber assessments-SpecificDate'!$P$230</definedName>
    <definedName name="LCDN" localSheetId="0">'Lumber Assessments-Latest price'!$P$231</definedName>
    <definedName name="LCDN" localSheetId="1">'Lumber assessments-SpecificDate'!$P$231</definedName>
    <definedName name="LCDO" localSheetId="0">'Lumber Assessments-Latest price'!$P$232</definedName>
    <definedName name="LCDO" localSheetId="1">'Lumber assessments-SpecificDate'!$P$232</definedName>
    <definedName name="LCDQ" localSheetId="0">'Lumber Assessments-Latest price'!$Q$228</definedName>
    <definedName name="LCDQ" localSheetId="1">'Lumber assessments-SpecificDate'!$Q$228</definedName>
    <definedName name="LCDR" localSheetId="0">'Lumber Assessments-Latest price'!$Q$229</definedName>
    <definedName name="LCDR" localSheetId="1">'Lumber assessments-SpecificDate'!$Q$229</definedName>
    <definedName name="LCDS" localSheetId="0">'Lumber Assessments-Latest price'!$Q$230</definedName>
    <definedName name="LCDS" localSheetId="1">'Lumber assessments-SpecificDate'!$Q$230</definedName>
    <definedName name="LCDT" localSheetId="0">'Lumber Assessments-Latest price'!$Q$231</definedName>
    <definedName name="LCDT" localSheetId="1">'Lumber assessments-SpecificDate'!$Q$231</definedName>
    <definedName name="LCDU" localSheetId="0">'Lumber Assessments-Latest price'!$Q$232</definedName>
    <definedName name="LCDU" localSheetId="1">'Lumber assessments-SpecificDate'!$Q$232</definedName>
    <definedName name="LCED" localSheetId="0">'Lumber Assessments-Latest price'!$D$249</definedName>
    <definedName name="LCED" localSheetId="1">'Lumber assessments-SpecificDate'!$D$249</definedName>
    <definedName name="LCEE" localSheetId="0">'Lumber Assessments-Latest price'!$D$250</definedName>
    <definedName name="LCEE" localSheetId="1">'Lumber assessments-SpecificDate'!$D$250</definedName>
    <definedName name="LCEF" localSheetId="0">'Lumber Assessments-Latest price'!$D$253</definedName>
    <definedName name="LCEF" localSheetId="1">'Lumber assessments-SpecificDate'!$D$253</definedName>
    <definedName name="LCEG" localSheetId="0">'Lumber Assessments-Latest price'!$D$254</definedName>
    <definedName name="LCEG" localSheetId="1">'Lumber assessments-SpecificDate'!$D$254</definedName>
    <definedName name="LCEH" localSheetId="0">'Lumber Assessments-Latest price'!$D$255</definedName>
    <definedName name="LCEH" localSheetId="1">'Lumber assessments-SpecificDate'!$D$255</definedName>
    <definedName name="LCEL" localSheetId="0">'Lumber Assessments-Latest price'!$D$265</definedName>
    <definedName name="LCEL" localSheetId="1">'Lumber assessments-SpecificDate'!$D$265</definedName>
    <definedName name="LCEM" localSheetId="0">'Lumber Assessments-Latest price'!$D$266</definedName>
    <definedName name="LCEM" localSheetId="1">'Lumber assessments-SpecificDate'!$D$266</definedName>
    <definedName name="LCEO" localSheetId="0">'Lumber Assessments-Latest price'!$E$110</definedName>
    <definedName name="LCEO" localSheetId="1">'Lumber assessments-SpecificDate'!$E$110</definedName>
    <definedName name="LCEP" localSheetId="0">'Lumber Assessments-Latest price'!$D$252</definedName>
    <definedName name="LCEP" localSheetId="1">'Lumber assessments-SpecificDate'!$D$252</definedName>
    <definedName name="LCEQ" localSheetId="0">'Lumber Assessments-Latest price'!$I$252</definedName>
    <definedName name="LCEQ" localSheetId="1">'Lumber assessments-SpecificDate'!$I$252</definedName>
    <definedName name="LCER" localSheetId="0">'Lumber Assessments-Latest price'!$M$252</definedName>
    <definedName name="LCER" localSheetId="1">'Lumber assessments-SpecificDate'!$M$252</definedName>
    <definedName name="LCES" localSheetId="0">'Lumber Assessments-Latest price'!$B$342</definedName>
    <definedName name="LCES" localSheetId="1">'Lumber assessments-SpecificDate'!$B$342</definedName>
    <definedName name="LCET" localSheetId="0">'Lumber Assessments-Latest price'!$B$343</definedName>
    <definedName name="LCET" localSheetId="1">'Lumber assessments-SpecificDate'!$B$343</definedName>
    <definedName name="LCEU" localSheetId="0">'Lumber Assessments-Latest price'!$B$344</definedName>
    <definedName name="LCEU" localSheetId="1">'Lumber assessments-SpecificDate'!$B$344</definedName>
    <definedName name="LCEV" localSheetId="0">'Lumber Assessments-Latest price'!$B$110</definedName>
    <definedName name="LCEV" localSheetId="1">'Lumber assessments-SpecificDate'!$B$110</definedName>
    <definedName name="LCEW" localSheetId="0">'Lumber Assessments-Latest price'!$H$110</definedName>
    <definedName name="LCEW" localSheetId="1">'Lumber assessments-SpecificDate'!$H$110</definedName>
    <definedName name="LCEX" localSheetId="0">'Lumber Assessments-Latest price'!$H$111</definedName>
    <definedName name="LCEX" localSheetId="1">'Lumber assessments-SpecificDate'!$H$111</definedName>
    <definedName name="LCEY" localSheetId="0">'Lumber Assessments-Latest price'!$H$115</definedName>
    <definedName name="LCEY" localSheetId="1">'Lumber assessments-SpecificDate'!$H$115</definedName>
    <definedName name="LCEZ" localSheetId="0">'Lumber Assessments-Latest price'!$H$116</definedName>
    <definedName name="LCEZ" localSheetId="1">'Lumber assessments-SpecificDate'!$H$116</definedName>
    <definedName name="LCFA" localSheetId="0">'Lumber Assessments-Latest price'!$C$139</definedName>
    <definedName name="LCFA" localSheetId="1">'Lumber assessments-SpecificDate'!$C$139</definedName>
    <definedName name="LCFB" localSheetId="0">'Lumber Assessments-Latest price'!$C$256</definedName>
    <definedName name="LCFB" localSheetId="1">'Lumber assessments-SpecificDate'!$C$256</definedName>
    <definedName name="LCFC" localSheetId="0">'Lumber Assessments-Latest price'!$D$256</definedName>
    <definedName name="LCFC" localSheetId="1">'Lumber assessments-SpecificDate'!$D$256</definedName>
    <definedName name="LCFD" localSheetId="0">'Lumber Assessments-Latest price'!$D$257</definedName>
    <definedName name="LCFD" localSheetId="1">'Lumber assessments-SpecificDate'!$D$257</definedName>
    <definedName name="LCFE" localSheetId="0">'Lumber Assessments-Latest price'!$D$258</definedName>
    <definedName name="LCFE" localSheetId="1">'Lumber assessments-SpecificDate'!$D$258</definedName>
    <definedName name="LCFF" localSheetId="0">'Lumber Assessments-Latest price'!$D$259</definedName>
    <definedName name="LCFF" localSheetId="1">'Lumber assessments-SpecificDate'!$D$259</definedName>
    <definedName name="LCFG" localSheetId="0">'Lumber Assessments-Latest price'!$D$260</definedName>
    <definedName name="LCFG" localSheetId="1">'Lumber assessments-SpecificDate'!$D$260</definedName>
    <definedName name="LCFH" localSheetId="0">'Lumber Assessments-Latest price'!$D$262</definedName>
    <definedName name="LCFH" localSheetId="1">'Lumber assessments-SpecificDate'!$D$262</definedName>
    <definedName name="LCFI" localSheetId="0">'Lumber Assessments-Latest price'!$D$267</definedName>
    <definedName name="LCFI" localSheetId="1">'Lumber assessments-SpecificDate'!$D$267</definedName>
    <definedName name="LCFJ" localSheetId="0">'Lumber Assessments-Latest price'!$D$268</definedName>
    <definedName name="LCFJ" localSheetId="1">'Lumber assessments-SpecificDate'!$D$268</definedName>
    <definedName name="LCFK" localSheetId="0">'Lumber Assessments-Latest price'!$D$269</definedName>
    <definedName name="LCFK" localSheetId="1">'Lumber assessments-SpecificDate'!$D$269</definedName>
    <definedName name="LCFL" localSheetId="0">'Lumber Assessments-Latest price'!$H$256</definedName>
    <definedName name="LCFL" localSheetId="1">'Lumber assessments-SpecificDate'!$H$256</definedName>
    <definedName name="LCFM" localSheetId="0">'Lumber Assessments-Latest price'!$I$256</definedName>
    <definedName name="LCFM" localSheetId="1">'Lumber assessments-SpecificDate'!$I$256</definedName>
    <definedName name="LCFN" localSheetId="0">'Lumber Assessments-Latest price'!$I$257</definedName>
    <definedName name="LCFN" localSheetId="1">'Lumber assessments-SpecificDate'!$I$257</definedName>
    <definedName name="LCFO" localSheetId="0">'Lumber Assessments-Latest price'!$I$258</definedName>
    <definedName name="LCFO" localSheetId="1">'Lumber assessments-SpecificDate'!$I$258</definedName>
    <definedName name="LCFP" localSheetId="0">'Lumber Assessments-Latest price'!$I$259</definedName>
    <definedName name="LCFP" localSheetId="1">'Lumber assessments-SpecificDate'!$I$259</definedName>
    <definedName name="LCFQ" localSheetId="0">'Lumber Assessments-Latest price'!$I$260</definedName>
    <definedName name="LCFQ" localSheetId="1">'Lumber assessments-SpecificDate'!$I$260</definedName>
    <definedName name="LCFR" localSheetId="0">'Lumber Assessments-Latest price'!$I$262</definedName>
    <definedName name="LCFR" localSheetId="1">'Lumber assessments-SpecificDate'!$I$262</definedName>
    <definedName name="LCFS" localSheetId="0">'Lumber Assessments-Latest price'!$I$267</definedName>
    <definedName name="LCFS" localSheetId="1">'Lumber assessments-SpecificDate'!$I$267</definedName>
    <definedName name="LCFT" localSheetId="0">'Lumber Assessments-Latest price'!$I$268</definedName>
    <definedName name="LCFT" localSheetId="1">'Lumber assessments-SpecificDate'!$I$268</definedName>
    <definedName name="LCFU" localSheetId="0">'Lumber Assessments-Latest price'!$I$269</definedName>
    <definedName name="LCFU" localSheetId="1">'Lumber assessments-SpecificDate'!$I$269</definedName>
    <definedName name="LCFV" localSheetId="0">'Lumber Assessments-Latest price'!$L$256</definedName>
    <definedName name="LCFV" localSheetId="1">'Lumber assessments-SpecificDate'!$L$256</definedName>
    <definedName name="LCFW" localSheetId="0">'Lumber Assessments-Latest price'!$M$256</definedName>
    <definedName name="LCFW" localSheetId="1">'Lumber assessments-SpecificDate'!$M$256</definedName>
    <definedName name="LCFX" localSheetId="0">'Lumber Assessments-Latest price'!$M$257</definedName>
    <definedName name="LCFX" localSheetId="1">'Lumber assessments-SpecificDate'!$M$257</definedName>
    <definedName name="LCFY" localSheetId="0">'Lumber Assessments-Latest price'!$M$258</definedName>
    <definedName name="LCFY" localSheetId="1">'Lumber assessments-SpecificDate'!$M$258</definedName>
    <definedName name="LCFZ" localSheetId="0">'Lumber Assessments-Latest price'!$M$259</definedName>
    <definedName name="LCFZ" localSheetId="1">'Lumber assessments-SpecificDate'!$M$259</definedName>
    <definedName name="LCGA" localSheetId="0">'Lumber Assessments-Latest price'!$M$260</definedName>
    <definedName name="LCGA" localSheetId="1">'Lumber assessments-SpecificDate'!$M$260</definedName>
    <definedName name="LCGB" localSheetId="0">'Lumber Assessments-Latest price'!$M$262</definedName>
    <definedName name="LCGB" localSheetId="1">'Lumber assessments-SpecificDate'!$M$262</definedName>
    <definedName name="LCGC" localSheetId="0">'Lumber Assessments-Latest price'!$M$267</definedName>
    <definedName name="LCGC" localSheetId="1">'Lumber assessments-SpecificDate'!$M$267</definedName>
    <definedName name="LCGD" localSheetId="0">'Lumber Assessments-Latest price'!$M$268</definedName>
    <definedName name="LCGD" localSheetId="1">'Lumber assessments-SpecificDate'!$M$268</definedName>
    <definedName name="LCGE" localSheetId="0">'Lumber Assessments-Latest price'!$M$269</definedName>
    <definedName name="LCGE" localSheetId="1">'Lumber assessments-SpecificDate'!$M$269</definedName>
    <definedName name="LCGF" localSheetId="0">'Lumber Assessments-Latest price'!$I$345</definedName>
    <definedName name="LCGF" localSheetId="1">'Lumber assessments-SpecificDate'!$I$345</definedName>
    <definedName name="LCGG" localSheetId="0">'Lumber Assessments-Latest price'!$J$345</definedName>
    <definedName name="LCGG" localSheetId="1">'Lumber assessments-SpecificDate'!$J$345</definedName>
    <definedName name="LCGH" localSheetId="0">'Lumber Assessments-Latest price'!$K$345</definedName>
    <definedName name="LCGH" localSheetId="1">'Lumber assessments-SpecificDate'!$K$345</definedName>
    <definedName name="LCGI" localSheetId="0">'Lumber Assessments-Latest price'!$L$345</definedName>
    <definedName name="LCGI" localSheetId="1">'Lumber assessments-SpecificDate'!$L$345</definedName>
    <definedName name="LCGJ" localSheetId="0">'Lumber Assessments-Latest price'!$M$345</definedName>
    <definedName name="LCGJ" localSheetId="1">'Lumber assessments-SpecificDate'!$M$345</definedName>
    <definedName name="LCGK" localSheetId="0">'Lumber Assessments-Latest price'!$I$346</definedName>
    <definedName name="LCGK" localSheetId="1">'Lumber assessments-SpecificDate'!$I$346</definedName>
    <definedName name="LCGL" localSheetId="0">'Lumber Assessments-Latest price'!$J$346</definedName>
    <definedName name="LCGL" localSheetId="1">'Lumber assessments-SpecificDate'!$J$346</definedName>
    <definedName name="LCGM" localSheetId="0">'Lumber Assessments-Latest price'!$K$346</definedName>
    <definedName name="LCGM" localSheetId="1">'Lumber assessments-SpecificDate'!$K$346</definedName>
    <definedName name="LCGN" localSheetId="0">'Lumber Assessments-Latest price'!$L$346</definedName>
    <definedName name="LCGN" localSheetId="1">'Lumber assessments-SpecificDate'!$L$346</definedName>
    <definedName name="LCGO" localSheetId="0">'Lumber Assessments-Latest price'!$M$346</definedName>
    <definedName name="LCGO" localSheetId="1">'Lumber assessments-SpecificDate'!$M$346</definedName>
    <definedName name="LCGP" localSheetId="0">'Lumber Assessments-Latest price'!$I$348</definedName>
    <definedName name="LCGP" localSheetId="1">'Lumber assessments-SpecificDate'!$I$348</definedName>
    <definedName name="LCGQ" localSheetId="0">'Lumber Assessments-Latest price'!$J$348</definedName>
    <definedName name="LCGQ" localSheetId="1">'Lumber assessments-SpecificDate'!$J$348</definedName>
    <definedName name="LCGR" localSheetId="0">'Lumber Assessments-Latest price'!$K$348</definedName>
    <definedName name="LCGR" localSheetId="1">'Lumber assessments-SpecificDate'!$K$348</definedName>
    <definedName name="LCGS" localSheetId="0">'Lumber Assessments-Latest price'!$L$348</definedName>
    <definedName name="LCGS" localSheetId="1">'Lumber assessments-SpecificDate'!$L$348</definedName>
    <definedName name="LCGT" localSheetId="0">'Lumber Assessments-Latest price'!$M$348</definedName>
    <definedName name="LCGT" localSheetId="1">'Lumber assessments-SpecificDate'!$M$348</definedName>
    <definedName name="LCGU" localSheetId="0">'Lumber Assessments-Latest price'!$I$349</definedName>
    <definedName name="LCGU" localSheetId="1">'Lumber assessments-SpecificDate'!$I$349</definedName>
    <definedName name="LCGV" localSheetId="0">'Lumber Assessments-Latest price'!$J$349</definedName>
    <definedName name="LCGV" localSheetId="1">'Lumber assessments-SpecificDate'!$J$349</definedName>
    <definedName name="LCGW" localSheetId="0">'Lumber Assessments-Latest price'!$K$349</definedName>
    <definedName name="LCGW" localSheetId="1">'Lumber assessments-SpecificDate'!$K$349</definedName>
    <definedName name="LCGX" localSheetId="0">'Lumber Assessments-Latest price'!$L$349</definedName>
    <definedName name="LCGX" localSheetId="1">'Lumber assessments-SpecificDate'!$L$349</definedName>
    <definedName name="LCGY" localSheetId="0">'Lumber Assessments-Latest price'!$M$349</definedName>
    <definedName name="LCGY" localSheetId="1">'Lumber assessments-SpecificDate'!$M$349</definedName>
    <definedName name="LCGZ" localSheetId="0">'Lumber Assessments-Latest price'!$F$505</definedName>
    <definedName name="LCGZ" localSheetId="1">'Lumber assessments-SpecificDate'!$F$505</definedName>
    <definedName name="LCHA" localSheetId="0">'Lumber Assessments-Latest price'!$F$506</definedName>
    <definedName name="LCHA" localSheetId="1">'Lumber assessments-SpecificDate'!$F$506</definedName>
    <definedName name="LCHB" localSheetId="0">'Lumber Assessments-Latest price'!$F$507</definedName>
    <definedName name="LCHB" localSheetId="1">'Lumber assessments-SpecificDate'!$F$507</definedName>
    <definedName name="LCHC" localSheetId="0">'Lumber Assessments-Latest price'!$F$508</definedName>
    <definedName name="LCHC" localSheetId="1">'Lumber assessments-SpecificDate'!$F$508</definedName>
    <definedName name="LCHD" localSheetId="0">'Lumber Assessments-Latest price'!$F$509</definedName>
    <definedName name="LCHD" localSheetId="1">'Lumber assessments-SpecificDate'!$F$509</definedName>
    <definedName name="LCHE" localSheetId="0">'Lumber Assessments-Latest price'!$F$510</definedName>
    <definedName name="LCHE" localSheetId="1">'Lumber assessments-SpecificDate'!$F$510</definedName>
    <definedName name="LCHF" localSheetId="0">'Lumber Assessments-Latest price'!$F$511</definedName>
    <definedName name="LCHF" localSheetId="1">'Lumber assessments-SpecificDate'!$F$511</definedName>
    <definedName name="LCHG" localSheetId="0">'Lumber Assessments-Latest price'!$F$512</definedName>
    <definedName name="LCHG" localSheetId="1">'Lumber assessments-SpecificDate'!$F$512</definedName>
    <definedName name="LCHH" localSheetId="0">'Lumber Assessments-Latest price'!$F$513</definedName>
    <definedName name="LCHH" localSheetId="1">'Lumber assessments-SpecificDate'!$F$513</definedName>
    <definedName name="LCHI" localSheetId="0">'Lumber Assessments-Latest price'!$F$514</definedName>
    <definedName name="LCHI" localSheetId="1">'Lumber assessments-SpecificDate'!$F$514</definedName>
    <definedName name="LCHJ" localSheetId="0">'Lumber Assessments-Latest price'!$F$515</definedName>
    <definedName name="LCHJ" localSheetId="1">'Lumber assessments-SpecificDate'!$F$515</definedName>
    <definedName name="LCHK" localSheetId="0">'Lumber Assessments-Latest price'!$G$505</definedName>
    <definedName name="LCHK" localSheetId="1">'Lumber assessments-SpecificDate'!$G$505</definedName>
    <definedName name="LCHL" localSheetId="0">'Lumber Assessments-Latest price'!$G$506</definedName>
    <definedName name="LCHL" localSheetId="1">'Lumber assessments-SpecificDate'!$G$506</definedName>
    <definedName name="LCHM" localSheetId="0">'Lumber Assessments-Latest price'!$G$507</definedName>
    <definedName name="LCHM" localSheetId="1">'Lumber assessments-SpecificDate'!$G$507</definedName>
    <definedName name="LCHN" localSheetId="0">'Lumber Assessments-Latest price'!$G$508</definedName>
    <definedName name="LCHN" localSheetId="1">'Lumber assessments-SpecificDate'!$G$508</definedName>
    <definedName name="LCHO" localSheetId="0">'Lumber Assessments-Latest price'!$G$509</definedName>
    <definedName name="LCHO" localSheetId="1">'Lumber assessments-SpecificDate'!$G$509</definedName>
    <definedName name="LCHP" localSheetId="0">'Lumber Assessments-Latest price'!$G$510</definedName>
    <definedName name="LCHP" localSheetId="1">'Lumber assessments-SpecificDate'!$G$510</definedName>
    <definedName name="LCHQ" localSheetId="0">'Lumber Assessments-Latest price'!$G$511</definedName>
    <definedName name="LCHQ" localSheetId="1">'Lumber assessments-SpecificDate'!$G$511</definedName>
    <definedName name="LCHR" localSheetId="0">'Lumber Assessments-Latest price'!$G$512</definedName>
    <definedName name="LCHR" localSheetId="1">'Lumber assessments-SpecificDate'!$G$512</definedName>
    <definedName name="LCHS" localSheetId="0">'Lumber Assessments-Latest price'!$G$513</definedName>
    <definedName name="LCHS" localSheetId="1">'Lumber assessments-SpecificDate'!$G$513</definedName>
    <definedName name="LCHT" localSheetId="0">'Lumber Assessments-Latest price'!$G$514</definedName>
    <definedName name="LCHT" localSheetId="1">'Lumber assessments-SpecificDate'!$G$514</definedName>
    <definedName name="LCHU" localSheetId="0">'Lumber Assessments-Latest price'!$G$515</definedName>
    <definedName name="LCHU" localSheetId="1">'Lumber assessments-SpecificDate'!$G$515</definedName>
    <definedName name="LCHV" localSheetId="0">'Lumber Assessments-Latest price'!$H$505</definedName>
    <definedName name="LCHV" localSheetId="1">'Lumber assessments-SpecificDate'!$H$505</definedName>
    <definedName name="LCHW" localSheetId="0">'Lumber Assessments-Latest price'!$H$506</definedName>
    <definedName name="LCHW" localSheetId="1">'Lumber assessments-SpecificDate'!$H$506</definedName>
    <definedName name="LCHX" localSheetId="0">'Lumber Assessments-Latest price'!$H$507</definedName>
    <definedName name="LCHX" localSheetId="1">'Lumber assessments-SpecificDate'!$H$507</definedName>
    <definedName name="LCHY" localSheetId="0">'Lumber Assessments-Latest price'!$H$508</definedName>
    <definedName name="LCHY" localSheetId="1">'Lumber assessments-SpecificDate'!$H$508</definedName>
    <definedName name="LCHZ" localSheetId="0">'Lumber Assessments-Latest price'!$H$509</definedName>
    <definedName name="LCHZ" localSheetId="1">'Lumber assessments-SpecificDate'!$H$509</definedName>
    <definedName name="LCIA" localSheetId="0">'Lumber Assessments-Latest price'!$H$510</definedName>
    <definedName name="LCIA" localSheetId="1">'Lumber assessments-SpecificDate'!$H$510</definedName>
    <definedName name="LCIB" localSheetId="0">'Lumber Assessments-Latest price'!$H$511</definedName>
    <definedName name="LCIB" localSheetId="1">'Lumber assessments-SpecificDate'!$H$511</definedName>
    <definedName name="LCIC" localSheetId="0">'Lumber Assessments-Latest price'!$H$512</definedName>
    <definedName name="LCIC" localSheetId="1">'Lumber assessments-SpecificDate'!$H$512</definedName>
    <definedName name="LCID" localSheetId="0">'Lumber Assessments-Latest price'!$H$513</definedName>
    <definedName name="LCID" localSheetId="1">'Lumber assessments-SpecificDate'!$H$513</definedName>
    <definedName name="LCIE" localSheetId="0">'Lumber Assessments-Latest price'!$H$514</definedName>
    <definedName name="LCIE" localSheetId="1">'Lumber assessments-SpecificDate'!$H$514</definedName>
    <definedName name="LCIF" localSheetId="0">'Lumber Assessments-Latest price'!$H$515</definedName>
    <definedName name="LCIF" localSheetId="1">'Lumber assessments-SpecificDate'!$H$515</definedName>
    <definedName name="LCIG" localSheetId="0">'Lumber Assessments-Latest price'!$B$419</definedName>
    <definedName name="LCIG" localSheetId="1">'Lumber assessments-SpecificDate'!$B$419</definedName>
    <definedName name="LCIH" localSheetId="0">'Lumber Assessments-Latest price'!$B$420</definedName>
    <definedName name="LCIH" localSheetId="1">'Lumber assessments-SpecificDate'!$B$420</definedName>
    <definedName name="LCII" localSheetId="0">'Lumber Assessments-Latest price'!$B$421</definedName>
    <definedName name="LCII" localSheetId="1">'Lumber assessments-SpecificDate'!$B$421</definedName>
    <definedName name="LCIJ" localSheetId="0">'Lumber Assessments-Latest price'!$B$422</definedName>
    <definedName name="LCIJ" localSheetId="1">'Lumber assessments-SpecificDate'!$B$422</definedName>
    <definedName name="LCIK" localSheetId="0">'Lumber Assessments-Latest price'!$B$423</definedName>
    <definedName name="LCIK" localSheetId="1">'Lumber assessments-SpecificDate'!$B$423</definedName>
    <definedName name="LCIL" localSheetId="0">'Lumber Assessments-Latest price'!$C$419</definedName>
    <definedName name="LCIL" localSheetId="1">'Lumber assessments-SpecificDate'!$C$419</definedName>
    <definedName name="LCIM" localSheetId="0">'Lumber Assessments-Latest price'!$C$420</definedName>
    <definedName name="LCIM" localSheetId="1">'Lumber assessments-SpecificDate'!$C$420</definedName>
    <definedName name="LCIN" localSheetId="0">'Lumber Assessments-Latest price'!$C$421</definedName>
    <definedName name="LCIN" localSheetId="1">'Lumber assessments-SpecificDate'!$C$421</definedName>
    <definedName name="LCIO" localSheetId="0">'Lumber Assessments-Latest price'!$C$422</definedName>
    <definedName name="LCIO" localSheetId="1">'Lumber assessments-SpecificDate'!$C$422</definedName>
    <definedName name="LCIP" localSheetId="0">'Lumber Assessments-Latest price'!$C$423</definedName>
    <definedName name="LCIP" localSheetId="1">'Lumber assessments-SpecificDate'!$C$423</definedName>
    <definedName name="LCIQ" localSheetId="0">'Lumber Assessments-Latest price'!$C$424</definedName>
    <definedName name="LCIQ" localSheetId="1">'Lumber assessments-SpecificDate'!$C$424</definedName>
    <definedName name="LCIR" localSheetId="0">'Lumber Assessments-Latest price'!$D$419</definedName>
    <definedName name="LCIR" localSheetId="1">'Lumber assessments-SpecificDate'!$D$419</definedName>
    <definedName name="LCIS" localSheetId="0">'Lumber Assessments-Latest price'!$D$420</definedName>
    <definedName name="LCIS" localSheetId="1">'Lumber assessments-SpecificDate'!$D$420</definedName>
    <definedName name="LCIT" localSheetId="0">'Lumber Assessments-Latest price'!$D$421</definedName>
    <definedName name="LCIT" localSheetId="1">'Lumber assessments-SpecificDate'!$D$421</definedName>
    <definedName name="LCIU" localSheetId="0">'Lumber Assessments-Latest price'!$D$422</definedName>
    <definedName name="LCIU" localSheetId="1">'Lumber assessments-SpecificDate'!$D$422</definedName>
    <definedName name="LCIV" localSheetId="0">'Lumber Assessments-Latest price'!$D$423</definedName>
    <definedName name="LCIV" localSheetId="1">'Lumber assessments-SpecificDate'!$D$423</definedName>
    <definedName name="LCIW" localSheetId="0">'Lumber Assessments-Latest price'!$D$424</definedName>
    <definedName name="LCIW" localSheetId="1">'Lumber assessments-SpecificDate'!$D$424</definedName>
    <definedName name="LCIX" localSheetId="0">'Lumber Assessments-Latest price'!$E$419</definedName>
    <definedName name="LCIX" localSheetId="1">'Lumber assessments-SpecificDate'!$E$419</definedName>
    <definedName name="LCIY" localSheetId="0">'Lumber Assessments-Latest price'!$E$420</definedName>
    <definedName name="LCIY" localSheetId="1">'Lumber assessments-SpecificDate'!$E$420</definedName>
    <definedName name="LCIZ" localSheetId="0">'Lumber Assessments-Latest price'!$E$421</definedName>
    <definedName name="LCIZ" localSheetId="1">'Lumber assessments-SpecificDate'!$E$421</definedName>
    <definedName name="LCJA" localSheetId="0">'Lumber Assessments-Latest price'!$E$422</definedName>
    <definedName name="LCJA" localSheetId="1">'Lumber assessments-SpecificDate'!$E$422</definedName>
    <definedName name="LCJB" localSheetId="0">'Lumber Assessments-Latest price'!$E$423</definedName>
    <definedName name="LCJB" localSheetId="1">'Lumber assessments-SpecificDate'!$E$423</definedName>
    <definedName name="LCJC" localSheetId="0">'Lumber Assessments-Latest price'!$F$419</definedName>
    <definedName name="LCJC" localSheetId="1">'Lumber assessments-SpecificDate'!$F$419</definedName>
    <definedName name="LCJD" localSheetId="0">'Lumber Assessments-Latest price'!$F$420</definedName>
    <definedName name="LCJD" localSheetId="1">'Lumber assessments-SpecificDate'!$F$420</definedName>
    <definedName name="LCJE" localSheetId="0">'Lumber Assessments-Latest price'!$F$421</definedName>
    <definedName name="LCJE" localSheetId="1">'Lumber assessments-SpecificDate'!$F$421</definedName>
    <definedName name="LCJF" localSheetId="0">'Lumber Assessments-Latest price'!$F$422</definedName>
    <definedName name="LCJF" localSheetId="1">'Lumber assessments-SpecificDate'!$F$422</definedName>
    <definedName name="LCJG" localSheetId="0">'Lumber Assessments-Latest price'!$F$423</definedName>
    <definedName name="LCJG" localSheetId="1">'Lumber assessments-SpecificDate'!$F$423</definedName>
    <definedName name="LCJH" localSheetId="0">'Lumber Assessments-Latest price'!$K$419</definedName>
    <definedName name="LCJH" localSheetId="1">'Lumber assessments-SpecificDate'!$K$419</definedName>
    <definedName name="LCJI" localSheetId="0">'Lumber Assessments-Latest price'!$K$420</definedName>
    <definedName name="LCJI" localSheetId="1">'Lumber assessments-SpecificDate'!$K$420</definedName>
    <definedName name="LCJJ" localSheetId="0">'Lumber Assessments-Latest price'!$K$421</definedName>
    <definedName name="LCJJ" localSheetId="1">'Lumber assessments-SpecificDate'!$K$421</definedName>
    <definedName name="LCJK" localSheetId="0">'Lumber Assessments-Latest price'!$K$423</definedName>
    <definedName name="LCJK" localSheetId="1">'Lumber assessments-SpecificDate'!$K$423</definedName>
    <definedName name="LCJL" localSheetId="0">'Lumber Assessments-Latest price'!$K$424</definedName>
    <definedName name="LCJL" localSheetId="1">'Lumber assessments-SpecificDate'!$K$424</definedName>
    <definedName name="LCJM" localSheetId="0">'Lumber Assessments-Latest price'!$K$425</definedName>
    <definedName name="LCJM" localSheetId="1">'Lumber assessments-SpecificDate'!$K$425</definedName>
    <definedName name="LCJN" localSheetId="0">'Lumber Assessments-Latest price'!$K$426</definedName>
    <definedName name="LCJN" localSheetId="1">'Lumber assessments-SpecificDate'!$K$426</definedName>
    <definedName name="LCJO" localSheetId="0">'Lumber Assessments-Latest price'!$L$419</definedName>
    <definedName name="LCJO" localSheetId="1">'Lumber assessments-SpecificDate'!$L$419</definedName>
    <definedName name="LCJP" localSheetId="0">'Lumber Assessments-Latest price'!$L$420</definedName>
    <definedName name="LCJP" localSheetId="1">'Lumber assessments-SpecificDate'!$L$420</definedName>
    <definedName name="LCJQ" localSheetId="0">'Lumber Assessments-Latest price'!$L$421</definedName>
    <definedName name="LCJQ" localSheetId="1">'Lumber assessments-SpecificDate'!$L$421</definedName>
    <definedName name="LCJR" localSheetId="0">'Lumber Assessments-Latest price'!$L$423</definedName>
    <definedName name="LCJR" localSheetId="1">'Lumber assessments-SpecificDate'!$L$423</definedName>
    <definedName name="LCJS" localSheetId="0">'Lumber Assessments-Latest price'!$L$424</definedName>
    <definedName name="LCJS" localSheetId="1">'Lumber assessments-SpecificDate'!$L$424</definedName>
    <definedName name="LCJT" localSheetId="0">'Lumber Assessments-Latest price'!$L$425</definedName>
    <definedName name="LCJT" localSheetId="1">'Lumber assessments-SpecificDate'!$L$425</definedName>
    <definedName name="LCJU" localSheetId="0">'Lumber Assessments-Latest price'!$L$426</definedName>
    <definedName name="LCJU" localSheetId="1">'Lumber assessments-SpecificDate'!$L$426</definedName>
    <definedName name="LCJV" localSheetId="0">'Lumber Assessments-Latest price'!$L$427</definedName>
    <definedName name="LCJV" localSheetId="1">'Lumber assessments-SpecificDate'!$L$427</definedName>
    <definedName name="LCJW" localSheetId="0">'Lumber Assessments-Latest price'!$M$419</definedName>
    <definedName name="LCJW" localSheetId="1">'Lumber assessments-SpecificDate'!$M$419</definedName>
    <definedName name="LCJX" localSheetId="0">'Lumber Assessments-Latest price'!$M$420</definedName>
    <definedName name="LCJX" localSheetId="1">'Lumber assessments-SpecificDate'!$M$420</definedName>
    <definedName name="LCJY" localSheetId="0">'Lumber Assessments-Latest price'!$M$421</definedName>
    <definedName name="LCJY" localSheetId="1">'Lumber assessments-SpecificDate'!$M$421</definedName>
    <definedName name="LCJZ" localSheetId="0">'Lumber Assessments-Latest price'!$M$423</definedName>
    <definedName name="LCJZ" localSheetId="1">'Lumber assessments-SpecificDate'!$M$423</definedName>
    <definedName name="LCKA" localSheetId="0">'Lumber Assessments-Latest price'!$M$424</definedName>
    <definedName name="LCKA" localSheetId="1">'Lumber assessments-SpecificDate'!$M$424</definedName>
    <definedName name="LCKB" localSheetId="0">'Lumber Assessments-Latest price'!$M$425</definedName>
    <definedName name="LCKB" localSheetId="1">'Lumber assessments-SpecificDate'!$M$425</definedName>
    <definedName name="LCKC" localSheetId="0">'Lumber Assessments-Latest price'!$M$426</definedName>
    <definedName name="LCKC" localSheetId="1">'Lumber assessments-SpecificDate'!$M$426</definedName>
    <definedName name="LCKD" localSheetId="0">'Lumber Assessments-Latest price'!$M$427</definedName>
    <definedName name="LCKD" localSheetId="1">'Lumber assessments-SpecificDate'!$M$427</definedName>
    <definedName name="LCKE" localSheetId="0">'Lumber Assessments-Latest price'!$N$419</definedName>
    <definedName name="LCKE" localSheetId="1">'Lumber assessments-SpecificDate'!$N$419</definedName>
    <definedName name="LCKF" localSheetId="0">'Lumber Assessments-Latest price'!$N$420</definedName>
    <definedName name="LCKF" localSheetId="1">'Lumber assessments-SpecificDate'!$N$420</definedName>
    <definedName name="LCKG" localSheetId="0">'Lumber Assessments-Latest price'!$N$421</definedName>
    <definedName name="LCKG" localSheetId="1">'Lumber assessments-SpecificDate'!$N$421</definedName>
    <definedName name="LCKH" localSheetId="0">'Lumber Assessments-Latest price'!$N$423</definedName>
    <definedName name="LCKH" localSheetId="1">'Lumber assessments-SpecificDate'!$N$423</definedName>
    <definedName name="LCKI" localSheetId="0">'Lumber Assessments-Latest price'!$N$424</definedName>
    <definedName name="LCKI" localSheetId="1">'Lumber assessments-SpecificDate'!$N$424</definedName>
    <definedName name="LCKJ" localSheetId="0">'Lumber Assessments-Latest price'!$N$425</definedName>
    <definedName name="LCKJ" localSheetId="1">'Lumber assessments-SpecificDate'!$N$425</definedName>
    <definedName name="LCKK" localSheetId="0">'Lumber Assessments-Latest price'!$N$426</definedName>
    <definedName name="LCKK" localSheetId="1">'Lumber assessments-SpecificDate'!$N$426</definedName>
    <definedName name="LCKL" localSheetId="0">'Lumber Assessments-Latest price'!$O$419</definedName>
    <definedName name="LCKL" localSheetId="1">'Lumber assessments-SpecificDate'!$O$419</definedName>
    <definedName name="LCKM" localSheetId="0">'Lumber Assessments-Latest price'!$O$420</definedName>
    <definedName name="LCKM" localSheetId="1">'Lumber assessments-SpecificDate'!$O$420</definedName>
    <definedName name="LCKN" localSheetId="0">'Lumber Assessments-Latest price'!$O$421</definedName>
    <definedName name="LCKN" localSheetId="1">'Lumber assessments-SpecificDate'!$O$421</definedName>
    <definedName name="LCKO" localSheetId="0">'Lumber Assessments-Latest price'!$O$423</definedName>
    <definedName name="LCKO" localSheetId="1">'Lumber assessments-SpecificDate'!$O$423</definedName>
    <definedName name="LCKP" localSheetId="0">'Lumber Assessments-Latest price'!$O$424</definedName>
    <definedName name="LCKP" localSheetId="1">'Lumber assessments-SpecificDate'!$O$424</definedName>
    <definedName name="LCKQ" localSheetId="0">'Lumber Assessments-Latest price'!$O$425</definedName>
    <definedName name="LCKQ" localSheetId="1">'Lumber assessments-SpecificDate'!$O$425</definedName>
    <definedName name="LCKR" localSheetId="0">'Lumber Assessments-Latest price'!$O$426</definedName>
    <definedName name="LCKR" localSheetId="1">'Lumber assessments-SpecificDate'!$O$426</definedName>
    <definedName name="LCKS" localSheetId="0">'Lumber Assessments-Latest price'!$D$263</definedName>
    <definedName name="LCKS" localSheetId="1">'Lumber assessments-SpecificDate'!$D$263</definedName>
    <definedName name="LCKT" localSheetId="0">'Lumber Assessments-Latest price'!$I$263</definedName>
    <definedName name="LCKT" localSheetId="1">'Lumber assessments-SpecificDate'!$I$263</definedName>
    <definedName name="LCKU" localSheetId="0">'Lumber Assessments-Latest price'!$M$263</definedName>
    <definedName name="LCKU" localSheetId="1">'Lumber assessments-SpecificDate'!$M$263</definedName>
    <definedName name="LCKV" localSheetId="0">'Lumber Assessments-Latest price'!$C$128</definedName>
    <definedName name="LCKV" localSheetId="1">'Lumber assessments-SpecificDate'!$C$128</definedName>
    <definedName name="LCKW" localSheetId="0">'Lumber Assessments-Latest price'!$C$130</definedName>
    <definedName name="LCKW" localSheetId="1">'Lumber assessments-SpecificDate'!$C$130</definedName>
    <definedName name="LCKX" localSheetId="0">'Lumber Assessments-Latest price'!$C$131</definedName>
    <definedName name="LCKX" localSheetId="1">'Lumber assessments-SpecificDate'!$C$131</definedName>
    <definedName name="LCKY" localSheetId="0">'Lumber Assessments-Latest price'!$C$132</definedName>
    <definedName name="LCKY" localSheetId="1">'Lumber assessments-SpecificDate'!$C$132</definedName>
    <definedName name="LCKZ" localSheetId="0">'Lumber Assessments-Latest price'!$C$133</definedName>
    <definedName name="LCKZ" localSheetId="1">'Lumber assessments-SpecificDate'!$C$133</definedName>
    <definedName name="LCLA" localSheetId="0">'Lumber Assessments-Latest price'!$B$345</definedName>
    <definedName name="LCLA" localSheetId="1">'Lumber assessments-SpecificDate'!$B$345</definedName>
    <definedName name="LCLB" localSheetId="0">'Lumber Assessments-Latest price'!$B$346</definedName>
    <definedName name="LCLB" localSheetId="1">'Lumber assessments-SpecificDate'!$B$346</definedName>
    <definedName name="LCLC" localSheetId="0">'Lumber Assessments-Latest price'!$D$110</definedName>
    <definedName name="LCLC" localSheetId="1">'Lumber assessments-SpecificDate'!$D$110</definedName>
    <definedName name="LCLD" localSheetId="0">'Lumber Assessments-Latest price'!$L$115</definedName>
    <definedName name="LCLD" localSheetId="1">'Lumber assessments-SpecificDate'!$L$115</definedName>
    <definedName name="LCLE" localSheetId="0">'Lumber Assessments-Latest price'!$H$158</definedName>
    <definedName name="LCLE" localSheetId="1">'Lumber assessments-SpecificDate'!$H$158</definedName>
    <definedName name="LCLF" localSheetId="0">'Lumber Assessments-Latest price'!$I$158</definedName>
    <definedName name="LCLF" localSheetId="1">'Lumber assessments-SpecificDate'!$I$158</definedName>
    <definedName name="LCLG" localSheetId="0">'Lumber Assessments-Latest price'!$J$158</definedName>
    <definedName name="LCLG" localSheetId="1">'Lumber assessments-SpecificDate'!$J$158</definedName>
    <definedName name="LCLH" localSheetId="0">'Lumber Assessments-Latest price'!$G$438</definedName>
    <definedName name="LCLH" localSheetId="1">'Lumber assessments-SpecificDate'!$G$438</definedName>
    <definedName name="LCLI" localSheetId="0">'Lumber Assessments-Latest price'!$B$129</definedName>
    <definedName name="LCLI" localSheetId="1">'Lumber assessments-SpecificDate'!$B$129</definedName>
    <definedName name="LCLJ" localSheetId="0">'Lumber Assessments-Latest price'!$C$129</definedName>
    <definedName name="LCLJ" localSheetId="1">'Lumber assessments-SpecificDate'!$C$129</definedName>
    <definedName name="LCLK" localSheetId="0">'Lumber Assessments-Latest price'!$D$129</definedName>
    <definedName name="LCLK" localSheetId="1">'Lumber assessments-SpecificDate'!$D$129</definedName>
    <definedName name="LCLL" localSheetId="0">'Lumber Assessments-Latest price'!$M$233</definedName>
    <definedName name="LCLL" localSheetId="1">'Lumber assessments-SpecificDate'!$M$233</definedName>
    <definedName name="LCLM" localSheetId="0">'Lumber Assessments-Latest price'!$O$233</definedName>
    <definedName name="LCLM" localSheetId="1">'Lumber assessments-SpecificDate'!$O$233</definedName>
    <definedName name="LCLN" localSheetId="0">'Lumber Assessments-Latest price'!$Q$233</definedName>
    <definedName name="LCLN" localSheetId="1">'Lumber assessments-SpecificDate'!$Q$233</definedName>
    <definedName name="LCLO" localSheetId="0">'Lumber Assessments-Latest price'!$S$233</definedName>
    <definedName name="LCLO" localSheetId="1">'Lumber assessments-SpecificDate'!$S$233</definedName>
    <definedName name="LCLP" localSheetId="0">'Lumber Assessments-Latest price'!$U$233</definedName>
    <definedName name="LCLP" localSheetId="1">'Lumber assessments-SpecificDate'!$U$233</definedName>
    <definedName name="LCLQ" localSheetId="0">'Lumber Assessments-Latest price'!$C$431</definedName>
    <definedName name="LCLQ" localSheetId="1">'Lumber assessments-SpecificDate'!$C$431</definedName>
    <definedName name="LCLR" localSheetId="0">'Lumber Assessments-Latest price'!$D$431</definedName>
    <definedName name="LCLR" localSheetId="1">'Lumber assessments-SpecificDate'!$D$431</definedName>
    <definedName name="LCLS" localSheetId="0">'Lumber Assessments-Latest price'!$P$138</definedName>
    <definedName name="LCLS" localSheetId="1">'Lumber assessments-SpecificDate'!$P$138</definedName>
    <definedName name="LCLT" localSheetId="0">'Lumber Assessments-Latest price'!$P$139</definedName>
    <definedName name="LCLT" localSheetId="1">'Lumber assessments-SpecificDate'!$P$139</definedName>
    <definedName name="LCLU" localSheetId="0">'Lumber Assessments-Latest price'!$P$140</definedName>
    <definedName name="LCLU" localSheetId="1">'Lumber assessments-SpecificDate'!$P$140</definedName>
    <definedName name="LCLW" localSheetId="0">'Lumber Assessments-Latest price'!$J$258</definedName>
    <definedName name="LCLW" localSheetId="1">'Lumber assessments-SpecificDate'!$J$258</definedName>
    <definedName name="LCLX" localSheetId="0">'Lumber Assessments-Latest price'!$F$258</definedName>
    <definedName name="LCLX" localSheetId="1">'Lumber assessments-SpecificDate'!$F$258</definedName>
    <definedName name="LCLY" localSheetId="0">'Lumber Assessments-Latest price'!$O$258</definedName>
    <definedName name="LCLY" localSheetId="1">'Lumber assessments-SpecificDate'!$O$258</definedName>
    <definedName name="LCLZ" localSheetId="0">'Lumber Assessments-Latest price'!$G$148</definedName>
    <definedName name="LCLZ" localSheetId="1">'Lumber assessments-SpecificDate'!$G$148</definedName>
    <definedName name="LCMA" localSheetId="0">'Lumber Assessments-Latest price'!$B$251</definedName>
    <definedName name="LCMA" localSheetId="1">'Lumber assessments-SpecificDate'!$B$251</definedName>
    <definedName name="LCMB" localSheetId="0">'Lumber Assessments-Latest price'!$C$251</definedName>
    <definedName name="LCMB" localSheetId="1">'Lumber assessments-SpecificDate'!$C$251</definedName>
    <definedName name="LCMC" localSheetId="0">'Lumber Assessments-Latest price'!$D$251</definedName>
    <definedName name="LCMC" localSheetId="1">'Lumber assessments-SpecificDate'!$D$251</definedName>
    <definedName name="LCMD" localSheetId="0">'Lumber Assessments-Latest price'!$E$251</definedName>
    <definedName name="LCMD" localSheetId="1">'Lumber assessments-SpecificDate'!$E$251</definedName>
    <definedName name="LCME" localSheetId="0">'Lumber Assessments-Latest price'!$G$251</definedName>
    <definedName name="LCME" localSheetId="1">'Lumber assessments-SpecificDate'!$G$251</definedName>
    <definedName name="LCMF" localSheetId="0">'Lumber Assessments-Latest price'!$H$251</definedName>
    <definedName name="LCMF" localSheetId="1">'Lumber assessments-SpecificDate'!$H$251</definedName>
    <definedName name="LCMG" localSheetId="0">'Lumber Assessments-Latest price'!$I$251</definedName>
    <definedName name="LCMG" localSheetId="1">'Lumber assessments-SpecificDate'!$I$251</definedName>
    <definedName name="LCMH" localSheetId="0">'Lumber Assessments-Latest price'!$K$251</definedName>
    <definedName name="LCMH" localSheetId="1">'Lumber assessments-SpecificDate'!$K$251</definedName>
    <definedName name="LCMI" localSheetId="0">'Lumber Assessments-Latest price'!$L$251</definedName>
    <definedName name="LCMI" localSheetId="1">'Lumber assessments-SpecificDate'!$L$251</definedName>
    <definedName name="LCMJ" localSheetId="0">'Lumber Assessments-Latest price'!$M$251</definedName>
    <definedName name="LCMJ" localSheetId="1">'Lumber assessments-SpecificDate'!$M$251</definedName>
    <definedName name="LCMK" localSheetId="0">'Lumber Assessments-Latest price'!$N$251</definedName>
    <definedName name="LCMK" localSheetId="1">'Lumber assessments-SpecificDate'!$N$251</definedName>
    <definedName name="LCML" localSheetId="0">'Lumber Assessments-Latest price'!$Q$145</definedName>
    <definedName name="LCML" localSheetId="1">'Lumber assessments-SpecificDate'!$Q$145</definedName>
    <definedName name="LCMM" localSheetId="0">'Lumber Assessments-Latest price'!$Q$146</definedName>
    <definedName name="LCMM" localSheetId="1">'Lumber assessments-SpecificDate'!$Q$146</definedName>
    <definedName name="LCMN" localSheetId="0">'Lumber Assessments-Latest price'!$Q$147</definedName>
    <definedName name="LCMN" localSheetId="1">'Lumber assessments-SpecificDate'!$Q$147</definedName>
    <definedName name="LCMO" localSheetId="0">'Lumber Assessments-Latest price'!$Q$148</definedName>
    <definedName name="LCMO" localSheetId="1">'Lumber assessments-SpecificDate'!$Q$148</definedName>
    <definedName name="LCMP" localSheetId="0">'Lumber Assessments-Latest price'!$Q$149</definedName>
    <definedName name="LCMP" localSheetId="1">'Lumber assessments-SpecificDate'!$Q$149</definedName>
    <definedName name="LCMQ" localSheetId="0">'Lumber Assessments-Latest price'!$Q$150</definedName>
    <definedName name="LCMQ" localSheetId="1">'Lumber assessments-SpecificDate'!$Q$150</definedName>
    <definedName name="LCMR" localSheetId="0">'Lumber Assessments-Latest price'!$D$120</definedName>
    <definedName name="LCMR" localSheetId="1">'Lumber assessments-SpecificDate'!$D$120</definedName>
    <definedName name="LCMS" localSheetId="0">'Lumber Assessments-Latest price'!$E$120</definedName>
    <definedName name="LCMS" localSheetId="1">'Lumber assessments-SpecificDate'!$E$120</definedName>
    <definedName name="LCMT" localSheetId="0">'Lumber Assessments-Latest price'!$I$337</definedName>
    <definedName name="LCMT" localSheetId="1">'Lumber assessments-SpecificDate'!$I$337</definedName>
    <definedName name="LCMV" localSheetId="0">'Lumber Assessments-Latest price'!$J$337</definedName>
    <definedName name="LCMV" localSheetId="1">'Lumber assessments-SpecificDate'!$J$337</definedName>
    <definedName name="LCMW" localSheetId="0">'Lumber Assessments-Latest price'!$I$338</definedName>
    <definedName name="LCMW" localSheetId="1">'Lumber assessments-SpecificDate'!$I$338</definedName>
    <definedName name="LCMX" localSheetId="0">'Lumber Assessments-Latest price'!$J$338</definedName>
    <definedName name="LCMX" localSheetId="1">'Lumber assessments-SpecificDate'!$J$338</definedName>
    <definedName name="LCMY" localSheetId="0">'Lumber Assessments-Latest price'!$K$337</definedName>
    <definedName name="LCMY" localSheetId="1">'Lumber assessments-SpecificDate'!$K$337</definedName>
    <definedName name="LCMZ" localSheetId="0">'Lumber Assessments-Latest price'!$K$338</definedName>
    <definedName name="LCMZ" localSheetId="1">'Lumber assessments-SpecificDate'!$K$338</definedName>
    <definedName name="LCNA" localSheetId="0">'Lumber Assessments-Latest price'!$L$337</definedName>
    <definedName name="LCNA" localSheetId="1">'Lumber assessments-SpecificDate'!$L$337</definedName>
    <definedName name="LCNB" localSheetId="0">'Lumber Assessments-Latest price'!$L$338</definedName>
    <definedName name="LCNB" localSheetId="1">'Lumber assessments-SpecificDate'!$L$338</definedName>
    <definedName name="LCNC" localSheetId="0">'Lumber Assessments-Latest price'!$M$337</definedName>
    <definedName name="LCNC" localSheetId="1">'Lumber assessments-SpecificDate'!$M$337</definedName>
    <definedName name="LCND" localSheetId="0">'Lumber Assessments-Latest price'!$M$338</definedName>
    <definedName name="LCND" localSheetId="1">'Lumber assessments-SpecificDate'!$M$338</definedName>
    <definedName name="LCNE" localSheetId="0">'Lumber Assessments-Latest price'!$I$340</definedName>
    <definedName name="LCNE" localSheetId="1">'Lumber assessments-SpecificDate'!$I$340</definedName>
    <definedName name="LCNF" localSheetId="0">'Lumber Assessments-Latest price'!$I$341</definedName>
    <definedName name="LCNF" localSheetId="1">'Lumber assessments-SpecificDate'!$I$341</definedName>
    <definedName name="LCNG" localSheetId="0">'Lumber Assessments-Latest price'!$J$340</definedName>
    <definedName name="LCNG" localSheetId="1">'Lumber assessments-SpecificDate'!$J$340</definedName>
    <definedName name="LCNH" localSheetId="0">'Lumber Assessments-Latest price'!$J$341</definedName>
    <definedName name="LCNH" localSheetId="1">'Lumber assessments-SpecificDate'!$J$341</definedName>
    <definedName name="LCNI" localSheetId="0">'Lumber Assessments-Latest price'!$K$340</definedName>
    <definedName name="LCNI" localSheetId="1">'Lumber assessments-SpecificDate'!$K$340</definedName>
    <definedName name="LCNJ" localSheetId="0">'Lumber Assessments-Latest price'!$K$341</definedName>
    <definedName name="LCNJ" localSheetId="1">'Lumber assessments-SpecificDate'!$K$341</definedName>
    <definedName name="LCNK" localSheetId="0">'Lumber Assessments-Latest price'!$L$340</definedName>
    <definedName name="LCNK" localSheetId="1">'Lumber assessments-SpecificDate'!$L$340</definedName>
    <definedName name="LCNL" localSheetId="0">'Lumber Assessments-Latest price'!$L$341</definedName>
    <definedName name="LCNL" localSheetId="1">'Lumber assessments-SpecificDate'!$L$341</definedName>
    <definedName name="LCNM" localSheetId="0">'Lumber Assessments-Latest price'!$M$340</definedName>
    <definedName name="LCNM" localSheetId="1">'Lumber assessments-SpecificDate'!$M$340</definedName>
    <definedName name="LCNN" localSheetId="0">'Lumber Assessments-Latest price'!$M$341</definedName>
    <definedName name="LCNN" localSheetId="1">'Lumber assessments-SpecificDate'!$M$341</definedName>
    <definedName name="LCNO" localSheetId="0">'Lumber Assessments-Latest price'!$B$442</definedName>
    <definedName name="LCNO" localSheetId="1">'Lumber assessments-SpecificDate'!$B$442</definedName>
    <definedName name="LCNP" localSheetId="0">'Lumber Assessments-Latest price'!$C$442</definedName>
    <definedName name="LCNP" localSheetId="1">'Lumber assessments-SpecificDate'!$C$442</definedName>
    <definedName name="LCNQ" localSheetId="0">'Lumber Assessments-Latest price'!$D$442</definedName>
    <definedName name="LCNQ" localSheetId="1">'Lumber assessments-SpecificDate'!$D$442</definedName>
    <definedName name="LCNR" localSheetId="0">'Lumber Assessments-Latest price'!$E$442</definedName>
    <definedName name="LCNR" localSheetId="1">'Lumber assessments-SpecificDate'!$E$442</definedName>
    <definedName name="LCNS" localSheetId="0">'Lumber Assessments-Latest price'!$F$442</definedName>
    <definedName name="LCNS" localSheetId="1">'Lumber assessments-SpecificDate'!$F$442</definedName>
    <definedName name="LCNT" localSheetId="0">'Lumber Assessments-Latest price'!$B$443</definedName>
    <definedName name="LCNT" localSheetId="1">'Lumber assessments-SpecificDate'!$B$443</definedName>
    <definedName name="LCNU" localSheetId="0">'Lumber Assessments-Latest price'!$C$443</definedName>
    <definedName name="LCNU" localSheetId="1">'Lumber assessments-SpecificDate'!$C$443</definedName>
    <definedName name="LCNV" localSheetId="0">'Lumber Assessments-Latest price'!$D$443</definedName>
    <definedName name="LCNV" localSheetId="1">'Lumber assessments-SpecificDate'!$D$443</definedName>
    <definedName name="LCNW" localSheetId="0">'Lumber Assessments-Latest price'!$E$443</definedName>
    <definedName name="LCNW" localSheetId="1">'Lumber assessments-SpecificDate'!$E$443</definedName>
    <definedName name="LCNX" localSheetId="0">'Lumber Assessments-Latest price'!$F$443</definedName>
    <definedName name="LCNX" localSheetId="1">'Lumber assessments-SpecificDate'!$F$443</definedName>
    <definedName name="LCNY" localSheetId="0">'Lumber Assessments-Latest price'!$B$444</definedName>
    <definedName name="LCNY" localSheetId="1">'Lumber assessments-SpecificDate'!$B$444</definedName>
    <definedName name="LCNZ" localSheetId="0">'Lumber Assessments-Latest price'!$C$444</definedName>
    <definedName name="LCNZ" localSheetId="1">'Lumber assessments-SpecificDate'!$C$444</definedName>
    <definedName name="LCOA" localSheetId="0">'Lumber Assessments-Latest price'!$D$444</definedName>
    <definedName name="LCOA" localSheetId="1">'Lumber assessments-SpecificDate'!$D$444</definedName>
    <definedName name="LCOB" localSheetId="0">'Lumber Assessments-Latest price'!$E$444</definedName>
    <definedName name="LCOB" localSheetId="1">'Lumber assessments-SpecificDate'!$E$444</definedName>
    <definedName name="LCOC" localSheetId="0">'Lumber Assessments-Latest price'!$F$444</definedName>
    <definedName name="LCOC" localSheetId="1">'Lumber assessments-SpecificDate'!$F$444</definedName>
    <definedName name="LCOD" localSheetId="0">'Lumber Assessments-Latest price'!$B$446</definedName>
    <definedName name="LCOD" localSheetId="1">'Lumber assessments-SpecificDate'!$B$446</definedName>
    <definedName name="LCOE" localSheetId="0">'Lumber Assessments-Latest price'!$C$446</definedName>
    <definedName name="LCOE" localSheetId="1">'Lumber assessments-SpecificDate'!$C$446</definedName>
    <definedName name="LCOF" localSheetId="0">'Lumber Assessments-Latest price'!$D$446</definedName>
    <definedName name="LCOF" localSheetId="1">'Lumber assessments-SpecificDate'!$D$446</definedName>
    <definedName name="LCOG" localSheetId="0">'Lumber Assessments-Latest price'!$E$446</definedName>
    <definedName name="LCOG" localSheetId="1">'Lumber assessments-SpecificDate'!$E$446</definedName>
    <definedName name="LCOH" localSheetId="0">'Lumber Assessments-Latest price'!$F$446</definedName>
    <definedName name="LCOH" localSheetId="1">'Lumber assessments-SpecificDate'!$F$446</definedName>
    <definedName name="LCOI" localSheetId="0">'Lumber Assessments-Latest price'!$B$447</definedName>
    <definedName name="LCOI" localSheetId="1">'Lumber assessments-SpecificDate'!$B$447</definedName>
    <definedName name="LCOJ" localSheetId="0">'Lumber Assessments-Latest price'!$C$447</definedName>
    <definedName name="LCOJ" localSheetId="1">'Lumber assessments-SpecificDate'!$C$447</definedName>
    <definedName name="LCOK" localSheetId="0">'Lumber Assessments-Latest price'!$D$447</definedName>
    <definedName name="LCOK" localSheetId="1">'Lumber assessments-SpecificDate'!$D$447</definedName>
    <definedName name="LCOL" localSheetId="0">'Lumber Assessments-Latest price'!$E$447</definedName>
    <definedName name="LCOL" localSheetId="1">'Lumber assessments-SpecificDate'!$E$447</definedName>
    <definedName name="LCOM" localSheetId="0">'Lumber Assessments-Latest price'!$F$447</definedName>
    <definedName name="LCOM" localSheetId="1">'Lumber assessments-SpecificDate'!$F$447</definedName>
    <definedName name="LCON" localSheetId="0">'Lumber Assessments-Latest price'!$B$448</definedName>
    <definedName name="LCON" localSheetId="1">'Lumber assessments-SpecificDate'!$B$448</definedName>
    <definedName name="LCOO" localSheetId="0">'Lumber Assessments-Latest price'!$C$448</definedName>
    <definedName name="LCOO" localSheetId="1">'Lumber assessments-SpecificDate'!$C$448</definedName>
    <definedName name="LCOP" localSheetId="0">'Lumber Assessments-Latest price'!$D$448</definedName>
    <definedName name="LCOP" localSheetId="1">'Lumber assessments-SpecificDate'!$D$448</definedName>
    <definedName name="LCOQ" localSheetId="0">'Lumber Assessments-Latest price'!$E$448</definedName>
    <definedName name="LCOQ" localSheetId="1">'Lumber assessments-SpecificDate'!$E$448</definedName>
    <definedName name="LCOR" localSheetId="0">'Lumber Assessments-Latest price'!$F$448</definedName>
    <definedName name="LCOR" localSheetId="1">'Lumber assessments-SpecificDate'!$F$448</definedName>
    <definedName name="LCOW" localSheetId="0">'Lumber Assessments-Latest price'!$G$359</definedName>
    <definedName name="LCOW" localSheetId="1">'Lumber assessments-SpecificDate'!$G$359</definedName>
    <definedName name="LCOX" localSheetId="0">'Lumber Assessments-Latest price'!$M$447</definedName>
    <definedName name="LCOX" localSheetId="1">'Lumber assessments-SpecificDate'!$M$447</definedName>
    <definedName name="LCOY" localSheetId="0">'Lumber Assessments-Latest price'!$M$448</definedName>
    <definedName name="LCOY" localSheetId="1">'Lumber assessments-SpecificDate'!$M$448</definedName>
    <definedName name="LCOZ" localSheetId="0">'Lumber Assessments-Latest price'!$M$449</definedName>
    <definedName name="LCOZ" localSheetId="1">'Lumber assessments-SpecificDate'!$M$449</definedName>
    <definedName name="LCPA" localSheetId="0">'Lumber Assessments-Latest price'!$L$442</definedName>
    <definedName name="LCPA" localSheetId="1">'Lumber assessments-SpecificDate'!$L$442</definedName>
    <definedName name="LCPB" localSheetId="0">'Lumber Assessments-Latest price'!$N$146</definedName>
    <definedName name="LCPB" localSheetId="1">'Lumber assessments-SpecificDate'!$N$146</definedName>
    <definedName name="LCPC" localSheetId="0">'Lumber Assessments-Latest price'!$N$148</definedName>
    <definedName name="LCPC" localSheetId="1">'Lumber assessments-SpecificDate'!$N$148</definedName>
    <definedName name="LCPD" localSheetId="0">'Lumber Assessments-Latest price'!$N$151</definedName>
    <definedName name="LCPD" localSheetId="1">'Lumber assessments-SpecificDate'!$N$151</definedName>
    <definedName name="LCPE" localSheetId="0">'Lumber Assessments-Latest price'!$N$153</definedName>
    <definedName name="LCPE" localSheetId="1">'Lumber assessments-SpecificDate'!$N$153</definedName>
    <definedName name="LCPF" localSheetId="0">'Lumber Assessments-Latest price'!$N$156</definedName>
    <definedName name="LCPF" localSheetId="1">'Lumber assessments-SpecificDate'!$N$156</definedName>
    <definedName name="LCPG" localSheetId="0">'Lumber Assessments-Latest price'!$N$158</definedName>
    <definedName name="LCPG" localSheetId="1">'Lumber assessments-SpecificDate'!$N$158</definedName>
    <definedName name="LCPH" localSheetId="0">'Lumber Assessments-Latest price'!$R$110</definedName>
    <definedName name="LCPH" localSheetId="1">'Lumber assessments-SpecificDate'!$R$110</definedName>
    <definedName name="LCPI" localSheetId="0">'Lumber Assessments-Latest price'!$R$111</definedName>
    <definedName name="LCPI" localSheetId="1">'Lumber assessments-SpecificDate'!$R$111</definedName>
    <definedName name="LCPJ" localSheetId="0">'Lumber Assessments-Latest price'!$R$112</definedName>
    <definedName name="LCPJ" localSheetId="1">'Lumber assessments-SpecificDate'!$R$112</definedName>
    <definedName name="LCPK" localSheetId="0">'Lumber Assessments-Latest price'!$R$113</definedName>
    <definedName name="LCPK" localSheetId="1">'Lumber assessments-SpecificDate'!$R$113</definedName>
    <definedName name="LCPL" localSheetId="0">'Lumber Assessments-Latest price'!$R$115</definedName>
    <definedName name="LCPL" localSheetId="1">'Lumber assessments-SpecificDate'!$R$115</definedName>
    <definedName name="LCPM" localSheetId="0">'Lumber Assessments-Latest price'!$R$116</definedName>
    <definedName name="LCPM" localSheetId="1">'Lumber assessments-SpecificDate'!$R$116</definedName>
    <definedName name="LCPN" localSheetId="0">'Lumber Assessments-Latest price'!$L$409</definedName>
    <definedName name="LCPN" localSheetId="1">'Lumber assessments-SpecificDate'!$L$409</definedName>
    <definedName name="LCPO" localSheetId="0">'Lumber Assessments-Latest price'!$L$410</definedName>
    <definedName name="LCPO" localSheetId="1">'Lumber assessments-SpecificDate'!$L$410</definedName>
    <definedName name="LCPP" localSheetId="0">'Lumber Assessments-Latest price'!$L$414</definedName>
    <definedName name="LCPP" localSheetId="1">'Lumber assessments-SpecificDate'!$L$414</definedName>
    <definedName name="LCPR" localSheetId="0">'Lumber Assessments-Latest price'!$D$261</definedName>
    <definedName name="LCPR" localSheetId="1">'Lumber assessments-SpecificDate'!$D$261</definedName>
    <definedName name="LCPS" localSheetId="0">'Lumber Assessments-Latest price'!$I$261</definedName>
    <definedName name="LCPS" localSheetId="1">'Lumber assessments-SpecificDate'!$I$261</definedName>
    <definedName name="LCPT" localSheetId="0">'Lumber Assessments-Latest price'!$M$261</definedName>
    <definedName name="LCPT" localSheetId="1">'Lumber assessments-SpecificDate'!$M$261</definedName>
    <definedName name="LCPU" localSheetId="0">'Lumber Assessments-Latest price'!$C$264</definedName>
    <definedName name="LCPU" localSheetId="1">'Lumber assessments-SpecificDate'!$C$264</definedName>
    <definedName name="LCPV" localSheetId="0">'Lumber Assessments-Latest price'!$D$264</definedName>
    <definedName name="LCPV" localSheetId="1">'Lumber assessments-SpecificDate'!$D$264</definedName>
    <definedName name="LCPW" localSheetId="0">'Lumber Assessments-Latest price'!$H$264</definedName>
    <definedName name="LCPW" localSheetId="1">'Lumber assessments-SpecificDate'!$H$264</definedName>
    <definedName name="LCPX" localSheetId="0">'Lumber Assessments-Latest price'!$I$264</definedName>
    <definedName name="LCPX" localSheetId="1">'Lumber assessments-SpecificDate'!$I$264</definedName>
    <definedName name="LCPY" localSheetId="0">'Lumber Assessments-Latest price'!$L$264</definedName>
    <definedName name="LCPY" localSheetId="1">'Lumber assessments-SpecificDate'!$L$264</definedName>
    <definedName name="LCPZ" localSheetId="0">'Lumber Assessments-Latest price'!$M$264</definedName>
    <definedName name="LCPZ" localSheetId="1">'Lumber assessments-SpecificDate'!$M$264</definedName>
    <definedName name="LCQA" localSheetId="0">'Lumber Assessments-Latest price'!$H$253</definedName>
    <definedName name="LCQA" localSheetId="1">'Lumber assessments-SpecificDate'!$H$253</definedName>
    <definedName name="LCQB" localSheetId="0">'Lumber Assessments-Latest price'!$H$260</definedName>
    <definedName name="LCQB" localSheetId="1">'Lumber assessments-SpecificDate'!$H$260</definedName>
    <definedName name="LCQC" localSheetId="0">'Lumber Assessments-Latest price'!$H$263</definedName>
    <definedName name="LCQC" localSheetId="1">'Lumber assessments-SpecificDate'!$H$263</definedName>
    <definedName name="LCQD" localSheetId="0">'Lumber Assessments-Latest price'!$H$266</definedName>
    <definedName name="LCQD" localSheetId="1">'Lumber assessments-SpecificDate'!$H$266</definedName>
    <definedName name="LCQE" localSheetId="0">'Lumber Assessments-Latest price'!$C$266</definedName>
    <definedName name="LCQE" localSheetId="1">'Lumber assessments-SpecificDate'!$C$266</definedName>
    <definedName name="LCQF" localSheetId="0">'Lumber Assessments-Latest price'!$M$115</definedName>
    <definedName name="LCQF" localSheetId="1">'Lumber assessments-SpecificDate'!$M$115</definedName>
    <definedName name="LCQG" localSheetId="0">'Lumber Assessments-Latest price'!$N$115</definedName>
    <definedName name="LCQG" localSheetId="1">'Lumber assessments-SpecificDate'!$N$115</definedName>
    <definedName name="LCQH" localSheetId="0">'Lumber Assessments-Latest price'!$D$154</definedName>
    <definedName name="LCQH" localSheetId="1">'Lumber assessments-SpecificDate'!$D$154</definedName>
    <definedName name="LCQI" localSheetId="0">'Lumber Assessments-Latest price'!$C$110</definedName>
    <definedName name="LCQI" localSheetId="1">'Lumber assessments-SpecificDate'!$C$110</definedName>
    <definedName name="LCQJ" localSheetId="0">'Lumber Assessments-Latest price'!$F$110</definedName>
    <definedName name="LCQJ" localSheetId="1">'Lumber assessments-SpecificDate'!$F$110</definedName>
    <definedName name="LCQK" localSheetId="0">'Lumber Assessments-Latest price'!$L$440</definedName>
    <definedName name="LCQK" localSheetId="1">'Lumber assessments-SpecificDate'!$L$440</definedName>
    <definedName name="LCQL" localSheetId="0">'Lumber Assessments-Latest price'!$L$441</definedName>
    <definedName name="LCQL" localSheetId="1">'Lumber assessments-SpecificDate'!$L$441</definedName>
    <definedName name="LCQM" localSheetId="0">'Lumber Assessments-Latest price'!$P$451</definedName>
    <definedName name="LCQM" localSheetId="1">'Lumber assessments-SpecificDate'!$P$451</definedName>
    <definedName name="LCQN" localSheetId="0">'Lumber Assessments-Latest price'!$Q$451</definedName>
    <definedName name="LCQN" localSheetId="1">'Lumber assessments-SpecificDate'!$Q$451</definedName>
    <definedName name="LCQO" localSheetId="0">'Lumber Assessments-Latest price'!$H$149</definedName>
    <definedName name="LCQO" localSheetId="1">'Lumber assessments-SpecificDate'!$H$149</definedName>
    <definedName name="LCQP" localSheetId="0">'Lumber Assessments-Latest price'!$I$149</definedName>
    <definedName name="LCQP" localSheetId="1">'Lumber assessments-SpecificDate'!$I$149</definedName>
    <definedName name="LCQQ" localSheetId="0">'Lumber Assessments-Latest price'!$H$152</definedName>
    <definedName name="LCQQ" localSheetId="1">'Lumber assessments-SpecificDate'!$H$152</definedName>
    <definedName name="LCQR" localSheetId="0">'Lumber Assessments-Latest price'!$I$152</definedName>
    <definedName name="LCQR" localSheetId="1">'Lumber assessments-SpecificDate'!$I$152</definedName>
    <definedName name="LCQS" localSheetId="0">'Lumber Assessments-Latest price'!$B$160</definedName>
    <definedName name="LCQS" localSheetId="1">'Lumber assessments-SpecificDate'!$B$160</definedName>
    <definedName name="LCQT" localSheetId="0">'Lumber Assessments-Latest price'!$D$160</definedName>
    <definedName name="LCQT" localSheetId="1">'Lumber assessments-SpecificDate'!$D$160</definedName>
    <definedName name="LCQU" localSheetId="0">'Lumber Assessments-Latest price'!$K$219</definedName>
    <definedName name="LCQU" localSheetId="1">'Lumber assessments-SpecificDate'!$K$219</definedName>
    <definedName name="LCQV" localSheetId="0">'Lumber Assessments-Latest price'!$L$219</definedName>
    <definedName name="LCQV" localSheetId="1">'Lumber assessments-SpecificDate'!$L$219</definedName>
    <definedName name="LCQW" localSheetId="0">'Lumber Assessments-Latest price'!$M$219</definedName>
    <definedName name="LCQW" localSheetId="1">'Lumber assessments-SpecificDate'!$M$219</definedName>
    <definedName name="LCQX" localSheetId="0">'Lumber Assessments-Latest price'!$N$219</definedName>
    <definedName name="LCQX" localSheetId="1">'Lumber assessments-SpecificDate'!$N$219</definedName>
    <definedName name="LCQY" localSheetId="0">'Lumber Assessments-Latest price'!$O$219</definedName>
    <definedName name="LCQY" localSheetId="1">'Lumber assessments-SpecificDate'!$O$219</definedName>
    <definedName name="LCQZ" localSheetId="0">'Lumber Assessments-Latest price'!$P$219</definedName>
    <definedName name="LCQZ" localSheetId="1">'Lumber assessments-SpecificDate'!$P$219</definedName>
    <definedName name="LCRA" localSheetId="0">'Lumber Assessments-Latest price'!$Q$219</definedName>
    <definedName name="LCRA" localSheetId="1">'Lumber assessments-SpecificDate'!$Q$219</definedName>
    <definedName name="LCRB" localSheetId="0">'Lumber Assessments-Latest price'!$E$250</definedName>
    <definedName name="LCRB" localSheetId="1">'Lumber assessments-SpecificDate'!$E$250</definedName>
    <definedName name="LCRC" localSheetId="0">'Lumber Assessments-Latest price'!$N$250</definedName>
    <definedName name="LCRC" localSheetId="1">'Lumber assessments-SpecificDate'!$N$250</definedName>
    <definedName name="LCRD" localSheetId="0">'Lumber Assessments-Latest price'!$K$152</definedName>
    <definedName name="LCRD" localSheetId="1">'Lumber assessments-SpecificDate'!$K$152</definedName>
    <definedName name="LCRE" localSheetId="0">'Lumber Assessments-Latest price'!$L$152</definedName>
    <definedName name="LCRE" localSheetId="1">'Lumber assessments-SpecificDate'!$L$152</definedName>
    <definedName name="LCRF" localSheetId="0">'Lumber Assessments-Latest price'!$K$159</definedName>
    <definedName name="LCRF" localSheetId="1">'Lumber assessments-SpecificDate'!$K$159</definedName>
    <definedName name="LCRG" localSheetId="0">'Lumber Assessments-Latest price'!$L$159</definedName>
    <definedName name="LCRG" localSheetId="1">'Lumber assessments-SpecificDate'!$L$159</definedName>
    <definedName name="LCRH" localSheetId="0">'Lumber Assessments-Latest price'!$B$241</definedName>
    <definedName name="LCRH" localSheetId="1">'Lumber assessments-SpecificDate'!$B$241</definedName>
    <definedName name="LCRI" localSheetId="0">'Lumber Assessments-Latest price'!$C$241</definedName>
    <definedName name="LCRI" localSheetId="1">'Lumber assessments-SpecificDate'!$C$241</definedName>
    <definedName name="LCRJ" localSheetId="0">'Lumber Assessments-Latest price'!$D$241</definedName>
    <definedName name="LCRJ" localSheetId="1">'Lumber assessments-SpecificDate'!$D$241</definedName>
    <definedName name="LCRK" localSheetId="0">'Lumber Assessments-Latest price'!$E$241</definedName>
    <definedName name="LCRK" localSheetId="1">'Lumber assessments-SpecificDate'!$E$241</definedName>
    <definedName name="LCRL" localSheetId="0">'Lumber Assessments-Latest price'!$F$241</definedName>
    <definedName name="LCRL" localSheetId="1">'Lumber assessments-SpecificDate'!$F$241</definedName>
    <definedName name="LCRM" localSheetId="0">'Lumber Assessments-Latest price'!$G$110</definedName>
    <definedName name="LCRM" localSheetId="1">'Lumber assessments-SpecificDate'!$G$110</definedName>
    <definedName name="LCRN" localSheetId="0">'Lumber Assessments-Latest price'!$G$111</definedName>
    <definedName name="LCRN" localSheetId="1">'Lumber assessments-SpecificDate'!$G$111</definedName>
    <definedName name="LCRO" localSheetId="0">'Lumber Assessments-Latest price'!$G$112</definedName>
    <definedName name="LCRO" localSheetId="1">'Lumber assessments-SpecificDate'!$G$112</definedName>
    <definedName name="LCRP" localSheetId="0">'Lumber Assessments-Latest price'!$G$113</definedName>
    <definedName name="LCRP" localSheetId="1">'Lumber assessments-SpecificDate'!$G$113</definedName>
    <definedName name="LCRQ" localSheetId="0">'Lumber Assessments-Latest price'!$C$162</definedName>
    <definedName name="LCRQ" localSheetId="1">'Lumber assessments-SpecificDate'!$C$162</definedName>
    <definedName name="LCRR" localSheetId="0">'Lumber Assessments-Latest price'!$K$358</definedName>
    <definedName name="LCRR" localSheetId="1">'Lumber assessments-SpecificDate'!$K$358</definedName>
    <definedName name="LCRS" localSheetId="0">'Lumber Assessments-Latest price'!$K$359</definedName>
    <definedName name="LCRS" localSheetId="1">'Lumber assessments-SpecificDate'!$K$359</definedName>
    <definedName name="LCRT" localSheetId="0">'Lumber Assessments-Latest price'!$K$360</definedName>
    <definedName name="LCRT" localSheetId="1">'Lumber assessments-SpecificDate'!$K$360</definedName>
    <definedName name="LCRU" localSheetId="0">'Lumber Assessments-Latest price'!$K$361</definedName>
    <definedName name="LCRU" localSheetId="1">'Lumber assessments-SpecificDate'!$K$361</definedName>
    <definedName name="LCRV" localSheetId="0">'Lumber Assessments-Latest price'!$K$362</definedName>
    <definedName name="LCRV" localSheetId="1">'Lumber assessments-SpecificDate'!$K$362</definedName>
    <definedName name="LCRW" localSheetId="0">'Lumber Assessments-Latest price'!$G$114</definedName>
    <definedName name="LCRW" localSheetId="1">'Lumber assessments-SpecificDate'!$G$114</definedName>
    <definedName name="LCRX" localSheetId="0">'Lumber Assessments-Latest price'!$H$157</definedName>
    <definedName name="LCRX" localSheetId="1">'Lumber assessments-SpecificDate'!$H$157</definedName>
    <definedName name="LCRY" localSheetId="0">'Lumber Assessments-Latest price'!$I$157</definedName>
    <definedName name="LCRY" localSheetId="1">'Lumber assessments-SpecificDate'!$I$157</definedName>
    <definedName name="LCRZ" localSheetId="0">'Lumber Assessments-Latest price'!$H$159</definedName>
    <definedName name="LCRZ" localSheetId="1">'Lumber assessments-SpecificDate'!$H$159</definedName>
    <definedName name="LCSA" localSheetId="0">'Lumber Assessments-Latest price'!$I$159</definedName>
    <definedName name="LCSA" localSheetId="1">'Lumber assessments-SpecificDate'!$I$159</definedName>
    <definedName name="LCSB" localSheetId="0">'Lumber Assessments-Latest price'!$G$434</definedName>
    <definedName name="LCSB" localSheetId="1">'Lumber assessments-SpecificDate'!$G$434</definedName>
    <definedName name="LCSC" localSheetId="0">'Lumber Assessments-Latest price'!$G$435</definedName>
    <definedName name="LCSC" localSheetId="1">'Lumber assessments-SpecificDate'!$G$435</definedName>
    <definedName name="LCSD" localSheetId="0">'Lumber Assessments-Latest price'!$H$455</definedName>
    <definedName name="LCSD" localSheetId="1">'Lumber assessments-SpecificDate'!$H$455</definedName>
    <definedName name="LCSE" localSheetId="0">'Lumber Assessments-Latest price'!$H$456</definedName>
    <definedName name="LCSE" localSheetId="1">'Lumber assessments-SpecificDate'!$H$456</definedName>
    <definedName name="LCSF" localSheetId="0">'Lumber Assessments-Latest price'!$C$471</definedName>
    <definedName name="LCSF" localSheetId="1">'Lumber assessments-SpecificDate'!$C$471</definedName>
    <definedName name="LCSG" localSheetId="0">'Lumber Assessments-Latest price'!$D$471</definedName>
    <definedName name="LCSG" localSheetId="1">'Lumber assessments-SpecificDate'!$D$471</definedName>
    <definedName name="LCXQ" localSheetId="1">'Lumber assessments-SpecificDate'!$C$150</definedName>
    <definedName name="LCXQ">'Lumber Assessments-Latest price'!$C$150</definedName>
    <definedName name="LCXR" localSheetId="1">'Lumber assessments-SpecificDate'!$D$150</definedName>
    <definedName name="LCXR">'Lumber Assessments-Latest price'!$D$150</definedName>
    <definedName name="LCXS" localSheetId="1">'Lumber assessments-SpecificDate'!$H$150</definedName>
    <definedName name="LCXS">'Lumber Assessments-Latest price'!$H$150</definedName>
    <definedName name="LCXT" localSheetId="1">'Lumber assessments-SpecificDate'!$I$150</definedName>
    <definedName name="LCXT">'Lumber Assessments-Latest price'!$I$150</definedName>
    <definedName name="LCXU" localSheetId="1">'Lumber assessments-SpecificDate'!$J$150</definedName>
    <definedName name="LCXU">'Lumber Assessments-Latest price'!$J$150</definedName>
    <definedName name="LCXV" localSheetId="0">'Lumber Assessments-Latest price'!$Q$156</definedName>
    <definedName name="LCXV" localSheetId="1">'Lumber assessments-SpecificDate'!$Q$156</definedName>
    <definedName name="LCXW" localSheetId="0">'Lumber Assessments-Latest price'!$Q$160</definedName>
    <definedName name="LCXW" localSheetId="1">'Lumber assessments-SpecificDate'!$Q$160</definedName>
    <definedName name="LCXX" localSheetId="0">'Lumber Assessments-Latest price'!$Q$164</definedName>
    <definedName name="LCXX" localSheetId="1">'Lumber assessments-SpecificDate'!$Q$164</definedName>
    <definedName name="LCYA" localSheetId="0">'Lumber Assessments-Latest price'!$D$122</definedName>
    <definedName name="LCYA" localSheetId="1">'Lumber assessments-SpecificDate'!$D$122</definedName>
    <definedName name="LCYB" localSheetId="0">'Lumber Assessments-Latest price'!$D$123</definedName>
    <definedName name="LCYB" localSheetId="1">'Lumber assessments-SpecificDate'!$D$123</definedName>
    <definedName name="LCYC" localSheetId="0">'Lumber Assessments-Latest price'!$B$242</definedName>
    <definedName name="LCYC" localSheetId="1">'Lumber assessments-SpecificDate'!$B$242</definedName>
    <definedName name="LCYD" localSheetId="0">'Lumber Assessments-Latest price'!$C$242</definedName>
    <definedName name="LCYD" localSheetId="1">'Lumber assessments-SpecificDate'!$C$242</definedName>
    <definedName name="LCYE" localSheetId="0">'Lumber Assessments-Latest price'!$D$242</definedName>
    <definedName name="LCYE" localSheetId="1">'Lumber assessments-SpecificDate'!$D$242</definedName>
    <definedName name="LCYF" localSheetId="0">'Lumber Assessments-Latest price'!$E$242</definedName>
    <definedName name="LCYF" localSheetId="1">'Lumber assessments-SpecificDate'!$E$242</definedName>
    <definedName name="LCYG" localSheetId="0">'Lumber Assessments-Latest price'!$F$242</definedName>
    <definedName name="LCYG" localSheetId="1">'Lumber assessments-SpecificDate'!$F$242</definedName>
    <definedName name="LCYH" localSheetId="0">'Lumber Assessments-Latest price'!$B$243</definedName>
    <definedName name="LCYI" localSheetId="0">'Lumber Assessments-Latest price'!$C$243</definedName>
    <definedName name="LCYI" localSheetId="1">'Lumber assessments-SpecificDate'!$C$243</definedName>
    <definedName name="LCYJ" localSheetId="0">'Lumber Assessments-Latest price'!$D$243</definedName>
    <definedName name="LCYJ" localSheetId="1">'Lumber assessments-SpecificDate'!$D$243</definedName>
    <definedName name="LCYK" localSheetId="0">'Lumber Assessments-Latest price'!$E$243</definedName>
    <definedName name="LCYL" localSheetId="0">'Lumber Assessments-Latest price'!$F$243</definedName>
    <definedName name="LCYL" localSheetId="1">'Lumber assessments-SpecificDate'!$F$243</definedName>
    <definedName name="LHYH" localSheetId="1">'Lumber assessments-SpecificDate'!$B$243</definedName>
    <definedName name="LHYK" localSheetId="1">'Lumber assessments-SpecificDate'!$E$243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14" l="1"/>
  <c r="D22" i="14"/>
  <c r="A101" i="14"/>
  <c r="B101" i="14"/>
  <c r="A201" i="14"/>
  <c r="B201" i="14"/>
  <c r="A301" i="14"/>
  <c r="B301" i="14"/>
  <c r="A401" i="14"/>
  <c r="B401" i="14"/>
  <c r="A501" i="14"/>
  <c r="B501" i="14"/>
  <c r="D242" i="14" a="1"/>
  <c r="C242" i="14" a="1"/>
  <c r="B242" i="14" a="1"/>
  <c r="F243" i="14" a="1"/>
  <c r="E243" i="14" a="1"/>
  <c r="D243" i="14" a="1"/>
  <c r="D123" i="14" a="1"/>
  <c r="Q160" i="14" a="1"/>
  <c r="C243" i="14" a="1"/>
  <c r="Q156" i="14" a="1"/>
  <c r="B243" i="14" a="1"/>
  <c r="Q164" i="14" a="1"/>
  <c r="F242" i="14" a="1"/>
  <c r="D122" i="14" a="1"/>
  <c r="E242" i="14" a="1"/>
  <c r="B22" i="13" a="1"/>
  <c r="D243" i="14" l="1"/>
  <c r="E243" i="14"/>
  <c r="F243" i="14"/>
  <c r="B242" i="14"/>
  <c r="C242" i="14"/>
  <c r="D242" i="14"/>
  <c r="E242" i="14"/>
  <c r="F242" i="14"/>
  <c r="B243" i="14"/>
  <c r="C243" i="14"/>
  <c r="D123" i="14"/>
  <c r="D122" i="14"/>
  <c r="Q164" i="14"/>
  <c r="Q160" i="14"/>
  <c r="Q156" i="14"/>
  <c r="B22" i="13"/>
  <c r="B501" i="13"/>
  <c r="B401" i="13"/>
  <c r="B301" i="13"/>
  <c r="B201" i="13"/>
  <c r="B101" i="13"/>
  <c r="Q164" i="13" a="1"/>
  <c r="B242" i="13" a="1"/>
  <c r="F242" i="13" a="1"/>
  <c r="E242" i="13" a="1"/>
  <c r="E243" i="13" a="1"/>
  <c r="D242" i="13" a="1"/>
  <c r="D243" i="13" a="1"/>
  <c r="C243" i="13" a="1"/>
  <c r="F243" i="13" a="1"/>
  <c r="B243" i="13" a="1"/>
  <c r="C242" i="13" a="1"/>
  <c r="D123" i="13" a="1"/>
  <c r="Q156" i="13" a="1"/>
  <c r="D122" i="13" a="1"/>
  <c r="Q160" i="13" a="1"/>
  <c r="F243" i="13" l="1"/>
  <c r="E243" i="13"/>
  <c r="D243" i="13"/>
  <c r="C243" i="13"/>
  <c r="B243" i="13"/>
  <c r="F242" i="13"/>
  <c r="E242" i="13"/>
  <c r="D242" i="13"/>
  <c r="C242" i="13"/>
  <c r="B242" i="13"/>
  <c r="D123" i="13"/>
  <c r="D122" i="13"/>
  <c r="Q164" i="13"/>
  <c r="Q160" i="13"/>
  <c r="Q156" i="13"/>
  <c r="C22" i="13" l="1"/>
  <c r="A501" i="13"/>
  <c r="A401" i="13"/>
  <c r="A301" i="13"/>
  <c r="D22" i="13"/>
  <c r="A201" i="13"/>
  <c r="A101" i="13"/>
  <c r="Q230" i="14" a="1"/>
  <c r="F324" i="14" a="1"/>
  <c r="N420" i="14" a="1"/>
  <c r="N251" i="14" a="1"/>
  <c r="F307" i="14" a="1"/>
  <c r="K228" i="14" a="1"/>
  <c r="B238" i="14" a="1"/>
  <c r="H431" i="14" a="1"/>
  <c r="O241" i="14" a="1"/>
  <c r="P110" i="14" a="1"/>
  <c r="H215" i="14" a="1"/>
  <c r="F253" i="14" a="1"/>
  <c r="L409" i="14" a="1"/>
  <c r="I330" i="14" a="1"/>
  <c r="G210" i="14" a="1"/>
  <c r="D206" i="14" a="1"/>
  <c r="C434" i="14" a="1"/>
  <c r="D420" i="14" a="1"/>
  <c r="D456" i="14" a="1"/>
  <c r="R111" i="14" a="1"/>
  <c r="E258" i="14" a="1"/>
  <c r="E249" i="14" a="1"/>
  <c r="L155" i="14" a="1"/>
  <c r="G110" i="14" a="1"/>
  <c r="R116" i="14" a="1"/>
  <c r="L331" i="14" a="1"/>
  <c r="J309" i="14" a="1"/>
  <c r="J113" i="14" a="1"/>
  <c r="E208" i="14" a="1"/>
  <c r="D455" i="14" a="1"/>
  <c r="M114" i="14" a="1"/>
  <c r="C132" i="14" a="1"/>
  <c r="R110" i="14" a="1"/>
  <c r="K214" i="14" a="1"/>
  <c r="O130" i="14" a="1"/>
  <c r="I329" i="14" a="1"/>
  <c r="C217" i="14" a="1"/>
  <c r="K360" i="14" a="1"/>
  <c r="E262" i="14" a="1"/>
  <c r="P232" i="14" a="1"/>
  <c r="R241" i="14" a="1"/>
  <c r="O254" i="14" a="1"/>
  <c r="L215" i="14" a="1"/>
  <c r="M153" i="14" a="1"/>
  <c r="M349" i="14" a="1"/>
  <c r="L116" i="14" a="1"/>
  <c r="C236" i="14" a="1"/>
  <c r="L232" i="14" a="1"/>
  <c r="I116" i="14" a="1"/>
  <c r="B119" i="14" a="1"/>
  <c r="M448" i="14" a="1"/>
  <c r="M116" i="14" a="1"/>
  <c r="E206" i="14" a="1"/>
  <c r="F419" i="14" a="1"/>
  <c r="U241" i="14" a="1"/>
  <c r="K329" i="14" a="1"/>
  <c r="O423" i="14" a="1"/>
  <c r="D216" i="14" a="1"/>
  <c r="K241" i="14" a="1"/>
  <c r="F226" i="14" a="1"/>
  <c r="E409" i="14" a="1"/>
  <c r="J348" i="14" a="1"/>
  <c r="Q223" i="14" a="1"/>
  <c r="I255" i="14" a="1"/>
  <c r="N146" i="14" a="1"/>
  <c r="N266" i="14" a="1"/>
  <c r="L448" i="14" a="1"/>
  <c r="D310" i="14" a="1"/>
  <c r="Q113" i="14" a="1"/>
  <c r="I332" i="14" a="1"/>
  <c r="E214" i="14" a="1"/>
  <c r="M435" i="14" a="1"/>
  <c r="F268" i="14" a="1"/>
  <c r="J136" i="14" a="1"/>
  <c r="L322" i="14" a="1"/>
  <c r="N425" i="14" a="1"/>
  <c r="N239" i="14" a="1"/>
  <c r="M222" i="14" a="1"/>
  <c r="Q206" i="14" a="1"/>
  <c r="M358" i="14" a="1"/>
  <c r="G254" i="14" a="1"/>
  <c r="C235" i="14" a="1"/>
  <c r="C409" i="14" a="1"/>
  <c r="B319" i="14" a="1"/>
  <c r="O206" i="14" a="1"/>
  <c r="I118" i="14" a="1"/>
  <c r="C222" i="14" a="1"/>
  <c r="P434" i="14" a="1"/>
  <c r="M233" i="14" a="1"/>
  <c r="F443" i="14" a="1"/>
  <c r="E116" i="14" a="1"/>
  <c r="U233" i="14" a="1"/>
  <c r="J340" i="14" a="1"/>
  <c r="C310" i="14" a="1"/>
  <c r="F118" i="14" a="1"/>
  <c r="E308" i="14" a="1"/>
  <c r="D324" i="14" a="1"/>
  <c r="H115" i="14" a="1"/>
  <c r="B115" i="14" a="1"/>
  <c r="G207" i="14" a="1"/>
  <c r="D422" i="14" a="1"/>
  <c r="N240" i="14" a="1"/>
  <c r="I139" i="14" a="1"/>
  <c r="B325" i="14" a="1"/>
  <c r="B460" i="14" a="1"/>
  <c r="B318" i="14" a="1"/>
  <c r="N156" i="14" a="1"/>
  <c r="N244" i="14" a="1"/>
  <c r="D327" i="14" a="1"/>
  <c r="J360" i="14" a="1"/>
  <c r="J118" i="14" a="1"/>
  <c r="L158" i="14" a="1"/>
  <c r="J320" i="14" a="1"/>
  <c r="I159" i="14" a="1"/>
  <c r="S213" i="14" a="1"/>
  <c r="K229" i="14" a="1"/>
  <c r="P240" i="14" a="1"/>
  <c r="C229" i="14" a="1"/>
  <c r="K206" i="14" a="1"/>
  <c r="J146" i="14" a="1"/>
  <c r="F222" i="14" a="1"/>
  <c r="N260" i="14" a="1"/>
  <c r="J110" i="14" a="1"/>
  <c r="C456" i="14" a="1"/>
  <c r="I138" i="14" a="1"/>
  <c r="L361" i="14" a="1"/>
  <c r="H111" i="14" a="1"/>
  <c r="C326" i="14" a="1"/>
  <c r="I252" i="14" a="1"/>
  <c r="J150" i="14" a="1"/>
  <c r="Q241" i="14" a="1"/>
  <c r="N117" i="14" a="1"/>
  <c r="N458" i="14" a="1"/>
  <c r="Q150" i="14" a="1"/>
  <c r="P116" i="14" a="1"/>
  <c r="J112" i="14" a="1"/>
  <c r="R112" i="14" a="1"/>
  <c r="K243" i="14" a="1"/>
  <c r="L435" i="14" a="1"/>
  <c r="R214" i="14" a="1"/>
  <c r="B251" i="14" a="1"/>
  <c r="I157" i="14" a="1"/>
  <c r="R223" i="14" a="1"/>
  <c r="L320" i="14" a="1"/>
  <c r="N242" i="14" a="1"/>
  <c r="Q214" i="14" a="1"/>
  <c r="B446" i="14" a="1"/>
  <c r="F207" i="14" a="1"/>
  <c r="G262" i="14" a="1"/>
  <c r="N151" i="14" a="1"/>
  <c r="P242" i="14" a="1"/>
  <c r="P223" i="14" a="1"/>
  <c r="D446" i="14" a="1"/>
  <c r="I338" i="14" a="1"/>
  <c r="P436" i="14" a="1"/>
  <c r="J130" i="14" a="1"/>
  <c r="I345" i="14" a="1"/>
  <c r="G435" i="14" a="1"/>
  <c r="F327" i="14" a="1"/>
  <c r="C254" i="14" a="1"/>
  <c r="L115" i="14" a="1"/>
  <c r="H229" i="14" a="1"/>
  <c r="I135" i="14" a="1"/>
  <c r="L438" i="14" a="1"/>
  <c r="E128" i="14" a="1"/>
  <c r="C223" i="14" a="1"/>
  <c r="D238" i="14" a="1"/>
  <c r="O131" i="14" a="1"/>
  <c r="L345" i="14" a="1"/>
  <c r="J148" i="14" a="1"/>
  <c r="Q115" i="14" a="1"/>
  <c r="N220" i="14" a="1"/>
  <c r="C470" i="14" a="1"/>
  <c r="J111" i="14" a="1"/>
  <c r="B317" i="14" a="1"/>
  <c r="E412" i="14" a="1"/>
  <c r="D114" i="14" a="1"/>
  <c r="Q212" i="14" a="1"/>
  <c r="B215" i="14" a="1"/>
  <c r="R242" i="14" a="1"/>
  <c r="I156" i="14" a="1"/>
  <c r="F115" i="14" a="1"/>
  <c r="E316" i="14" a="1"/>
  <c r="Q111" i="14" a="1"/>
  <c r="P209" i="14" a="1"/>
  <c r="E333" i="14" a="1"/>
  <c r="C361" i="14" a="1"/>
  <c r="B209" i="14" a="1"/>
  <c r="H413" i="14" a="1"/>
  <c r="L112" i="14" a="1"/>
  <c r="O116" i="14" a="1"/>
  <c r="L460" i="14" a="1"/>
  <c r="D130" i="14" a="1"/>
  <c r="E253" i="14" a="1"/>
  <c r="C316" i="14" a="1"/>
  <c r="D159" i="14" a="1"/>
  <c r="I266" i="14" a="1"/>
  <c r="B229" i="14" a="1"/>
  <c r="K212" i="14" a="1"/>
  <c r="J258" i="14" a="1"/>
  <c r="I269" i="14" a="1"/>
  <c r="C333" i="14" a="1"/>
  <c r="L264" i="14" a="1"/>
  <c r="D465" i="14" a="1"/>
  <c r="I258" i="14" a="1"/>
  <c r="K308" i="14" a="1"/>
  <c r="G258" i="14" a="1"/>
  <c r="C152" i="14" a="1"/>
  <c r="F157" i="14" a="1"/>
  <c r="J310" i="14" a="1"/>
  <c r="K135" i="14" a="1"/>
  <c r="M111" i="14" a="1"/>
  <c r="B154" i="14" a="1"/>
  <c r="B235" i="14" a="1"/>
  <c r="D472" i="14" a="1"/>
  <c r="M242" i="14" a="1"/>
  <c r="D435" i="14" a="1"/>
  <c r="R221" i="14" a="1"/>
  <c r="I321" i="14" a="1"/>
  <c r="L332" i="14" a="1"/>
  <c r="M264" i="14" a="1"/>
  <c r="B252" i="14" a="1"/>
  <c r="G211" i="14" a="1"/>
  <c r="F206" i="14" a="1"/>
  <c r="F511" i="14" a="1"/>
  <c r="Q112" i="14" a="1"/>
  <c r="J115" i="14" a="1"/>
  <c r="D333" i="14" a="1"/>
  <c r="G224" i="14" a="1"/>
  <c r="F152" i="14" a="1"/>
  <c r="N208" i="14" a="1"/>
  <c r="C149" i="14" a="1"/>
  <c r="B423" i="14" a="1"/>
  <c r="C358" i="14" a="1"/>
  <c r="K118" i="14" a="1"/>
  <c r="L148" i="14" a="1"/>
  <c r="T242" i="14" a="1"/>
  <c r="P213" i="14" a="1"/>
  <c r="K221" i="14" a="1"/>
  <c r="B447" i="14" a="1"/>
  <c r="I263" i="14" a="1"/>
  <c r="I113" i="14" a="1"/>
  <c r="E239" i="14" a="1"/>
  <c r="G412" i="14" a="1"/>
  <c r="C213" i="14" a="1"/>
  <c r="D154" i="14" a="1"/>
  <c r="K254" i="14" a="1"/>
  <c r="L211" i="14" a="1"/>
  <c r="N249" i="14" a="1"/>
  <c r="G252" i="14" a="1"/>
  <c r="C431" i="14" a="1"/>
  <c r="E213" i="14" a="1"/>
  <c r="J269" i="14" a="1"/>
  <c r="D265" i="14" a="1"/>
  <c r="F210" i="14" a="1"/>
  <c r="I119" i="14" a="1"/>
  <c r="N230" i="14" a="1"/>
  <c r="M427" i="14" a="1"/>
  <c r="E332" i="14" a="1"/>
  <c r="O215" i="14" a="1"/>
  <c r="U242" i="14" a="1"/>
  <c r="N119" i="14" a="1"/>
  <c r="M119" i="14" a="1"/>
  <c r="E209" i="14" a="1"/>
  <c r="G223" i="14" a="1"/>
  <c r="C130" i="14" a="1"/>
  <c r="F309" i="14" a="1"/>
  <c r="E118" i="14" a="1"/>
  <c r="D235" i="14" a="1"/>
  <c r="D442" i="14" a="1"/>
  <c r="L447" i="14" a="1"/>
  <c r="E326" i="14" a="1"/>
  <c r="E252" i="14" a="1"/>
  <c r="P244" i="14" a="1"/>
  <c r="C206" i="14" a="1"/>
  <c r="L437" i="14" a="1"/>
  <c r="M208" i="14" a="1"/>
  <c r="J137" i="14" a="1"/>
  <c r="D460" i="14" a="1"/>
  <c r="C230" i="14" a="1"/>
  <c r="R115" i="14" a="1"/>
  <c r="B332" i="14" a="1"/>
  <c r="T243" i="14" a="1"/>
  <c r="C352" i="14" a="1"/>
  <c r="C448" i="14" a="1"/>
  <c r="M434" i="14" a="1"/>
  <c r="F456" i="14" a="1"/>
  <c r="Q447" i="14" a="1"/>
  <c r="L117" i="14" a="1"/>
  <c r="Q448" i="14" a="1"/>
  <c r="M420" i="14" a="1"/>
  <c r="C133" i="14" a="1"/>
  <c r="S223" i="14" a="1"/>
  <c r="E260" i="14" a="1"/>
  <c r="E225" i="14" a="1"/>
  <c r="B456" i="14" a="1"/>
  <c r="M158" i="14" a="1"/>
  <c r="S233" i="14" a="1"/>
  <c r="N426" i="14" a="1"/>
  <c r="R215" i="14" a="1"/>
  <c r="G413" i="14" a="1"/>
  <c r="Q215" i="14" a="1"/>
  <c r="C225" i="14" a="1"/>
  <c r="C162" i="14" a="1"/>
  <c r="M337" i="14" a="1"/>
  <c r="B130" i="14" a="1"/>
  <c r="K447" i="14" a="1"/>
  <c r="I262" i="14" a="1"/>
  <c r="D308" i="14" a="1"/>
  <c r="E443" i="14" a="1"/>
  <c r="B343" i="14" a="1"/>
  <c r="H260" i="14" a="1"/>
  <c r="B118" i="14" a="1"/>
  <c r="K340" i="14" a="1"/>
  <c r="L113" i="14" a="1"/>
  <c r="O253" i="14" a="1"/>
  <c r="H266" i="14" a="1"/>
  <c r="G229" i="14" a="1"/>
  <c r="L442" i="14" a="1"/>
  <c r="C325" i="14" a="1"/>
  <c r="L358" i="14" a="1"/>
  <c r="S240" i="14" a="1"/>
  <c r="M346" i="14" a="1"/>
  <c r="Q221" i="14" a="1"/>
  <c r="D157" i="14" a="1"/>
  <c r="B159" i="14" a="1"/>
  <c r="O220" i="14" a="1"/>
  <c r="M359" i="14" a="1"/>
  <c r="M252" i="14" a="1"/>
  <c r="M255" i="14" a="1"/>
  <c r="D264" i="14" a="1"/>
  <c r="F413" i="14" a="1"/>
  <c r="N262" i="14" a="1"/>
  <c r="C109" i="14" a="1"/>
  <c r="L240" i="14" a="1"/>
  <c r="B344" i="14" a="1"/>
  <c r="C238" i="14" a="1"/>
  <c r="D409" i="14" a="1"/>
  <c r="F109" i="14" a="1"/>
  <c r="N223" i="14" a="1"/>
  <c r="H228" i="14" a="1"/>
  <c r="L330" i="14" a="1"/>
  <c r="H222" i="14" a="1"/>
  <c r="D252" i="14" a="1"/>
  <c r="L239" i="14" a="1"/>
  <c r="E241" i="14" a="1"/>
  <c r="B157" i="14" a="1"/>
  <c r="K131" i="14" a="1"/>
  <c r="E410" i="14" a="1"/>
  <c r="D214" i="14" a="1"/>
  <c r="G214" i="14" a="1"/>
  <c r="D352" i="14" a="1"/>
  <c r="P210" i="14" a="1"/>
  <c r="D117" i="14" a="1"/>
  <c r="G215" i="14" a="1"/>
  <c r="B442" i="14" a="1"/>
  <c r="H156" i="14" a="1"/>
  <c r="O267" i="14" a="1"/>
  <c r="C256" i="14" a="1"/>
  <c r="E251" i="14" a="1"/>
  <c r="L340" i="14" a="1"/>
  <c r="F250" i="14" a="1"/>
  <c r="O268" i="14" a="1"/>
  <c r="J139" i="14" a="1"/>
  <c r="S241" i="14" a="1"/>
  <c r="J410" i="14" a="1"/>
  <c r="O242" i="14" a="1"/>
  <c r="B236" i="14" a="1"/>
  <c r="F254" i="14" a="1"/>
  <c r="I251" i="14" a="1"/>
  <c r="O211" i="14" a="1"/>
  <c r="F360" i="14" a="1"/>
  <c r="K338" i="14" a="1"/>
  <c r="M215" i="14" a="1"/>
  <c r="B327" i="14" a="1"/>
  <c r="G257" i="14" a="1"/>
  <c r="H250" i="14" a="1"/>
  <c r="N115" i="14" a="1"/>
  <c r="P115" i="14" a="1"/>
  <c r="L129" i="14" a="1"/>
  <c r="L441" i="14" a="1"/>
  <c r="O424" i="14" a="1"/>
  <c r="C454" i="14" a="1"/>
  <c r="J409" i="14" a="1"/>
  <c r="G225" i="14" a="1"/>
  <c r="M263" i="14" a="1"/>
  <c r="C432" i="14" a="1"/>
  <c r="F229" i="14" a="1"/>
  <c r="K128" i="14" a="1"/>
  <c r="D317" i="14" a="1"/>
  <c r="K420" i="14" a="1"/>
  <c r="F310" i="14" a="1"/>
  <c r="D111" i="14" a="1"/>
  <c r="T241" i="14" a="1"/>
  <c r="I130" i="14" a="1"/>
  <c r="N250" i="14" a="1"/>
  <c r="E458" i="14" a="1"/>
  <c r="K113" i="14" a="1"/>
  <c r="K219" i="14" a="1"/>
  <c r="M424" i="14" a="1"/>
  <c r="D207" i="14" a="1"/>
  <c r="N214" i="14" a="1"/>
  <c r="N212" i="14" a="1"/>
  <c r="P239" i="14" a="1"/>
  <c r="C111" i="14" a="1"/>
  <c r="E324" i="14" a="1"/>
  <c r="G438" i="14" a="1"/>
  <c r="N258" i="14" a="1"/>
  <c r="L360" i="14" a="1"/>
  <c r="L348" i="14" a="1"/>
  <c r="C208" i="14" a="1"/>
  <c r="M151" i="14" a="1"/>
  <c r="O210" i="14" a="1"/>
  <c r="F326" i="14" a="1"/>
  <c r="S220" i="14" a="1"/>
  <c r="J330" i="14" a="1"/>
  <c r="C446" i="14" a="1"/>
  <c r="E310" i="14" a="1"/>
  <c r="C264" i="14" a="1"/>
  <c r="M228" i="14" a="1"/>
  <c r="E336" i="14" a="1"/>
  <c r="B465" i="14" a="1"/>
  <c r="P438" i="14" a="1"/>
  <c r="M266" i="14" a="1"/>
  <c r="O240" i="14" a="1"/>
  <c r="C421" i="14" a="1"/>
  <c r="E448" i="14" a="1"/>
  <c r="B444" i="14" a="1"/>
  <c r="O421" i="14" a="1"/>
  <c r="M214" i="14" a="1"/>
  <c r="K112" i="14" a="1"/>
  <c r="P140" i="14" a="1"/>
  <c r="M411" i="14" a="1"/>
  <c r="M362" i="14" a="1"/>
  <c r="L254" i="14" a="1"/>
  <c r="C227" i="14" a="1"/>
  <c r="D266" i="14" a="1"/>
  <c r="P243" i="14" a="1"/>
  <c r="G227" i="14" a="1"/>
  <c r="E455" i="14" a="1"/>
  <c r="D448" i="14" a="1"/>
  <c r="P439" i="14" a="1"/>
  <c r="M220" i="14" a="1"/>
  <c r="B206" i="14" a="1"/>
  <c r="L333" i="14" a="1"/>
  <c r="B360" i="14" a="1"/>
  <c r="I150" i="14" a="1"/>
  <c r="L359" i="14" a="1"/>
  <c r="K425" i="14" a="1"/>
  <c r="M267" i="14" a="1"/>
  <c r="N265" i="14" a="1"/>
  <c r="I320" i="14" a="1"/>
  <c r="O419" i="14" a="1"/>
  <c r="D444" i="14" a="1"/>
  <c r="H217" i="14" a="1"/>
  <c r="L436" i="14" a="1"/>
  <c r="M419" i="14" a="1"/>
  <c r="H223" i="14" a="1"/>
  <c r="D263" i="14" a="1"/>
  <c r="F111" i="14" a="1"/>
  <c r="C363" i="14" a="1"/>
  <c r="B221" i="14" a="1"/>
  <c r="J253" i="14" a="1"/>
  <c r="B152" i="14" a="1"/>
  <c r="K322" i="14" a="1"/>
  <c r="L423" i="14" a="1"/>
  <c r="F509" i="14" a="1"/>
  <c r="K158" i="14" a="1"/>
  <c r="Q229" i="14" a="1"/>
  <c r="C336" i="14" a="1"/>
  <c r="L222" i="14" a="1"/>
  <c r="M269" i="14" a="1"/>
  <c r="F112" i="14" a="1"/>
  <c r="P207" i="14" a="1"/>
  <c r="M449" i="14" a="1"/>
  <c r="M261" i="14" a="1"/>
  <c r="K129" i="14" a="1"/>
  <c r="F236" i="14" a="1"/>
  <c r="O243" i="14" a="1"/>
  <c r="U243" i="14" a="1"/>
  <c r="N112" i="14" a="1"/>
  <c r="O229" i="14" a="1"/>
  <c r="M112" i="14" a="1"/>
  <c r="B227" i="14" a="1"/>
  <c r="L419" i="14" a="1"/>
  <c r="E317" i="14" a="1"/>
  <c r="M207" i="14" a="1"/>
  <c r="C317" i="14" a="1"/>
  <c r="B342" i="14" a="1"/>
  <c r="D225" i="14" a="1"/>
  <c r="N209" i="14" a="1"/>
  <c r="D118" i="14" a="1"/>
  <c r="R113" i="14" a="1"/>
  <c r="E421" i="14" a="1"/>
  <c r="L449" i="14" a="1"/>
  <c r="G111" i="14" a="1"/>
  <c r="P208" i="14" a="1"/>
  <c r="C119" i="14" a="1"/>
  <c r="D261" i="14" a="1"/>
  <c r="F213" i="14" a="1"/>
  <c r="C362" i="14" a="1"/>
  <c r="E323" i="14" a="1"/>
  <c r="H254" i="14" a="1"/>
  <c r="P139" i="14" a="1"/>
  <c r="O110" i="14" a="1"/>
  <c r="I254" i="14" a="1"/>
  <c r="O213" i="14" a="1"/>
  <c r="C323" i="14" a="1"/>
  <c r="N459" i="14" a="1"/>
  <c r="E318" i="14" a="1"/>
  <c r="D432" i="14" a="1"/>
  <c r="K119" i="14" a="1"/>
  <c r="L458" i="14" a="1"/>
  <c r="L440" i="14" a="1"/>
  <c r="H214" i="14" a="1"/>
  <c r="D121" i="14" a="1"/>
  <c r="C113" i="14" a="1"/>
  <c r="F447" i="14" a="1"/>
  <c r="M423" i="14" a="1"/>
  <c r="C214" i="14" a="1"/>
  <c r="C266" i="14" a="1"/>
  <c r="I261" i="14" a="1"/>
  <c r="L229" i="14" a="1"/>
  <c r="M340" i="14" a="1"/>
  <c r="I265" i="14" a="1"/>
  <c r="D241" i="14" a="1"/>
  <c r="F211" i="14" a="1"/>
  <c r="J135" i="14" a="1"/>
  <c r="N116" i="14" a="1"/>
  <c r="G112" i="14" a="1"/>
  <c r="D351" i="14" a="1"/>
  <c r="F267" i="14" a="1"/>
  <c r="F421" i="14" a="1"/>
  <c r="O113" i="14" a="1"/>
  <c r="E319" i="14" a="1"/>
  <c r="L159" i="14" a="1"/>
  <c r="I311" i="14" a="1"/>
  <c r="B133" i="14" a="1"/>
  <c r="E325" i="14" a="1"/>
  <c r="O212" i="14" a="1"/>
  <c r="R213" i="14" a="1"/>
  <c r="N243" i="14" a="1"/>
  <c r="J322" i="14" a="1"/>
  <c r="D120" i="14" a="1"/>
  <c r="E120" i="14" a="1"/>
  <c r="L152" i="14" a="1"/>
  <c r="D226" i="14" a="1"/>
  <c r="G148" i="14" a="1"/>
  <c r="L207" i="14" a="1"/>
  <c r="L349" i="14" a="1"/>
  <c r="E444" i="14" a="1"/>
  <c r="C210" i="14" a="1"/>
  <c r="K345" i="14" a="1"/>
  <c r="F323" i="14" a="1"/>
  <c r="R240" i="14" a="1"/>
  <c r="I337" i="14" a="1"/>
  <c r="C116" i="14" a="1"/>
  <c r="D230" i="14" a="1"/>
  <c r="Q208" i="14" a="1"/>
  <c r="P435" i="14" a="1"/>
  <c r="G114" i="14" a="1"/>
  <c r="H264" i="14" a="1"/>
  <c r="B307" i="14" a="1"/>
  <c r="L424" i="14" a="1"/>
  <c r="C359" i="14" a="1"/>
  <c r="D434" i="14" a="1"/>
  <c r="D132" i="14" a="1"/>
  <c r="P470" i="14" a="1"/>
  <c r="M256" i="14" a="1"/>
  <c r="O115" i="14" a="1"/>
  <c r="H225" i="14" a="1"/>
  <c r="D209" i="14" a="1"/>
  <c r="N211" i="14" a="1"/>
  <c r="M243" i="14" a="1"/>
  <c r="M410" i="14" a="1"/>
  <c r="K116" i="14" a="1"/>
  <c r="J128" i="14" a="1"/>
  <c r="G434" i="14" a="1"/>
  <c r="C324" i="14" a="1"/>
  <c r="D160" i="14" a="1"/>
  <c r="B111" i="14" a="1"/>
  <c r="K220" i="14" a="1"/>
  <c r="K419" i="14" a="1"/>
  <c r="L111" i="14" a="1"/>
  <c r="L228" i="14" a="1"/>
  <c r="Q149" i="14" a="1"/>
  <c r="E309" i="14" a="1"/>
  <c r="Q437" i="14" a="1"/>
  <c r="B253" i="14" a="1"/>
  <c r="C215" i="14" a="1"/>
  <c r="B255" i="14" a="1"/>
  <c r="E411" i="14" a="1"/>
  <c r="L321" i="14" a="1"/>
  <c r="P469" i="14" a="1"/>
  <c r="Q213" i="14" a="1"/>
  <c r="B137" i="14" a="1"/>
  <c r="K362" i="14" a="1"/>
  <c r="L213" i="14" a="1"/>
  <c r="C207" i="14" a="1"/>
  <c r="E221" i="14" a="1"/>
  <c r="E152" i="14" a="1"/>
  <c r="C458" i="14" a="1"/>
  <c r="N153" i="14" a="1"/>
  <c r="B409" i="14" a="1"/>
  <c r="G226" i="14" a="1"/>
  <c r="H227" i="14" a="1"/>
  <c r="J129" i="14" a="1"/>
  <c r="N419" i="14" a="1"/>
  <c r="K152" i="14" a="1"/>
  <c r="I307" i="14" a="1"/>
  <c r="M118" i="14" a="1"/>
  <c r="F455" i="14" a="1"/>
  <c r="M447" i="14" a="1"/>
  <c r="C112" i="14" a="1"/>
  <c r="B160" i="14" a="1"/>
  <c r="M258" i="14" a="1"/>
  <c r="E235" i="14" a="1"/>
  <c r="H410" i="14" a="1"/>
  <c r="B131" i="14" a="1"/>
  <c r="J250" i="14" a="1"/>
  <c r="L214" i="14" a="1"/>
  <c r="F316" i="14" a="1"/>
  <c r="H159" i="14" a="1"/>
  <c r="C212" i="14" a="1"/>
  <c r="O129" i="14" a="1"/>
  <c r="O135" i="14" a="1"/>
  <c r="B335" i="14" a="1"/>
  <c r="K410" i="14" a="1"/>
  <c r="M231" i="14" a="1"/>
  <c r="E311" i="14" a="1"/>
  <c r="C270" i="14" a="1"/>
  <c r="M260" i="14" a="1"/>
  <c r="D253" i="14" a="1"/>
  <c r="I148" i="14" a="1"/>
  <c r="K207" i="14" a="1"/>
  <c r="B117" i="14" a="1"/>
  <c r="J332" i="14" a="1"/>
  <c r="D260" i="14" a="1"/>
  <c r="C309" i="14" a="1"/>
  <c r="B362" i="14" a="1"/>
  <c r="L221" i="14" a="1"/>
  <c r="C161" i="14" a="1"/>
  <c r="B316" i="14" a="1"/>
  <c r="F319" i="14" a="1"/>
  <c r="C442" i="14" a="1"/>
  <c r="J333" i="14" a="1"/>
  <c r="M341" i="14" a="1"/>
  <c r="I136" i="14" a="1"/>
  <c r="M239" i="14" a="1"/>
  <c r="F149" i="14" a="1"/>
  <c r="D470" i="14" a="1"/>
  <c r="K332" i="14" a="1"/>
  <c r="B422" i="14" a="1"/>
  <c r="B443" i="14" a="1"/>
  <c r="E265" i="14" a="1"/>
  <c r="D133" i="14" a="1"/>
  <c r="C224" i="14" a="1"/>
  <c r="D466" i="14" a="1"/>
  <c r="E133" i="14" a="1"/>
  <c r="O214" i="14" a="1"/>
  <c r="D307" i="14" a="1"/>
  <c r="B129" i="14" a="1"/>
  <c r="G432" i="14" a="1"/>
  <c r="E226" i="14" a="1"/>
  <c r="N460" i="14" a="1"/>
  <c r="E334" i="14" a="1"/>
  <c r="H110" i="14" a="1"/>
  <c r="C250" i="14" a="1"/>
  <c r="R222" i="14" a="1"/>
  <c r="L242" i="14" a="1"/>
  <c r="K438" i="14" a="1"/>
  <c r="C319" i="14" a="1"/>
  <c r="L151" i="14" a="1"/>
  <c r="L156" i="14" a="1"/>
  <c r="N257" i="14" a="1"/>
  <c r="K435" i="14" a="1"/>
  <c r="S242" i="14" a="1"/>
  <c r="E119" i="14" a="1"/>
  <c r="D229" i="14" a="1"/>
  <c r="I115" i="14" a="1"/>
  <c r="M240" i="14" a="1"/>
  <c r="C444" i="14" a="1"/>
  <c r="C110" i="14" a="1"/>
  <c r="B336" i="14" a="1"/>
  <c r="N148" i="14" a="1"/>
  <c r="H206" i="14" a="1"/>
  <c r="J114" i="14" a="1"/>
  <c r="E229" i="14" a="1"/>
  <c r="K155" i="14" a="1"/>
  <c r="F212" i="14" a="1"/>
  <c r="F227" i="14" a="1"/>
  <c r="C351" i="14" a="1"/>
  <c r="K209" i="14" a="1"/>
  <c r="Q209" i="14" a="1"/>
  <c r="N232" i="14" a="1"/>
  <c r="D222" i="14" a="1"/>
  <c r="B308" i="14" a="1"/>
  <c r="F318" i="14" a="1"/>
  <c r="G213" i="14" a="1"/>
  <c r="N215" i="14" a="1"/>
  <c r="M209" i="14" a="1"/>
  <c r="O228" i="14" a="1"/>
  <c r="D128" i="14" a="1"/>
  <c r="J119" i="14" a="1"/>
  <c r="L119" i="14" a="1"/>
  <c r="J156" i="14" a="1"/>
  <c r="G206" i="14" a="1"/>
  <c r="E157" i="14" a="1"/>
  <c r="D250" i="14" a="1"/>
  <c r="P214" i="14" a="1"/>
  <c r="C332" i="14" a="1"/>
  <c r="B161" i="14" a="1"/>
  <c r="Q140" i="14" a="1"/>
  <c r="K232" i="14" a="1"/>
  <c r="E315" i="14" a="1"/>
  <c r="L338" i="14" a="1"/>
  <c r="I112" i="14" a="1"/>
  <c r="O230" i="14" a="1"/>
  <c r="C422" i="14" a="1"/>
  <c r="G359" i="14" a="1"/>
  <c r="D149" i="14" a="1"/>
  <c r="L461" i="14" a="1"/>
  <c r="D326" i="14" a="1"/>
  <c r="F225" i="14" a="1"/>
  <c r="K323" i="14" a="1"/>
  <c r="M421" i="14" a="1"/>
  <c r="K349" i="14" a="1"/>
  <c r="D315" i="14" a="1"/>
  <c r="M360" i="14" a="1"/>
  <c r="K320" i="14" a="1"/>
  <c r="L244" i="14" a="1"/>
  <c r="N135" i="14" a="1"/>
  <c r="M361" i="14" a="1"/>
  <c r="B114" i="14" a="1"/>
  <c r="D210" i="14" a="1"/>
  <c r="B228" i="14" a="1"/>
  <c r="N229" i="14" a="1"/>
  <c r="O207" i="14" a="1"/>
  <c r="S214" i="14" a="1"/>
  <c r="I131" i="14" a="1"/>
  <c r="J358" i="14" a="1"/>
  <c r="S221" i="14" a="1"/>
  <c r="J158" i="14" a="1"/>
  <c r="N113" i="14" a="1"/>
  <c r="K423" i="14" a="1"/>
  <c r="D208" i="14" a="1"/>
  <c r="T240" i="14" a="1"/>
  <c r="D332" i="14" a="1"/>
  <c r="Q222" i="14" a="1"/>
  <c r="F223" i="14" a="1"/>
  <c r="M156" i="14" a="1"/>
  <c r="D336" i="14" a="1"/>
  <c r="C410" i="14" a="1"/>
  <c r="B110" i="14" a="1"/>
  <c r="J359" i="14" a="1"/>
  <c r="L208" i="14" a="1"/>
  <c r="S212" i="14" a="1"/>
  <c r="E422" i="14" a="1"/>
  <c r="D213" i="14" a="1"/>
  <c r="Q154" i="14" a="1"/>
  <c r="F506" i="14" a="1"/>
  <c r="F505" i="14" a="1"/>
  <c r="I256" i="14" a="1"/>
  <c r="C159" i="14" a="1"/>
  <c r="D268" i="14" a="1"/>
  <c r="J319" i="14" a="1"/>
  <c r="M221" i="14" a="1"/>
  <c r="J337" i="14" a="1"/>
  <c r="F110" i="14" a="1"/>
  <c r="B333" i="14" a="1"/>
  <c r="L153" i="14" a="1"/>
  <c r="H158" i="14" a="1"/>
  <c r="C424" i="14" a="1"/>
  <c r="C228" i="14" a="1"/>
  <c r="F512" i="14" a="1"/>
  <c r="G22" i="14" a="1"/>
  <c r="E461" i="14" a="1"/>
  <c r="K159" i="14" a="1"/>
  <c r="J341" i="14" a="1"/>
  <c r="F442" i="14" a="1"/>
  <c r="D254" i="14" a="1"/>
  <c r="P113" i="14" a="1"/>
  <c r="E211" i="14" a="1"/>
  <c r="O128" i="14" a="1"/>
  <c r="L131" i="14" a="1"/>
  <c r="I349" i="14" a="1"/>
  <c r="F209" i="14" a="1"/>
  <c r="J308" i="14" a="1"/>
  <c r="C315" i="14" a="1"/>
  <c r="D224" i="14" a="1"/>
  <c r="I260" i="14" a="1"/>
  <c r="B421" i="14" a="1"/>
  <c r="E423" i="14" a="1"/>
  <c r="Q220" i="14" a="1"/>
  <c r="Q110" i="14" a="1"/>
  <c r="O111" i="14" a="1"/>
  <c r="L209" i="14" a="1"/>
  <c r="N423" i="14" a="1"/>
  <c r="E134" i="14" a="1"/>
  <c r="K255" i="14" a="1"/>
  <c r="B257" i="14" a="1"/>
  <c r="G230" i="14" a="1"/>
  <c r="I268" i="14" a="1"/>
  <c r="C209" i="14" a="1"/>
  <c r="L118" i="14" a="1"/>
  <c r="L206" i="14" a="1"/>
  <c r="H211" i="14" a="1"/>
  <c r="B324" i="14" a="1"/>
  <c r="H226" i="14" a="1"/>
  <c r="C334" i="14" a="1"/>
  <c r="B466" i="14" a="1"/>
  <c r="H148" i="14" a="1"/>
  <c r="G222" i="14" a="1"/>
  <c r="P206" i="14" a="1"/>
  <c r="L425" i="14" a="1"/>
  <c r="C307" i="14" a="1"/>
  <c r="J362" i="14" a="1"/>
  <c r="I333" i="14" a="1"/>
  <c r="C129" i="14" a="1"/>
  <c r="K330" i="14" a="1"/>
  <c r="L323" i="14" a="1"/>
  <c r="Q116" i="14" a="1"/>
  <c r="C465" i="14" a="1"/>
  <c r="J254" i="14" a="1"/>
  <c r="C335" i="14" a="1"/>
  <c r="J138" i="14" a="1"/>
  <c r="Q438" i="14" a="1"/>
  <c r="F113" i="14" a="1"/>
  <c r="M250" i="14" a="1"/>
  <c r="J321" i="14" a="1"/>
  <c r="H224" i="14" a="1"/>
  <c r="R212" i="14" a="1"/>
  <c r="K151" i="14" a="1"/>
  <c r="G228" i="14" a="1"/>
  <c r="N231" i="14" a="1"/>
  <c r="B359" i="14" a="1"/>
  <c r="B345" i="14" a="1"/>
  <c r="Q228" i="14" a="1"/>
  <c r="P241" i="14" a="1"/>
  <c r="N158" i="14" a="1"/>
  <c r="E224" i="14" a="1"/>
  <c r="N263" i="14" a="1"/>
  <c r="E114" i="14" a="1"/>
  <c r="F230" i="14" a="1"/>
  <c r="M437" i="14" a="1"/>
  <c r="L212" i="14" a="1"/>
  <c r="I309" i="14" a="1"/>
  <c r="P451" i="14" a="1"/>
  <c r="M232" i="14" a="1"/>
  <c r="B334" i="14" a="1"/>
  <c r="B224" i="14" a="1"/>
  <c r="I249" i="14" a="1"/>
  <c r="B214" i="14" a="1"/>
  <c r="K231" i="14" a="1"/>
  <c r="M229" i="14" a="1"/>
  <c r="E215" i="14" a="1"/>
  <c r="R434" i="14" a="1"/>
  <c r="F221" i="14" a="1"/>
  <c r="L346" i="14" a="1"/>
  <c r="H409" i="14" a="1"/>
  <c r="K434" i="14" a="1"/>
  <c r="H216" i="14" a="1"/>
  <c r="L251" i="14" a="1"/>
  <c r="Q436" i="14" a="1"/>
  <c r="E212" i="14" a="1"/>
  <c r="I341" i="14" a="1"/>
  <c r="I110" i="14" a="1"/>
  <c r="C447" i="14" a="1"/>
  <c r="E456" i="14" a="1"/>
  <c r="D255" i="14" a="1"/>
  <c r="S222" i="14" a="1"/>
  <c r="F317" i="14" a="1"/>
  <c r="F269" i="14" a="1"/>
  <c r="M412" i="14" a="1"/>
  <c r="D269" i="14" a="1"/>
  <c r="C420" i="14" a="1"/>
  <c r="I111" i="14" a="1"/>
  <c r="Q232" i="14" a="1"/>
  <c r="Q211" i="14" a="1"/>
  <c r="E259" i="14" a="1"/>
  <c r="O219" i="14" a="1"/>
  <c r="G221" i="14" a="1"/>
  <c r="D461" i="14" a="1"/>
  <c r="K215" i="14" a="1"/>
  <c r="J323" i="14" a="1"/>
  <c r="F315" i="14" a="1"/>
  <c r="J349" i="14" a="1"/>
  <c r="F420" i="14" a="1"/>
  <c r="F224" i="14" a="1"/>
  <c r="F410" i="14" a="1"/>
  <c r="E413" i="14" a="1"/>
  <c r="F214" i="14" a="1"/>
  <c r="B113" i="14" a="1"/>
  <c r="M257" i="14" a="1"/>
  <c r="D419" i="14" a="1"/>
  <c r="I129" i="14" a="1"/>
  <c r="H230" i="14" a="1"/>
  <c r="N219" i="14" a="1"/>
  <c r="M265" i="14" a="1"/>
  <c r="M458" i="14" a="1"/>
  <c r="F114" i="14" a="1"/>
  <c r="J346" i="14" a="1"/>
  <c r="M460" i="14" a="1"/>
  <c r="N110" i="14" a="1"/>
  <c r="Q239" i="14" a="1"/>
  <c r="K147" i="14" a="1"/>
  <c r="K115" i="14" a="1"/>
  <c r="B241" i="14" a="1"/>
  <c r="J345" i="14" a="1"/>
  <c r="P447" i="14" a="1"/>
  <c r="Q159" i="14" a="1"/>
  <c r="B448" i="14" a="1"/>
  <c r="K211" i="14" a="1"/>
  <c r="G436" i="14" a="1"/>
  <c r="P135" i="14" a="1"/>
  <c r="P211" i="14" a="1"/>
  <c r="B132" i="14" a="1"/>
  <c r="L256" i="14" a="1"/>
  <c r="K321" i="14" a="1"/>
  <c r="D458" i="14" a="1"/>
  <c r="F507" i="14" a="1"/>
  <c r="Q163" i="14" a="1"/>
  <c r="M461" i="14" a="1"/>
  <c r="B226" i="14" a="1"/>
  <c r="P137" i="14" a="1"/>
  <c r="Q147" i="14" a="1"/>
  <c r="D454" i="14" a="1"/>
  <c r="O258" i="14" a="1"/>
  <c r="F513" i="14" a="1"/>
  <c r="E115" i="14" a="1"/>
  <c r="D325" i="14" a="1"/>
  <c r="K346" i="14" a="1"/>
  <c r="I414" i="14" a="1"/>
  <c r="F514" i="14" a="1"/>
  <c r="D318" i="14" a="1"/>
  <c r="E460" i="14" a="1"/>
  <c r="K252" i="14" a="1"/>
  <c r="E327" i="14" a="1"/>
  <c r="D256" i="14" a="1"/>
  <c r="G409" i="14" a="1"/>
  <c r="D249" i="14" a="1"/>
  <c r="F515" i="14" a="1"/>
  <c r="E222" i="14" a="1"/>
  <c r="D113" i="14" a="1"/>
  <c r="H256" i="14" a="1"/>
  <c r="F409" i="14" a="1"/>
  <c r="P229" i="14" a="1"/>
  <c r="C423" i="14" a="1"/>
  <c r="E227" i="14" a="1"/>
  <c r="L471" i="14" a="1"/>
  <c r="N241" i="14" a="1"/>
  <c r="E159" i="14" a="1"/>
  <c r="H212" i="14" a="1"/>
  <c r="D323" i="14" a="1"/>
  <c r="I257" i="14" a="1"/>
  <c r="E420" i="14" a="1"/>
  <c r="N252" i="14" a="1"/>
  <c r="H412" i="14" a="1"/>
  <c r="M117" i="14" a="1"/>
  <c r="I137" i="14" a="1"/>
  <c r="D131" i="14" a="1"/>
  <c r="H146" i="14" a="1"/>
  <c r="M211" i="14" a="1"/>
  <c r="K153" i="14" a="1"/>
  <c r="B323" i="14" a="1"/>
  <c r="D360" i="14" a="1"/>
  <c r="C157" i="14" a="1"/>
  <c r="Q158" i="14" a="1"/>
  <c r="N207" i="14" a="1"/>
  <c r="N213" i="14" a="1"/>
  <c r="G437" i="14" a="1"/>
  <c r="M219" i="14" a="1"/>
  <c r="J307" i="14" a="1"/>
  <c r="K117" i="14" a="1"/>
  <c r="D119" i="14" a="1"/>
  <c r="B222" i="14" a="1"/>
  <c r="M249" i="14" a="1"/>
  <c r="D443" i="14" a="1"/>
  <c r="F308" i="14" a="1"/>
  <c r="L241" i="14" a="1"/>
  <c r="Q451" i="14" a="1"/>
  <c r="C241" i="14" a="1"/>
  <c r="B135" i="14" a="1"/>
  <c r="D421" i="14" a="1"/>
  <c r="K426" i="14" a="1"/>
  <c r="E250" i="14" a="1"/>
  <c r="D115" i="14" a="1"/>
  <c r="P437" i="14" a="1"/>
  <c r="E135" i="14" a="1"/>
  <c r="I331" i="14" a="1"/>
  <c r="B112" i="14" a="1"/>
  <c r="M148" i="14" a="1"/>
  <c r="B138" i="14" a="1"/>
  <c r="M254" i="14" a="1"/>
  <c r="B134" i="14" a="1"/>
  <c r="F238" i="14" a="1"/>
  <c r="L341" i="14" a="1"/>
  <c r="M470" i="14" a="1"/>
  <c r="F116" i="14" a="1"/>
  <c r="D433" i="14" a="1"/>
  <c r="C114" i="14" a="1"/>
  <c r="L220" i="14" a="1"/>
  <c r="L421" i="14" a="1"/>
  <c r="Q434" i="14" a="1"/>
  <c r="D311" i="14" a="1"/>
  <c r="D221" i="14" a="1"/>
  <c r="F311" i="14" a="1"/>
  <c r="H209" i="14" a="1"/>
  <c r="E223" i="14" a="1"/>
  <c r="Q136" i="14" a="1"/>
  <c r="D424" i="14" a="1"/>
  <c r="K156" i="14" a="1"/>
  <c r="H411" i="14" a="1"/>
  <c r="U240" i="14" a="1"/>
  <c r="J116" i="14" a="1"/>
  <c r="C211" i="14" a="1"/>
  <c r="C139" i="14" a="1"/>
  <c r="H157" i="14" a="1"/>
  <c r="M426" i="14" a="1"/>
  <c r="C318" i="14" a="1"/>
  <c r="F239" i="14" a="1"/>
  <c r="E361" i="14" a="1"/>
  <c r="E131" i="14" a="1"/>
  <c r="Q439" i="14" a="1"/>
  <c r="D257" i="14" a="1"/>
  <c r="Q242" i="14" a="1"/>
  <c r="N114" i="14" a="1"/>
  <c r="J117" i="14" a="1"/>
  <c r="K414" i="14" a="1"/>
  <c r="O208" i="14" a="1"/>
  <c r="D335" i="14" a="1"/>
  <c r="C455" i="14" a="1"/>
  <c r="I340" i="14" a="1"/>
  <c r="E238" i="14" a="1"/>
  <c r="B361" i="14" a="1"/>
  <c r="F241" i="14" a="1"/>
  <c r="I308" i="14" a="1"/>
  <c r="L457" i="14" a="1"/>
  <c r="E360" i="14" a="1"/>
  <c r="K331" i="14" a="1"/>
  <c r="K253" i="14" a="1"/>
  <c r="D236" i="14" a="1"/>
  <c r="K341" i="14" a="1"/>
  <c r="F446" i="14" a="1"/>
  <c r="K319" i="14" a="1"/>
  <c r="Q210" i="14" a="1"/>
  <c r="H210" i="14" a="1"/>
  <c r="H208" i="14" a="1"/>
  <c r="D217" i="14" a="1"/>
  <c r="H116" i="14" a="1"/>
  <c r="D431" i="14" a="1"/>
  <c r="M409" i="14" a="1"/>
  <c r="M115" i="14" a="1"/>
  <c r="O221" i="14" a="1"/>
  <c r="B128" i="14" a="1"/>
  <c r="F325" i="14" a="1"/>
  <c r="J131" i="14" a="1"/>
  <c r="B358" i="14" a="1"/>
  <c r="B136" i="14" a="1"/>
  <c r="I346" i="14" a="1"/>
  <c r="P230" i="14" a="1"/>
  <c r="H151" i="14" a="1"/>
  <c r="F444" i="14" a="1"/>
  <c r="B212" i="14" a="1"/>
  <c r="F423" i="14" a="1"/>
  <c r="M268" i="14" a="1"/>
  <c r="D150" i="14" a="1"/>
  <c r="G216" i="14" a="1"/>
  <c r="K223" i="14" a="1"/>
  <c r="B310" i="14" a="1"/>
  <c r="B239" i="14" a="1"/>
  <c r="B326" i="14" a="1"/>
  <c r="F448" i="14" a="1"/>
  <c r="H152" i="14" a="1"/>
  <c r="P111" i="14" a="1"/>
  <c r="C435" i="14" a="1"/>
  <c r="H251" i="14" a="1"/>
  <c r="L231" i="14" a="1"/>
  <c r="E207" i="14" a="1"/>
  <c r="N253" i="14" a="1"/>
  <c r="K307" i="14" a="1"/>
  <c r="F117" i="14" a="1"/>
  <c r="N421" i="14" a="1"/>
  <c r="B213" i="14" a="1"/>
  <c r="Q137" i="14" a="1"/>
  <c r="L114" i="14" a="1"/>
  <c r="M113" i="14" a="1"/>
  <c r="L147" i="14" a="1"/>
  <c r="L459" i="14" a="1"/>
  <c r="H253" i="14" a="1"/>
  <c r="I158" i="14" a="1"/>
  <c r="L219" i="14" a="1"/>
  <c r="D267" i="14" a="1"/>
  <c r="E335" i="14" a="1"/>
  <c r="I152" i="14" a="1"/>
  <c r="Q219" i="14" a="1"/>
  <c r="M210" i="14" a="1"/>
  <c r="R244" i="14" a="1"/>
  <c r="C216" i="14" a="1"/>
  <c r="Q207" i="14" a="1"/>
  <c r="E236" i="14" a="1"/>
  <c r="D129" i="14" a="1"/>
  <c r="K448" i="14" a="1"/>
  <c r="B149" i="14" a="1"/>
  <c r="B208" i="14" a="1"/>
  <c r="I151" i="14" a="1"/>
  <c r="L329" i="14" a="1"/>
  <c r="I22" i="14" a="1"/>
  <c r="J268" i="14" a="1"/>
  <c r="I310" i="14" a="1"/>
  <c r="Q162" i="14" a="1"/>
  <c r="D471" i="14" a="1"/>
  <c r="B454" i="14" a="1"/>
  <c r="L210" i="14" a="1"/>
  <c r="G212" i="14" a="1"/>
  <c r="B311" i="14" a="1"/>
  <c r="M110" i="14" a="1"/>
  <c r="K337" i="14" a="1"/>
  <c r="C131" i="14" a="1"/>
  <c r="D211" i="14" a="1"/>
  <c r="I319" i="14" a="1"/>
  <c r="P220" i="14" a="1"/>
  <c r="K409" i="14" a="1"/>
  <c r="B116" i="14" a="1"/>
  <c r="I348" i="14" a="1"/>
  <c r="C115" i="14" a="1"/>
  <c r="I149" i="14" a="1"/>
  <c r="D423" i="14" a="1"/>
  <c r="G433" i="14" a="1"/>
  <c r="N457" i="14" a="1"/>
  <c r="S215" i="14" a="1"/>
  <c r="I410" i="14" a="1"/>
  <c r="S243" i="14" a="1"/>
  <c r="E307" i="14" a="1"/>
  <c r="C118" i="14" a="1"/>
  <c r="D152" i="14" a="1"/>
  <c r="K348" i="14" a="1"/>
  <c r="P112" i="14" a="1"/>
  <c r="M206" i="14" a="1"/>
  <c r="B346" i="14" a="1"/>
  <c r="L410" i="14" a="1"/>
  <c r="M436" i="14" a="1"/>
  <c r="K436" i="14" a="1"/>
  <c r="O426" i="14" a="1"/>
  <c r="E132" i="14" a="1"/>
  <c r="H432" i="14" a="1"/>
  <c r="D110" i="14" a="1"/>
  <c r="C150" i="14" a="1"/>
  <c r="I267" i="14" a="1"/>
  <c r="I117" i="14" a="1"/>
  <c r="E257" i="14" a="1"/>
  <c r="B230" i="14" a="1"/>
  <c r="F422" i="14" a="1"/>
  <c r="Q240" i="14" a="1"/>
  <c r="G113" i="14" a="1"/>
  <c r="J338" i="14" a="1"/>
  <c r="J414" i="14" a="1"/>
  <c r="O222" i="14" a="1"/>
  <c r="J151" i="14" a="1"/>
  <c r="K361" i="14" a="1"/>
  <c r="R220" i="14" a="1"/>
  <c r="L434" i="14" a="1"/>
  <c r="D251" i="14" a="1"/>
  <c r="H149" i="14" a="1"/>
  <c r="Q148" i="14" a="1"/>
  <c r="E446" i="14" a="1"/>
  <c r="N424" i="14" a="1"/>
  <c r="D262" i="14" a="1"/>
  <c r="K310" i="14" a="1"/>
  <c r="F208" i="14" a="1"/>
  <c r="L427" i="14" a="1"/>
  <c r="C308" i="14" a="1"/>
  <c r="I128" i="14" a="1"/>
  <c r="H221" i="14" a="1"/>
  <c r="M213" i="14" a="1"/>
  <c r="H207" i="14" a="1"/>
  <c r="E111" i="14" a="1"/>
  <c r="O231" i="14" a="1"/>
  <c r="M345" i="14" a="1"/>
  <c r="L469" i="14" a="1"/>
  <c r="M425" i="14" a="1"/>
  <c r="I146" i="14" a="1"/>
  <c r="H213" i="14" a="1"/>
  <c r="O209" i="14" a="1"/>
  <c r="N222" i="14" a="1"/>
  <c r="K421" i="14" a="1"/>
  <c r="Q233" i="14" a="1"/>
  <c r="G208" i="14" a="1"/>
  <c r="G411" i="14" a="1"/>
  <c r="P138" i="14" a="1"/>
  <c r="D258" i="14" a="1"/>
  <c r="E110" i="14" a="1"/>
  <c r="I323" i="14" a="1"/>
  <c r="O233" i="14" a="1"/>
  <c r="K110" i="14" a="1"/>
  <c r="E113" i="14" a="1"/>
  <c r="N118" i="14" a="1"/>
  <c r="K208" i="14" a="1"/>
  <c r="P222" i="14" a="1"/>
  <c r="J361" i="14" a="1"/>
  <c r="P448" i="14" a="1"/>
  <c r="Q231" i="14" a="1"/>
  <c r="G255" i="14" a="1"/>
  <c r="J331" i="14" a="1"/>
  <c r="Q243" i="14" a="1"/>
  <c r="B458" i="14" a="1"/>
  <c r="B420" i="14" a="1"/>
  <c r="B262" i="14" a="1"/>
  <c r="L319" i="14" a="1"/>
  <c r="E117" i="14" a="1"/>
  <c r="I250" i="14" a="1"/>
  <c r="E266" i="14" a="1"/>
  <c r="M223" i="14" a="1"/>
  <c r="M230" i="14" a="1"/>
  <c r="B309" i="14" a="1"/>
  <c r="L337" i="14" a="1"/>
  <c r="G251" i="14" a="1"/>
  <c r="C251" i="14" a="1"/>
  <c r="N228" i="14" a="1"/>
  <c r="D447" i="14" a="1"/>
  <c r="L110" i="14" a="1"/>
  <c r="M262" i="14" a="1"/>
  <c r="I322" i="14" a="1"/>
  <c r="L250" i="14" a="1"/>
  <c r="B210" i="14" a="1"/>
  <c r="K239" i="14" a="1"/>
  <c r="C221" i="14" a="1"/>
  <c r="C360" i="14" a="1"/>
  <c r="F504" i="14" a="1"/>
  <c r="D309" i="14" a="1"/>
  <c r="G209" i="14" a="1"/>
  <c r="I259" i="14" a="1"/>
  <c r="H263" i="14" a="1"/>
  <c r="Q145" i="14" a="1"/>
  <c r="M348" i="14" a="1"/>
  <c r="K311" i="14" a="1"/>
  <c r="K251" i="14" a="1"/>
  <c r="B254" i="14" a="1"/>
  <c r="E149" i="14" a="1"/>
  <c r="M212" i="14" a="1"/>
  <c r="D227" i="14" a="1"/>
  <c r="E442" i="14" a="1"/>
  <c r="E230" i="14" a="1"/>
  <c r="C117" i="14" a="1"/>
  <c r="F215" i="14" a="1"/>
  <c r="F508" i="14" a="1"/>
  <c r="F235" i="14" a="1"/>
  <c r="N221" i="14" a="1"/>
  <c r="B258" i="14" a="1"/>
  <c r="D223" i="14" a="1"/>
  <c r="R447" i="14" a="1"/>
  <c r="H249" i="14" a="1"/>
  <c r="H150" i="14" a="1"/>
  <c r="D334" i="14" a="1"/>
  <c r="B461" i="14" a="1"/>
  <c r="Q139" i="14" a="1"/>
  <c r="I264" i="14" a="1"/>
  <c r="J311" i="14" a="1"/>
  <c r="J329" i="14" a="1"/>
  <c r="C443" i="14" a="1"/>
  <c r="E228" i="14" a="1"/>
  <c r="K210" i="14" a="1"/>
  <c r="F159" i="14" a="1"/>
  <c r="B207" i="14" a="1"/>
  <c r="D316" i="14" a="1"/>
  <c r="K111" i="14" a="1"/>
  <c r="M253" i="14" a="1"/>
  <c r="C249" i="14" a="1"/>
  <c r="F411" i="14" a="1"/>
  <c r="I114" i="14" a="1"/>
  <c r="B211" i="14" a="1"/>
  <c r="B410" i="14" a="1"/>
  <c r="K240" i="14" a="1"/>
  <c r="C460" i="14" a="1"/>
  <c r="D410" i="14" a="1"/>
  <c r="D116" i="14" a="1"/>
  <c r="D215" i="14" a="1"/>
  <c r="K222" i="14" a="1"/>
  <c r="F270" i="14" a="1"/>
  <c r="C419" i="14" a="1"/>
  <c r="E210" i="14" a="1"/>
  <c r="B419" i="14" a="1"/>
  <c r="Q155" i="14" a="1"/>
  <c r="C311" i="14" a="1"/>
  <c r="L230" i="14" a="1"/>
  <c r="R243" i="14" a="1"/>
  <c r="K114" i="14" a="1"/>
  <c r="D212" i="14" a="1"/>
  <c r="C472" i="14" a="1"/>
  <c r="K230" i="14" a="1"/>
  <c r="C461" i="14" a="1"/>
  <c r="B225" i="14" a="1"/>
  <c r="I409" i="14" a="1"/>
  <c r="E447" i="14" a="1"/>
  <c r="J267" i="14" a="1"/>
  <c r="G253" i="14" a="1"/>
  <c r="O420" i="14" a="1"/>
  <c r="N259" i="14" a="1"/>
  <c r="P221" i="14" a="1"/>
  <c r="B455" i="14" a="1"/>
  <c r="P219" i="14" a="1"/>
  <c r="M469" i="14" a="1"/>
  <c r="P215" i="14" a="1"/>
  <c r="O112" i="14" a="1"/>
  <c r="L362" i="14" a="1"/>
  <c r="L146" i="14" a="1"/>
  <c r="C327" i="14" a="1"/>
  <c r="K213" i="14" a="1"/>
  <c r="I253" i="14" a="1"/>
  <c r="O232" i="14" a="1"/>
  <c r="M259" i="14" a="1"/>
  <c r="K358" i="14" a="1"/>
  <c r="O223" i="14" a="1"/>
  <c r="G410" i="14" a="1"/>
  <c r="M251" i="14" a="1"/>
  <c r="K437" i="14" a="1"/>
  <c r="E263" i="14" a="1"/>
  <c r="F228" i="14" a="1"/>
  <c r="Q138" i="14" a="1"/>
  <c r="P472" i="14" a="1"/>
  <c r="Q435" i="14" a="1"/>
  <c r="P212" i="14" a="1"/>
  <c r="G217" i="14" a="1"/>
  <c r="K146" i="14" a="1"/>
  <c r="E112" i="14" a="1"/>
  <c r="L223" i="14" a="1"/>
  <c r="G431" i="14" a="1"/>
  <c r="L470" i="14" a="1"/>
  <c r="C433" i="14" a="1"/>
  <c r="L243" i="14" a="1"/>
  <c r="C226" i="14" a="1"/>
  <c r="K333" i="14" a="1"/>
  <c r="N206" i="14" a="1"/>
  <c r="D239" i="14" a="1"/>
  <c r="C239" i="14" a="1"/>
  <c r="K309" i="14" a="1"/>
  <c r="K242" i="14" a="1"/>
  <c r="M146" i="14" a="1"/>
  <c r="M413" i="14" a="1"/>
  <c r="L420" i="14" a="1"/>
  <c r="K424" i="14" a="1"/>
  <c r="M338" i="14" a="1"/>
  <c r="P228" i="14" a="1"/>
  <c r="F258" i="14" a="1"/>
  <c r="N210" i="14" a="1"/>
  <c r="D259" i="14" a="1"/>
  <c r="F510" i="14" a="1"/>
  <c r="B315" i="14" a="1"/>
  <c r="C128" i="14" a="1"/>
  <c r="E419" i="14" a="1"/>
  <c r="O425" i="14" a="1"/>
  <c r="Q146" i="14" a="1"/>
  <c r="D112" i="14" a="1"/>
  <c r="L426" i="14" a="1"/>
  <c r="D228" i="14" a="1"/>
  <c r="F119" i="14" a="1"/>
  <c r="L128" i="14" a="1"/>
  <c r="O239" i="14" a="1"/>
  <c r="L414" i="14" a="1"/>
  <c r="C471" i="14" a="1"/>
  <c r="F412" i="14" a="1"/>
  <c r="K148" i="14" a="1"/>
  <c r="M438" i="14" a="1"/>
  <c r="K359" i="14" a="1"/>
  <c r="C364" i="14" a="1"/>
  <c r="B223" i="14" a="1"/>
  <c r="P231" i="14" a="1"/>
  <c r="E130" i="14" a="1"/>
  <c r="M241" i="14" a="1"/>
  <c r="D319" i="14" a="1"/>
  <c r="N111" i="14" a="1"/>
  <c r="L146" i="13" a="1"/>
  <c r="I257" i="13" a="1"/>
  <c r="H221" i="13" a="1"/>
  <c r="O425" i="13" a="1"/>
  <c r="R115" i="13" a="1"/>
  <c r="G229" i="13" a="1"/>
  <c r="M213" i="13" a="1"/>
  <c r="D228" i="13" a="1"/>
  <c r="M250" i="13" a="1"/>
  <c r="H228" i="13" a="1"/>
  <c r="G433" i="13" a="1"/>
  <c r="M116" i="13" a="1"/>
  <c r="G215" i="13" a="1"/>
  <c r="O233" i="13" a="1"/>
  <c r="L341" i="13" a="1"/>
  <c r="F254" i="13" a="1"/>
  <c r="B423" i="13" a="1"/>
  <c r="D213" i="13" a="1"/>
  <c r="G254" i="13" a="1"/>
  <c r="J250" i="13" a="1"/>
  <c r="D265" i="13" a="1"/>
  <c r="F210" i="13" a="1"/>
  <c r="E250" i="13" a="1"/>
  <c r="H110" i="13" a="1"/>
  <c r="E130" i="13" a="1"/>
  <c r="J113" i="13" a="1"/>
  <c r="P221" i="13" a="1"/>
  <c r="Q115" i="13" a="1"/>
  <c r="M229" i="13" a="1"/>
  <c r="E132" i="13" a="1"/>
  <c r="Q230" i="13" a="1"/>
  <c r="M447" i="13" a="1"/>
  <c r="K112" i="13" a="1"/>
  <c r="B136" i="13" a="1"/>
  <c r="B221" i="13" a="1"/>
  <c r="Q213" i="13" a="1"/>
  <c r="J138" i="13" a="1"/>
  <c r="J150" i="13" a="1"/>
  <c r="B323" i="13" a="1"/>
  <c r="B410" i="13" a="1"/>
  <c r="F419" i="13" a="1"/>
  <c r="P211" i="13" a="1"/>
  <c r="K435" i="13" a="1"/>
  <c r="E316" i="13" a="1"/>
  <c r="O253" i="13" a="1"/>
  <c r="L459" i="13" a="1"/>
  <c r="I264" i="13" a="1"/>
  <c r="G111" i="13" a="1"/>
  <c r="F208" i="13" a="1"/>
  <c r="E135" i="13" a="1"/>
  <c r="H250" i="13" a="1"/>
  <c r="B118" i="13" a="1"/>
  <c r="B236" i="13" a="1"/>
  <c r="G223" i="13" a="1"/>
  <c r="E213" i="13" a="1"/>
  <c r="N424" i="13" a="1"/>
  <c r="K341" i="13" a="1"/>
  <c r="Q243" i="13" a="1"/>
  <c r="M265" i="13" a="1"/>
  <c r="L207" i="13" a="1"/>
  <c r="F109" i="13" a="1"/>
  <c r="F319" i="13" a="1"/>
  <c r="C133" i="13" a="1"/>
  <c r="E257" i="13" a="1"/>
  <c r="N239" i="13" a="1"/>
  <c r="B422" i="13" a="1"/>
  <c r="L419" i="13" a="1"/>
  <c r="E207" i="13" a="1"/>
  <c r="O208" i="13" a="1"/>
  <c r="K241" i="13" a="1"/>
  <c r="N118" i="13" a="1"/>
  <c r="N419" i="13" a="1"/>
  <c r="E131" i="13" a="1"/>
  <c r="B152" i="13" a="1"/>
  <c r="E262" i="13" a="1"/>
  <c r="F110" i="13" a="1"/>
  <c r="I136" i="13" a="1"/>
  <c r="F228" i="13" a="1"/>
  <c r="B325" i="13" a="1"/>
  <c r="K420" i="13" a="1"/>
  <c r="N111" i="13" a="1"/>
  <c r="R447" i="13" a="1"/>
  <c r="P470" i="13" a="1"/>
  <c r="B112" i="13" a="1"/>
  <c r="K349" i="13" a="1"/>
  <c r="K228" i="13" a="1"/>
  <c r="P210" i="13" a="1"/>
  <c r="F513" i="13" a="1"/>
  <c r="K252" i="13" a="1"/>
  <c r="M409" i="13" a="1"/>
  <c r="D208" i="13" a="1"/>
  <c r="P223" i="13" a="1"/>
  <c r="E458" i="13" a="1"/>
  <c r="H209" i="13" a="1"/>
  <c r="I338" i="13" a="1"/>
  <c r="M222" i="13" a="1"/>
  <c r="E444" i="13" a="1"/>
  <c r="M260" i="13" a="1"/>
  <c r="I113" i="13" a="1"/>
  <c r="K114" i="13" a="1"/>
  <c r="L209" i="13" a="1"/>
  <c r="B444" i="13" a="1"/>
  <c r="D235" i="13" a="1"/>
  <c r="F211" i="13" a="1"/>
  <c r="B128" i="13" a="1"/>
  <c r="C443" i="13" a="1"/>
  <c r="M266" i="13" a="1"/>
  <c r="D249" i="13" a="1"/>
  <c r="D229" i="13" a="1"/>
  <c r="I260" i="13" a="1"/>
  <c r="D454" i="13" a="1"/>
  <c r="L256" i="13" a="1"/>
  <c r="J136" i="13" a="1"/>
  <c r="O228" i="13" a="1"/>
  <c r="N259" i="13" a="1"/>
  <c r="H151" i="13" a="1"/>
  <c r="P447" i="13" a="1"/>
  <c r="L206" i="13" a="1"/>
  <c r="I112" i="13" a="1"/>
  <c r="P110" i="13" a="1"/>
  <c r="F157" i="13" a="1"/>
  <c r="L320" i="13" a="1"/>
  <c r="K113" i="13" a="1"/>
  <c r="M258" i="13" a="1"/>
  <c r="D239" i="13" a="1"/>
  <c r="I254" i="13" a="1"/>
  <c r="D472" i="13" a="1"/>
  <c r="F268" i="13" a="1"/>
  <c r="O211" i="13" a="1"/>
  <c r="M243" i="13" a="1"/>
  <c r="E115" i="13" a="1"/>
  <c r="I349" i="13" a="1"/>
  <c r="C307" i="13" a="1"/>
  <c r="L110" i="13" a="1"/>
  <c r="J111" i="13" a="1"/>
  <c r="L319" i="13" a="1"/>
  <c r="C315" i="13" a="1"/>
  <c r="I319" i="13" a="1"/>
  <c r="S215" i="13" a="1"/>
  <c r="R434" i="13" a="1"/>
  <c r="B117" i="13" a="1"/>
  <c r="N116" i="13" a="1"/>
  <c r="D334" i="13" a="1"/>
  <c r="I323" i="13" a="1"/>
  <c r="M233" i="13" a="1"/>
  <c r="C213" i="13" a="1"/>
  <c r="Q233" i="13" a="1"/>
  <c r="C334" i="13" a="1"/>
  <c r="D236" i="13" a="1"/>
  <c r="C410" i="13" a="1"/>
  <c r="K424" i="13" a="1"/>
  <c r="L440" i="13" a="1"/>
  <c r="O254" i="13" a="1"/>
  <c r="P206" i="13" a="1"/>
  <c r="D206" i="13" a="1"/>
  <c r="G257" i="13" a="1"/>
  <c r="D435" i="13" a="1"/>
  <c r="R240" i="13" a="1"/>
  <c r="K206" i="13" a="1"/>
  <c r="N249" i="13" a="1"/>
  <c r="N266" i="13" a="1"/>
  <c r="J110" i="13" a="1"/>
  <c r="L337" i="13" a="1"/>
  <c r="O221" i="13" a="1"/>
  <c r="N228" i="13" a="1"/>
  <c r="B115" i="13" a="1"/>
  <c r="F117" i="13" a="1"/>
  <c r="B154" i="13" a="1"/>
  <c r="D351" i="13" a="1"/>
  <c r="Q211" i="13" a="1"/>
  <c r="B262" i="13" a="1"/>
  <c r="E235" i="13" a="1"/>
  <c r="H410" i="13" a="1"/>
  <c r="B135" i="13" a="1"/>
  <c r="L361" i="13" a="1"/>
  <c r="Q439" i="13" a="1"/>
  <c r="D215" i="13" a="1"/>
  <c r="C456" i="13" a="1"/>
  <c r="D444" i="13" a="1"/>
  <c r="J332" i="13" a="1"/>
  <c r="S214" i="13" a="1"/>
  <c r="F307" i="13" a="1"/>
  <c r="R221" i="13" a="1"/>
  <c r="F222" i="13" a="1"/>
  <c r="B114" i="13" a="1"/>
  <c r="D448" i="13" a="1"/>
  <c r="D325" i="13" a="1"/>
  <c r="M158" i="13" a="1"/>
  <c r="D421" i="13" a="1"/>
  <c r="L426" i="13" a="1"/>
  <c r="N219" i="13" a="1"/>
  <c r="C264" i="13" a="1"/>
  <c r="S243" i="13" a="1"/>
  <c r="O258" i="13" a="1"/>
  <c r="G224" i="13" a="1"/>
  <c r="D423" i="13" a="1"/>
  <c r="C460" i="13" a="1"/>
  <c r="C241" i="13" a="1"/>
  <c r="O215" i="13" a="1"/>
  <c r="G213" i="13" a="1"/>
  <c r="C444" i="13" a="1"/>
  <c r="H212" i="13" a="1"/>
  <c r="B225" i="13" a="1"/>
  <c r="M156" i="13" a="1"/>
  <c r="D255" i="13" a="1"/>
  <c r="N110" i="13" a="1"/>
  <c r="U242" i="13" a="1"/>
  <c r="M206" i="13" a="1"/>
  <c r="C471" i="13" a="1"/>
  <c r="M212" i="13" a="1"/>
  <c r="C157" i="13" a="1"/>
  <c r="L409" i="13" a="1"/>
  <c r="K340" i="13" a="1"/>
  <c r="L470" i="13" a="1"/>
  <c r="D225" i="13" a="1"/>
  <c r="B319" i="13" a="1"/>
  <c r="I321" i="13" a="1"/>
  <c r="C251" i="13" a="1"/>
  <c r="E238" i="13" a="1"/>
  <c r="E159" i="13" a="1"/>
  <c r="D420" i="13" a="1"/>
  <c r="P243" i="13" a="1"/>
  <c r="C309" i="13" a="1"/>
  <c r="M209" i="13" a="1"/>
  <c r="B446" i="13" a="1"/>
  <c r="L441" i="13" a="1"/>
  <c r="B344" i="13" a="1"/>
  <c r="G253" i="13" a="1"/>
  <c r="M268" i="13" a="1"/>
  <c r="I266" i="13" a="1"/>
  <c r="O223" i="13" a="1"/>
  <c r="D212" i="13" a="1"/>
  <c r="L251" i="13" a="1"/>
  <c r="L222" i="13" a="1"/>
  <c r="D256" i="13" a="1"/>
  <c r="D154" i="13" a="1"/>
  <c r="I310" i="13" a="1"/>
  <c r="D250" i="13" a="1"/>
  <c r="M207" i="13" a="1"/>
  <c r="I341" i="13" a="1"/>
  <c r="P239" i="13" a="1"/>
  <c r="E334" i="13" a="1"/>
  <c r="K129" i="13" a="1"/>
  <c r="K421" i="13" a="1"/>
  <c r="J320" i="13" a="1"/>
  <c r="D333" i="13" a="1"/>
  <c r="N244" i="13" a="1"/>
  <c r="I308" i="13" a="1"/>
  <c r="D311" i="13" a="1"/>
  <c r="P222" i="13" a="1"/>
  <c r="I309" i="13" a="1"/>
  <c r="F510" i="13" a="1"/>
  <c r="C129" i="13" a="1"/>
  <c r="B252" i="13" a="1"/>
  <c r="G212" i="13" a="1"/>
  <c r="F507" i="13" a="1"/>
  <c r="D409" i="13" a="1"/>
  <c r="K425" i="13" a="1"/>
  <c r="M420" i="13" a="1"/>
  <c r="D207" i="13" a="1"/>
  <c r="M413" i="13" a="1"/>
  <c r="K231" i="13" a="1"/>
  <c r="L437" i="13" a="1"/>
  <c r="T242" i="13" a="1"/>
  <c r="B210" i="13" a="1"/>
  <c r="G413" i="13" a="1"/>
  <c r="L424" i="13" a="1"/>
  <c r="J115" i="13" a="1"/>
  <c r="D316" i="13" a="1"/>
  <c r="K359" i="13" a="1"/>
  <c r="H157" i="13" a="1"/>
  <c r="Q436" i="13" a="1"/>
  <c r="B465" i="13" a="1"/>
  <c r="B161" i="13" a="1"/>
  <c r="K362" i="13" a="1"/>
  <c r="J114" i="13" a="1"/>
  <c r="B456" i="13" a="1"/>
  <c r="P140" i="13" a="1"/>
  <c r="B442" i="13" a="1"/>
  <c r="B129" i="13" a="1"/>
  <c r="P111" i="13" a="1"/>
  <c r="C130" i="13" a="1"/>
  <c r="E206" i="13" a="1"/>
  <c r="B345" i="13" a="1"/>
  <c r="F323" i="13" a="1"/>
  <c r="K208" i="13" a="1"/>
  <c r="K253" i="13" a="1"/>
  <c r="G206" i="13" a="1"/>
  <c r="D323" i="13" a="1"/>
  <c r="E152" i="13" a="1"/>
  <c r="O130" i="13" a="1"/>
  <c r="G211" i="13" a="1"/>
  <c r="D268" i="13" a="1"/>
  <c r="C423" i="13" a="1"/>
  <c r="I114" i="13" a="1"/>
  <c r="G255" i="13" a="1"/>
  <c r="C128" i="13" a="1"/>
  <c r="N262" i="13" a="1"/>
  <c r="M435" i="13" a="1"/>
  <c r="H266" i="13" a="1"/>
  <c r="B213" i="13" a="1"/>
  <c r="I337" i="13" a="1"/>
  <c r="M111" i="13" a="1"/>
  <c r="N223" i="13" a="1"/>
  <c r="H263" i="13" a="1"/>
  <c r="I250" i="13" a="1"/>
  <c r="H158" i="13" a="1"/>
  <c r="D114" i="13" a="1"/>
  <c r="P207" i="13" a="1"/>
  <c r="J151" i="13" a="1"/>
  <c r="Q154" i="13" a="1"/>
  <c r="M362" i="13" a="1"/>
  <c r="C359" i="13" a="1"/>
  <c r="D129" i="13" a="1"/>
  <c r="B111" i="13" a="1"/>
  <c r="E310" i="13" a="1"/>
  <c r="G434" i="13" a="1"/>
  <c r="D458" i="13" a="1"/>
  <c r="L254" i="13" a="1"/>
  <c r="N212" i="13" a="1"/>
  <c r="E360" i="13" a="1"/>
  <c r="K128" i="13" a="1"/>
  <c r="C421" i="13" a="1"/>
  <c r="I117" i="13" a="1"/>
  <c r="F111" i="13" a="1"/>
  <c r="M231" i="13" a="1"/>
  <c r="L155" i="13" a="1"/>
  <c r="J156" i="13" a="1"/>
  <c r="D216" i="13" a="1"/>
  <c r="B255" i="13" a="1"/>
  <c r="N240" i="13" a="1"/>
  <c r="B211" i="13" a="1"/>
  <c r="Q241" i="13" a="1"/>
  <c r="O128" i="13" a="1"/>
  <c r="D257" i="13" a="1"/>
  <c r="L159" i="13" a="1"/>
  <c r="C159" i="13" a="1"/>
  <c r="I259" i="13" a="1"/>
  <c r="F447" i="13" a="1"/>
  <c r="F443" i="13" a="1"/>
  <c r="D252" i="13" a="1"/>
  <c r="E230" i="13" a="1"/>
  <c r="M261" i="13" a="1"/>
  <c r="P116" i="13" a="1"/>
  <c r="R113" i="13" a="1"/>
  <c r="L244" i="13" a="1"/>
  <c r="L435" i="13" a="1"/>
  <c r="N258" i="13" a="1"/>
  <c r="G227" i="13" a="1"/>
  <c r="H412" i="13" a="1"/>
  <c r="F235" i="13" a="1"/>
  <c r="M338" i="13" a="1"/>
  <c r="L349" i="13" a="1"/>
  <c r="E134" i="13" a="1"/>
  <c r="L116" i="13" a="1"/>
  <c r="B361" i="13" a="1"/>
  <c r="I410" i="13" a="1"/>
  <c r="G436" i="13" a="1"/>
  <c r="Q111" i="13" a="1"/>
  <c r="G411" i="13" a="1"/>
  <c r="E260" i="13" a="1"/>
  <c r="J254" i="13" a="1"/>
  <c r="K337" i="13" a="1"/>
  <c r="D118" i="13" a="1"/>
  <c r="I151" i="13" a="1"/>
  <c r="K159" i="13" a="1"/>
  <c r="N242" i="13" a="1"/>
  <c r="L239" i="13" a="1"/>
  <c r="C217" i="13" a="1"/>
  <c r="L228" i="13" a="1"/>
  <c r="C308" i="13" a="1"/>
  <c r="I307" i="13" a="1"/>
  <c r="J331" i="13" a="1"/>
  <c r="C212" i="13" a="1"/>
  <c r="E211" i="13" a="1"/>
  <c r="D324" i="13" a="1"/>
  <c r="H210" i="13" a="1"/>
  <c r="C317" i="13" a="1"/>
  <c r="I255" i="13" a="1"/>
  <c r="H217" i="13" a="1"/>
  <c r="I268" i="13" a="1"/>
  <c r="L153" i="13" a="1"/>
  <c r="O426" i="13" a="1"/>
  <c r="H431" i="13" a="1"/>
  <c r="P240" i="13" a="1"/>
  <c r="E116" i="13" a="1"/>
  <c r="E229" i="13" a="1"/>
  <c r="Q155" i="13" a="1"/>
  <c r="D221" i="13" a="1"/>
  <c r="L128" i="13" a="1"/>
  <c r="R116" i="13" a="1"/>
  <c r="K330" i="13" a="1"/>
  <c r="F215" i="13" a="1"/>
  <c r="E332" i="13" a="1"/>
  <c r="J414" i="13" a="1"/>
  <c r="K219" i="13" a="1"/>
  <c r="D217" i="13" a="1"/>
  <c r="K307" i="13" a="1"/>
  <c r="L425" i="13" a="1"/>
  <c r="I152" i="13" a="1"/>
  <c r="E209" i="13" a="1"/>
  <c r="C210" i="13" a="1"/>
  <c r="N252" i="13" a="1"/>
  <c r="F448" i="13" a="1"/>
  <c r="M411" i="13" a="1"/>
  <c r="C150" i="13" a="1"/>
  <c r="I115" i="13" a="1"/>
  <c r="E318" i="13" a="1"/>
  <c r="B110" i="13" a="1"/>
  <c r="U240" i="13" a="1"/>
  <c r="J135" i="13" a="1"/>
  <c r="H216" i="13" a="1"/>
  <c r="I348" i="13" a="1"/>
  <c r="J119" i="13" a="1"/>
  <c r="M241" i="13" a="1"/>
  <c r="C448" i="13" a="1"/>
  <c r="N457" i="13" a="1"/>
  <c r="B137" i="13" a="1"/>
  <c r="C116" i="13" a="1"/>
  <c r="M436" i="13" a="1"/>
  <c r="H149" i="13" a="1"/>
  <c r="E128" i="13" a="1"/>
  <c r="J268" i="13" a="1"/>
  <c r="R223" i="13" a="1"/>
  <c r="T241" i="13" a="1"/>
  <c r="D352" i="13" a="1"/>
  <c r="J128" i="13" a="1"/>
  <c r="E420" i="13" a="1"/>
  <c r="C235" i="13" a="1"/>
  <c r="M264" i="13" a="1"/>
  <c r="K220" i="13" a="1"/>
  <c r="H260" i="13" a="1"/>
  <c r="F212" i="13" a="1"/>
  <c r="P472" i="13" a="1"/>
  <c r="N213" i="13" a="1"/>
  <c r="P438" i="13" a="1"/>
  <c r="K447" i="13" a="1"/>
  <c r="K251" i="13" a="1"/>
  <c r="J253" i="13" a="1"/>
  <c r="G251" i="13" a="1"/>
  <c r="K214" i="13" a="1"/>
  <c r="Q229" i="13" a="1"/>
  <c r="L148" i="13" a="1"/>
  <c r="B159" i="13" a="1"/>
  <c r="J148" i="13" a="1"/>
  <c r="D461" i="13" a="1"/>
  <c r="F508" i="13" a="1"/>
  <c r="J340" i="13" a="1"/>
  <c r="B226" i="13" a="1"/>
  <c r="D263" i="13" a="1"/>
  <c r="L460" i="13" a="1"/>
  <c r="N215" i="13" a="1"/>
  <c r="M469" i="13" a="1"/>
  <c r="M348" i="13" a="1"/>
  <c r="M434" i="13" a="1"/>
  <c r="J307" i="13" a="1"/>
  <c r="K448" i="13" a="1"/>
  <c r="E223" i="13" a="1"/>
  <c r="J137" i="13" a="1"/>
  <c r="C335" i="13" a="1"/>
  <c r="Q159" i="13" a="1"/>
  <c r="L471" i="13" a="1"/>
  <c r="O242" i="13" a="1"/>
  <c r="M448" i="13" a="1"/>
  <c r="F152" i="13" a="1"/>
  <c r="I258" i="13" a="1"/>
  <c r="E456" i="13" a="1"/>
  <c r="Q215" i="13" a="1"/>
  <c r="M112" i="13" a="1"/>
  <c r="L151" i="13" a="1"/>
  <c r="E422" i="13" a="1"/>
  <c r="D251" i="13" a="1"/>
  <c r="E361" i="13" a="1"/>
  <c r="I116" i="13" a="1"/>
  <c r="M419" i="13" a="1"/>
  <c r="D227" i="13" a="1"/>
  <c r="D150" i="13" a="1"/>
  <c r="S221" i="13" a="1"/>
  <c r="E443" i="13" a="1"/>
  <c r="D466" i="13" a="1"/>
  <c r="P139" i="13" a="1"/>
  <c r="K110" i="13" a="1"/>
  <c r="J337" i="13" a="1"/>
  <c r="J258" i="13" a="1"/>
  <c r="D210" i="13" a="1"/>
  <c r="D317" i="13" a="1"/>
  <c r="D310" i="13" a="1"/>
  <c r="C442" i="13" a="1"/>
  <c r="B223" i="13" a="1"/>
  <c r="F324" i="13" a="1"/>
  <c r="L117" i="13" a="1"/>
  <c r="Q136" i="13" a="1"/>
  <c r="Q447" i="13" a="1"/>
  <c r="N156" i="13" a="1"/>
  <c r="L457" i="13" a="1"/>
  <c r="C352" i="13" a="1"/>
  <c r="F223" i="13" a="1"/>
  <c r="O116" i="13" a="1"/>
  <c r="F225" i="13" a="1"/>
  <c r="C119" i="13" a="1"/>
  <c r="E149" i="13" a="1"/>
  <c r="K232" i="13" a="1"/>
  <c r="K437" i="13" a="1"/>
  <c r="Q147" i="13" a="1"/>
  <c r="E442" i="13" a="1"/>
  <c r="Q209" i="13" a="1"/>
  <c r="M412" i="13" a="1"/>
  <c r="C461" i="13" a="1"/>
  <c r="N460" i="13" a="1"/>
  <c r="M146" i="13" a="1"/>
  <c r="L211" i="13" a="1"/>
  <c r="B346" i="13" a="1"/>
  <c r="O213" i="13" a="1"/>
  <c r="N135" i="13" a="1"/>
  <c r="C465" i="13" a="1"/>
  <c r="F512" i="13" a="1"/>
  <c r="G252" i="13" a="1"/>
  <c r="K223" i="13" a="1"/>
  <c r="Q140" i="13" a="1"/>
  <c r="L208" i="13" a="1"/>
  <c r="C336" i="13" a="1"/>
  <c r="N257" i="13" a="1"/>
  <c r="C432" i="13" a="1"/>
  <c r="G208" i="13" a="1"/>
  <c r="E215" i="13" a="1"/>
  <c r="C225" i="13" a="1"/>
  <c r="P214" i="13" a="1"/>
  <c r="G214" i="13" a="1"/>
  <c r="F308" i="13" a="1"/>
  <c r="K209" i="13" a="1"/>
  <c r="H251" i="13" a="1"/>
  <c r="C333" i="13" a="1"/>
  <c r="J158" i="13" a="1"/>
  <c r="B332" i="13" a="1"/>
  <c r="N222" i="13" a="1"/>
  <c r="B455" i="13" a="1"/>
  <c r="M257" i="13" a="1"/>
  <c r="L212" i="13" a="1"/>
  <c r="L131" i="13" a="1"/>
  <c r="K152" i="13" a="1"/>
  <c r="L213" i="13" a="1"/>
  <c r="D224" i="13" a="1"/>
  <c r="F113" i="13" a="1"/>
  <c r="M359" i="13" a="1"/>
  <c r="L220" i="13" a="1"/>
  <c r="J112" i="13" a="1"/>
  <c r="O240" i="13" a="1"/>
  <c r="M251" i="13" a="1"/>
  <c r="M230" i="13" a="1"/>
  <c r="F229" i="13" a="1"/>
  <c r="D455" i="13" a="1"/>
  <c r="I146" i="13" a="1"/>
  <c r="O419" i="13" a="1"/>
  <c r="F446" i="13" a="1"/>
  <c r="J361" i="13" a="1"/>
  <c r="G359" i="13" a="1"/>
  <c r="C223" i="13" a="1"/>
  <c r="G435" i="13" a="1"/>
  <c r="B343" i="13" a="1"/>
  <c r="M470" i="13" a="1"/>
  <c r="K211" i="13" a="1"/>
  <c r="N458" i="13" a="1"/>
  <c r="P135" i="13" a="1"/>
  <c r="L329" i="13" a="1"/>
  <c r="G110" i="13" a="1"/>
  <c r="O222" i="13" a="1"/>
  <c r="E112" i="13" a="1"/>
  <c r="I135" i="13" a="1"/>
  <c r="L332" i="13" a="1"/>
  <c r="Q145" i="13" a="1"/>
  <c r="C362" i="13" a="1"/>
  <c r="F213" i="13" a="1"/>
  <c r="E212" i="13" a="1"/>
  <c r="F423" i="13" a="1"/>
  <c r="F207" i="13" a="1"/>
  <c r="D254" i="13" a="1"/>
  <c r="C152" i="13" a="1"/>
  <c r="C208" i="13" a="1"/>
  <c r="S223" i="13" a="1"/>
  <c r="C409" i="13" a="1"/>
  <c r="C221" i="13" a="1"/>
  <c r="H213" i="13" a="1"/>
  <c r="D319" i="13" a="1"/>
  <c r="Q112" i="13" a="1"/>
  <c r="P115" i="13" a="1"/>
  <c r="P137" i="13" a="1"/>
  <c r="L442" i="13" a="1"/>
  <c r="R222" i="13" a="1"/>
  <c r="D443" i="13" a="1"/>
  <c r="K310" i="13" a="1"/>
  <c r="S213" i="13" a="1"/>
  <c r="M115" i="13" a="1"/>
  <c r="P112" i="13" a="1"/>
  <c r="K207" i="13" a="1"/>
  <c r="C431" i="13" a="1"/>
  <c r="K213" i="13" a="1"/>
  <c r="F413" i="13" a="1"/>
  <c r="D214" i="13" a="1"/>
  <c r="O232" i="13" a="1"/>
  <c r="H116" i="13" a="1"/>
  <c r="N232" i="13" a="1"/>
  <c r="M253" i="13" a="1"/>
  <c r="K308" i="13" a="1"/>
  <c r="B212" i="13" a="1"/>
  <c r="P436" i="13" a="1"/>
  <c r="R241" i="13" a="1"/>
  <c r="F253" i="13" a="1"/>
  <c r="I263" i="13" a="1"/>
  <c r="S240" i="13" a="1"/>
  <c r="F515" i="13" a="1"/>
  <c r="M337" i="13" a="1"/>
  <c r="T240" i="13" a="1"/>
  <c r="F258" i="13" a="1"/>
  <c r="B443" i="13" a="1"/>
  <c r="E335" i="13" a="1"/>
  <c r="C324" i="13" a="1"/>
  <c r="G114" i="13" a="1"/>
  <c r="E118" i="13" a="1"/>
  <c r="K338" i="13" a="1"/>
  <c r="E317" i="13" a="1"/>
  <c r="R244" i="13" a="1"/>
  <c r="H214" i="13" a="1"/>
  <c r="L461" i="13" a="1"/>
  <c r="H413" i="13" a="1"/>
  <c r="D152" i="13" a="1"/>
  <c r="C433" i="13" a="1"/>
  <c r="K414" i="13" a="1"/>
  <c r="M262" i="13" a="1"/>
  <c r="B324" i="13" a="1"/>
  <c r="F315" i="13" a="1"/>
  <c r="C327" i="13" a="1"/>
  <c r="S233" i="13" a="1"/>
  <c r="O207" i="13" a="1"/>
  <c r="B227" i="13" a="1"/>
  <c r="C250" i="13" a="1"/>
  <c r="L264" i="13" a="1"/>
  <c r="C254" i="13" a="1"/>
  <c r="L250" i="13" a="1"/>
  <c r="I414" i="13" a="1"/>
  <c r="D336" i="13" a="1"/>
  <c r="B251" i="13" a="1"/>
  <c r="C215" i="13" a="1"/>
  <c r="I157" i="13" a="1"/>
  <c r="F360" i="13" a="1"/>
  <c r="C424" i="13" a="1"/>
  <c r="C118" i="13" a="1"/>
  <c r="C435" i="13" a="1"/>
  <c r="F444" i="13" a="1"/>
  <c r="I265" i="13" a="1"/>
  <c r="L469" i="13" a="1"/>
  <c r="L360" i="13" a="1"/>
  <c r="C310" i="13" a="1"/>
  <c r="J360" i="13" a="1"/>
  <c r="O220" i="13" a="1"/>
  <c r="E409" i="13" a="1"/>
  <c r="F325" i="13" a="1"/>
  <c r="N425" i="13" a="1"/>
  <c r="F269" i="13" a="1"/>
  <c r="B308" i="13" a="1"/>
  <c r="M118" i="13" a="1"/>
  <c r="C109" i="13" a="1"/>
  <c r="L423" i="13" a="1"/>
  <c r="D465" i="13" a="1"/>
  <c r="D419" i="13" a="1"/>
  <c r="D117" i="13" a="1"/>
  <c r="K311" i="13" a="1"/>
  <c r="Q158" i="13" a="1"/>
  <c r="H152" i="13" a="1"/>
  <c r="E113" i="13" a="1"/>
  <c r="N260" i="13" a="1"/>
  <c r="K319" i="13" a="1"/>
  <c r="K426" i="13" a="1"/>
  <c r="D309" i="13" a="1"/>
  <c r="I149" i="13" a="1"/>
  <c r="C332" i="13" a="1"/>
  <c r="F309" i="13" a="1"/>
  <c r="M259" i="13" a="1"/>
  <c r="G226" i="13" a="1"/>
  <c r="N151" i="13" a="1"/>
  <c r="E252" i="13" a="1"/>
  <c r="D111" i="13" a="1"/>
  <c r="D120" i="13" a="1"/>
  <c r="L240" i="13" a="1"/>
  <c r="L338" i="13" a="1"/>
  <c r="M117" i="13" a="1"/>
  <c r="H208" i="13" a="1"/>
  <c r="I128" i="13" a="1"/>
  <c r="U233" i="13" a="1"/>
  <c r="K151" i="13" a="1"/>
  <c r="G431" i="13" a="1"/>
  <c r="I409" i="13" a="1"/>
  <c r="U241" i="13" a="1"/>
  <c r="E222" i="13" a="1"/>
  <c r="D335" i="13" a="1"/>
  <c r="M263" i="13" a="1"/>
  <c r="M208" i="13" a="1"/>
  <c r="E448" i="13" a="1"/>
  <c r="G412" i="13" a="1"/>
  <c r="N421" i="13" a="1"/>
  <c r="C325" i="13" a="1"/>
  <c r="L333" i="13" a="1"/>
  <c r="B235" i="13" a="1"/>
  <c r="E446" i="13" a="1"/>
  <c r="I156" i="13" a="1"/>
  <c r="F420" i="13" a="1"/>
  <c r="E258" i="13" a="1"/>
  <c r="H227" i="13" a="1"/>
  <c r="I110" i="13" a="1"/>
  <c r="B307" i="13" a="1"/>
  <c r="L114" i="13" a="1"/>
  <c r="D260" i="13" a="1"/>
  <c r="R214" i="13" a="1"/>
  <c r="M460" i="13" a="1"/>
  <c r="B254" i="13" a="1"/>
  <c r="L229" i="13" a="1"/>
  <c r="C266" i="13" a="1"/>
  <c r="B358" i="13" a="1"/>
  <c r="B309" i="13" a="1"/>
  <c r="B132" i="13" a="1"/>
  <c r="J310" i="13" a="1"/>
  <c r="O111" i="13" a="1"/>
  <c r="P220" i="13" a="1"/>
  <c r="N229" i="13" a="1"/>
  <c r="C447" i="13" a="1"/>
  <c r="L436" i="13" a="1"/>
  <c r="N250" i="13" a="1"/>
  <c r="H215" i="13" a="1"/>
  <c r="C446" i="13" a="1"/>
  <c r="P244" i="13" a="1"/>
  <c r="N211" i="13" a="1"/>
  <c r="D327" i="13" a="1"/>
  <c r="P113" i="13" a="1"/>
  <c r="Q162" i="13" a="1"/>
  <c r="O129" i="13" a="1"/>
  <c r="F241" i="13" a="1"/>
  <c r="M239" i="13" a="1"/>
  <c r="H229" i="13" a="1"/>
  <c r="D262" i="13" a="1"/>
  <c r="C222" i="13" a="1"/>
  <c r="I139" i="13" a="1"/>
  <c r="D226" i="13" a="1"/>
  <c r="F514" i="13" a="1"/>
  <c r="K229" i="13" a="1"/>
  <c r="L346" i="13" a="1"/>
  <c r="C316" i="13" a="1"/>
  <c r="T243" i="13" a="1"/>
  <c r="K434" i="13" a="1"/>
  <c r="N241" i="13" a="1"/>
  <c r="C149" i="13" a="1"/>
  <c r="D431" i="13" a="1"/>
  <c r="D115" i="13" a="1"/>
  <c r="J362" i="13" a="1"/>
  <c r="Q212" i="13" a="1"/>
  <c r="N251" i="13" a="1"/>
  <c r="F112" i="13" a="1"/>
  <c r="K148" i="13" a="1"/>
  <c r="B258" i="13" a="1"/>
  <c r="O112" i="13" a="1"/>
  <c r="E412" i="13" a="1"/>
  <c r="K329" i="13" a="1"/>
  <c r="D261" i="13" a="1"/>
  <c r="B206" i="13" a="1"/>
  <c r="B454" i="13" a="1"/>
  <c r="K438" i="13" a="1"/>
  <c r="L410" i="13" a="1"/>
  <c r="K360" i="13" a="1"/>
  <c r="C470" i="13" a="1"/>
  <c r="M228" i="13" a="1"/>
  <c r="F505" i="13" a="1"/>
  <c r="E224" i="13" a="1"/>
  <c r="E239" i="13" a="1"/>
  <c r="L243" i="13" a="1"/>
  <c r="M358" i="13" a="1"/>
  <c r="K309" i="13" a="1"/>
  <c r="G432" i="13" a="1"/>
  <c r="D433" i="13" a="1"/>
  <c r="E419" i="13" a="1"/>
  <c r="H411" i="13" a="1"/>
  <c r="H146" i="13" a="1"/>
  <c r="G221" i="13" a="1"/>
  <c r="D269" i="13" a="1"/>
  <c r="G438" i="13" a="1"/>
  <c r="K255" i="13" a="1"/>
  <c r="F221" i="13" a="1"/>
  <c r="E460" i="13" a="1"/>
  <c r="E117" i="13" a="1"/>
  <c r="M449" i="13" a="1"/>
  <c r="E259" i="13" a="1"/>
  <c r="L458" i="13" a="1"/>
  <c r="I261" i="13" a="1"/>
  <c r="O212" i="13" a="1"/>
  <c r="K436" i="13" a="1"/>
  <c r="M458" i="13" a="1"/>
  <c r="D432" i="13" a="1"/>
  <c r="F422" i="13" a="1"/>
  <c r="L118" i="13" a="1"/>
  <c r="M360" i="13" a="1"/>
  <c r="B420" i="13" a="1"/>
  <c r="P241" i="13" a="1"/>
  <c r="M211" i="13" a="1"/>
  <c r="B133" i="13" a="1"/>
  <c r="K117" i="13" a="1"/>
  <c r="C238" i="13" a="1"/>
  <c r="I311" i="13" a="1"/>
  <c r="H254" i="13" a="1"/>
  <c r="K153" i="13" a="1"/>
  <c r="F311" i="13" a="1"/>
  <c r="E133" i="13" a="1"/>
  <c r="O219" i="13" a="1"/>
  <c r="P232" i="13" a="1"/>
  <c r="D360" i="13" a="1"/>
  <c r="R220" i="13" a="1"/>
  <c r="C230" i="13" a="1"/>
  <c r="I131" i="13" a="1"/>
  <c r="D223" i="13" a="1"/>
  <c r="C256" i="13" a="1"/>
  <c r="E455" i="13" a="1"/>
  <c r="B229" i="13" a="1"/>
  <c r="J330" i="13" a="1"/>
  <c r="Q451" i="13" a="1"/>
  <c r="K331" i="13" a="1"/>
  <c r="Q222" i="13" a="1"/>
  <c r="Q206" i="13" a="1"/>
  <c r="F411" i="13" a="1"/>
  <c r="K215" i="13" a="1"/>
  <c r="M349" i="13" a="1"/>
  <c r="I333" i="13" a="1"/>
  <c r="C214" i="13" a="1"/>
  <c r="E263" i="13" a="1"/>
  <c r="L115" i="13" a="1"/>
  <c r="P230" i="13" a="1"/>
  <c r="O241" i="13" a="1"/>
  <c r="G437" i="13" a="1"/>
  <c r="G409" i="13" a="1"/>
  <c r="B317" i="13" a="1"/>
  <c r="M361" i="13" a="1"/>
  <c r="F316" i="13" a="1"/>
  <c r="B224" i="13" a="1"/>
  <c r="F509" i="13" a="1"/>
  <c r="B238" i="13" a="1"/>
  <c r="U243" i="13" a="1"/>
  <c r="I119" i="13" a="1"/>
  <c r="M221" i="13" a="1"/>
  <c r="K333" i="13" a="1"/>
  <c r="Q208" i="13" a="1"/>
  <c r="S242" i="13" a="1"/>
  <c r="M240" i="13" a="1"/>
  <c r="O420" i="13" a="1"/>
  <c r="C111" i="13" a="1"/>
  <c r="D160" i="13" a="1"/>
  <c r="O113" i="13" a="1"/>
  <c r="F318" i="13" a="1"/>
  <c r="M269" i="13" a="1"/>
  <c r="S222" i="13" a="1"/>
  <c r="F412" i="13" a="1"/>
  <c r="E315" i="13" a="1"/>
  <c r="E311" i="13" a="1"/>
  <c r="Q228" i="13" a="1"/>
  <c r="D326" i="13" a="1"/>
  <c r="I269" i="13" a="1"/>
  <c r="C323" i="13" a="1"/>
  <c r="O135" i="13" a="1"/>
  <c r="R110" i="13" a="1"/>
  <c r="J410" i="13" a="1"/>
  <c r="L414" i="13" a="1"/>
  <c r="K131" i="13" a="1"/>
  <c r="I130" i="13" a="1"/>
  <c r="F224" i="13" a="1"/>
  <c r="D456" i="13" a="1"/>
  <c r="E308" i="13" a="1"/>
  <c r="K243" i="13" a="1"/>
  <c r="D318" i="13" a="1"/>
  <c r="O206" i="13" a="1"/>
  <c r="J321" i="13" a="1"/>
  <c r="I331" i="13" a="1"/>
  <c r="K239" i="13" a="1"/>
  <c r="P213" i="13" a="1"/>
  <c r="M151" i="13" a="1"/>
  <c r="M421" i="13" a="1"/>
  <c r="K409" i="13" a="1"/>
  <c r="N231" i="13" a="1"/>
  <c r="E325" i="13" a="1"/>
  <c r="B134" i="13" a="1"/>
  <c r="K158" i="13" a="1"/>
  <c r="O268" i="13" a="1"/>
  <c r="B336" i="13" a="1"/>
  <c r="P209" i="13" a="1"/>
  <c r="E208" i="13" a="1"/>
  <c r="J139" i="13" a="1"/>
  <c r="Q148" i="13" a="1"/>
  <c r="D307" i="13" a="1"/>
  <c r="J146" i="13" a="1"/>
  <c r="J309" i="13" a="1"/>
  <c r="L119" i="13" a="1"/>
  <c r="N210" i="13" a="1"/>
  <c r="L242" i="13" a="1"/>
  <c r="F409" i="13" a="1"/>
  <c r="I138" i="13" a="1"/>
  <c r="L156" i="13" a="1"/>
  <c r="L447" i="13" a="1"/>
  <c r="Q150" i="13" a="1"/>
  <c r="D133" i="13" a="1"/>
  <c r="L112" i="13" a="1"/>
  <c r="B421" i="13" a="1"/>
  <c r="C206" i="13" a="1"/>
  <c r="F230" i="13" a="1"/>
  <c r="N214" i="13" a="1"/>
  <c r="B419" i="13" a="1"/>
  <c r="M254" i="13" a="1"/>
  <c r="K111" i="13" a="1"/>
  <c r="B460" i="13" a="1"/>
  <c r="B209" i="13" a="1"/>
  <c r="D128" i="13" a="1"/>
  <c r="G148" i="13" a="1"/>
  <c r="P229" i="13" a="1"/>
  <c r="N221" i="13" a="1"/>
  <c r="F149" i="13" a="1"/>
  <c r="C363" i="13" a="1"/>
  <c r="E323" i="13" a="1"/>
  <c r="J338" i="13" a="1"/>
  <c r="I267" i="13" a="1"/>
  <c r="D471" i="13" a="1"/>
  <c r="H223" i="13" a="1"/>
  <c r="D222" i="13" a="1"/>
  <c r="C455" i="13" a="1"/>
  <c r="O210" i="13" a="1"/>
  <c r="N423" i="13" a="1"/>
  <c r="P219" i="13" a="1"/>
  <c r="B222" i="13" a="1"/>
  <c r="D211" i="13" a="1"/>
  <c r="C326" i="13" a="1"/>
  <c r="D460" i="13" a="1"/>
  <c r="D266" i="13" a="1"/>
  <c r="O209" i="13" a="1"/>
  <c r="G262" i="13" a="1"/>
  <c r="E319" i="13" a="1"/>
  <c r="L231" i="13" a="1"/>
  <c r="J116" i="13" a="1"/>
  <c r="B131" i="13" a="1"/>
  <c r="J333" i="13" a="1"/>
  <c r="J323" i="13" a="1"/>
  <c r="K230" i="13" a="1"/>
  <c r="I249" i="13" a="1"/>
  <c r="E221" i="13" a="1"/>
  <c r="B335" i="13" a="1"/>
  <c r="C216" i="13" a="1"/>
  <c r="N114" i="13" a="1"/>
  <c r="D446" i="13" a="1"/>
  <c r="E111" i="13" a="1"/>
  <c r="Q113" i="13" a="1"/>
  <c r="G225" i="13" a="1"/>
  <c r="C139" i="13" a="1"/>
  <c r="L348" i="13" a="1"/>
  <c r="C228" i="13" a="1"/>
  <c r="Q434" i="13" a="1"/>
  <c r="D238" i="13" a="1"/>
  <c r="I158" i="13" a="1"/>
  <c r="N243" i="13" a="1"/>
  <c r="C472" i="13" a="1"/>
  <c r="E324" i="13" a="1"/>
  <c r="F250" i="13" a="1"/>
  <c r="L241" i="13" a="1"/>
  <c r="F238" i="13" a="1"/>
  <c r="R215" i="13" a="1"/>
  <c r="E214" i="13" a="1"/>
  <c r="C360" i="13" a="1"/>
  <c r="E119" i="13" a="1"/>
  <c r="E411" i="13" a="1"/>
  <c r="C364" i="13" a="1"/>
  <c r="G222" i="13" a="1"/>
  <c r="Q242" i="13" a="1"/>
  <c r="F226" i="13" a="1"/>
  <c r="D434" i="13" a="1"/>
  <c r="L147" i="13" a="1"/>
  <c r="C311" i="13" a="1"/>
  <c r="P208" i="13" a="1"/>
  <c r="N230" i="13" a="1"/>
  <c r="G410" i="13" a="1"/>
  <c r="J349" i="13" a="1"/>
  <c r="C420" i="13" a="1"/>
  <c r="D113" i="13" a="1"/>
  <c r="C229" i="13" a="1"/>
  <c r="H230" i="13" a="1"/>
  <c r="C112" i="13" a="1"/>
  <c r="M424" i="13" a="1"/>
  <c r="H222" i="13" a="1"/>
  <c r="G216" i="13" a="1"/>
  <c r="B461" i="13" a="1"/>
  <c r="L323" i="13" a="1"/>
  <c r="K242" i="13" a="1"/>
  <c r="B113" i="13" a="1"/>
  <c r="J348" i="13" a="1"/>
  <c r="I118" i="13" a="1"/>
  <c r="K323" i="13" a="1"/>
  <c r="I137" i="13" a="1"/>
  <c r="R243" i="13" a="1"/>
  <c r="K348" i="13" a="1"/>
  <c r="B257" i="13" a="1"/>
  <c r="D119" i="13" a="1"/>
  <c r="K222" i="13" a="1"/>
  <c r="D159" i="13" a="1"/>
  <c r="B311" i="13" a="1"/>
  <c r="E227" i="13" a="1"/>
  <c r="C434" i="13" a="1"/>
  <c r="F236" i="13" a="1"/>
  <c r="M346" i="13" a="1"/>
  <c r="I320" i="13" a="1"/>
  <c r="P434" i="13" a="1"/>
  <c r="N115" i="13" a="1"/>
  <c r="C131" i="13" a="1"/>
  <c r="L434" i="13" a="1"/>
  <c r="C458" i="13" a="1"/>
  <c r="L221" i="13" a="1"/>
  <c r="D264" i="13" a="1"/>
  <c r="H150" i="13" a="1"/>
  <c r="Q437" i="13" a="1"/>
  <c r="E249" i="13" a="1"/>
  <c r="N253" i="13" a="1"/>
  <c r="I346" i="13" a="1"/>
  <c r="H111" i="13" a="1"/>
  <c r="D110" i="13" a="1"/>
  <c r="J358" i="13" a="1"/>
  <c r="D157" i="13" a="1"/>
  <c r="K135" i="13" a="1"/>
  <c r="F206" i="13" a="1"/>
  <c r="L330" i="13" a="1"/>
  <c r="B215" i="13" a="1"/>
  <c r="H156" i="13" a="1"/>
  <c r="F270" i="13" a="1"/>
  <c r="F214" i="13" a="1"/>
  <c r="G207" i="13" a="1"/>
  <c r="B362" i="13" a="1"/>
  <c r="E423" i="13" a="1"/>
  <c r="M220" i="13" a="1"/>
  <c r="M427" i="13" a="1"/>
  <c r="H224" i="13" a="1"/>
  <c r="M249" i="13" a="1"/>
  <c r="B157" i="13" a="1"/>
  <c r="B310" i="13" a="1"/>
  <c r="Q438" i="13" a="1"/>
  <c r="M345" i="13" a="1"/>
  <c r="M148" i="13" a="1"/>
  <c r="Q207" i="13" a="1"/>
  <c r="L421" i="13" a="1"/>
  <c r="L362" i="13" a="1"/>
  <c r="J269" i="13" a="1"/>
  <c r="E120" i="13" a="1"/>
  <c r="B316" i="13" a="1"/>
  <c r="M242" i="13" a="1"/>
  <c r="L358" i="13" a="1"/>
  <c r="I322" i="13" a="1"/>
  <c r="K118" i="13" a="1"/>
  <c r="F114" i="13" a="1"/>
  <c r="C318" i="13" a="1"/>
  <c r="Q448" i="13" a="1"/>
  <c r="L359" i="13" a="1"/>
  <c r="O243" i="13" a="1"/>
  <c r="Q232" i="13" a="1"/>
  <c r="F504" i="13" a="1"/>
  <c r="P439" i="13" a="1"/>
  <c r="B239" i="13" a="1"/>
  <c r="Q139" i="13" a="1"/>
  <c r="P212" i="13" a="1"/>
  <c r="I150" i="13" a="1"/>
  <c r="Q223" i="13" a="1"/>
  <c r="H249" i="13" a="1"/>
  <c r="K320" i="13" a="1"/>
  <c r="B326" i="13" a="1"/>
  <c r="O214" i="13" a="1"/>
  <c r="M425" i="13" a="1"/>
  <c r="M340" i="13" a="1"/>
  <c r="Q110" i="13" a="1"/>
  <c r="M219" i="13" a="1"/>
  <c r="N158" i="13" a="1"/>
  <c r="B448" i="13" a="1"/>
  <c r="F239" i="13" a="1"/>
  <c r="M423" i="13" a="1"/>
  <c r="N206" i="13" a="1"/>
  <c r="B160" i="13" a="1"/>
  <c r="L210" i="13" a="1"/>
  <c r="O239" i="13" a="1"/>
  <c r="F119" i="13" a="1"/>
  <c r="E225" i="13" a="1"/>
  <c r="C422" i="13" a="1"/>
  <c r="B360" i="13" a="1"/>
  <c r="L215" i="13" a="1"/>
  <c r="N112" i="13" a="1"/>
  <c r="I252" i="13" a="1"/>
  <c r="N220" i="13" a="1"/>
  <c r="K254" i="13" a="1"/>
  <c r="E253" i="13" a="1"/>
  <c r="D116" i="13" a="1"/>
  <c r="B458" i="13" a="1"/>
  <c r="P231" i="13" a="1"/>
  <c r="F327" i="13" a="1"/>
  <c r="R111" i="13" a="1"/>
  <c r="G217" i="13" a="1"/>
  <c r="O230" i="13" a="1"/>
  <c r="I256" i="13" a="1"/>
  <c r="B334" i="13" a="1"/>
  <c r="I22" i="13" a="1"/>
  <c r="D308" i="13" a="1"/>
  <c r="E327" i="13" a="1"/>
  <c r="D258" i="13" a="1"/>
  <c r="B116" i="13" a="1"/>
  <c r="H211" i="13" a="1"/>
  <c r="H206" i="13" a="1"/>
  <c r="C419" i="13" a="1"/>
  <c r="L219" i="13" a="1"/>
  <c r="N263" i="13" a="1"/>
  <c r="N459" i="13" a="1"/>
  <c r="E336" i="13" a="1"/>
  <c r="J131" i="13" a="1"/>
  <c r="J322" i="13" a="1"/>
  <c r="C110" i="13" a="1"/>
  <c r="E307" i="13" a="1"/>
  <c r="K115" i="13" a="1"/>
  <c r="D315" i="13" a="1"/>
  <c r="D267" i="13" a="1"/>
  <c r="N426" i="13" a="1"/>
  <c r="G228" i="13" a="1"/>
  <c r="Q240" i="13" a="1"/>
  <c r="D410" i="13" a="1"/>
  <c r="F511" i="13" a="1"/>
  <c r="H159" i="13" a="1"/>
  <c r="C224" i="13" a="1"/>
  <c r="M223" i="13" a="1"/>
  <c r="C226" i="13" a="1"/>
  <c r="E333" i="13" a="1"/>
  <c r="M153" i="13" a="1"/>
  <c r="L158" i="13" a="1"/>
  <c r="L420" i="13" a="1"/>
  <c r="K147" i="13" a="1"/>
  <c r="E236" i="13" a="1"/>
  <c r="I332" i="13" a="1"/>
  <c r="I159" i="13" a="1"/>
  <c r="G22" i="13" a="1"/>
  <c r="H256" i="13" a="1"/>
  <c r="M210" i="13" a="1"/>
  <c r="N209" i="13" a="1"/>
  <c r="K346" i="13" a="1"/>
  <c r="N146" i="13" a="1"/>
  <c r="J118" i="13" a="1"/>
  <c r="B342" i="13" a="1"/>
  <c r="K332" i="13" a="1"/>
  <c r="E210" i="13" a="1"/>
  <c r="E110" i="13" a="1"/>
  <c r="Q219" i="13" a="1"/>
  <c r="D112" i="13" a="1"/>
  <c r="L223" i="13" a="1"/>
  <c r="M461" i="13" a="1"/>
  <c r="F310" i="13" a="1"/>
  <c r="J359" i="13" a="1"/>
  <c r="K119" i="13" a="1"/>
  <c r="B253" i="13" a="1"/>
  <c r="F116" i="13" a="1"/>
  <c r="P435" i="13" a="1"/>
  <c r="L449" i="13" a="1"/>
  <c r="D230" i="13" a="1"/>
  <c r="C114" i="13" a="1"/>
  <c r="H115" i="13" a="1"/>
  <c r="D121" i="13" a="1"/>
  <c r="B241" i="13" a="1"/>
  <c r="M256" i="13" a="1"/>
  <c r="J267" i="13" a="1"/>
  <c r="M341" i="13" a="1"/>
  <c r="M114" i="13" a="1"/>
  <c r="H409" i="13" a="1"/>
  <c r="Q149" i="13" a="1"/>
  <c r="N148" i="13" a="1"/>
  <c r="M252" i="13" a="1"/>
  <c r="D259" i="13" a="1"/>
  <c r="L438" i="13" a="1"/>
  <c r="E309" i="13" a="1"/>
  <c r="P138" i="13" a="1"/>
  <c r="M119" i="13" a="1"/>
  <c r="I262" i="13" a="1"/>
  <c r="M426" i="13" a="1"/>
  <c r="E265" i="13" a="1"/>
  <c r="R112" i="13" a="1"/>
  <c r="K146" i="13" a="1"/>
  <c r="B315" i="13" a="1"/>
  <c r="L340" i="13" a="1"/>
  <c r="L331" i="13" a="1"/>
  <c r="L230" i="13" a="1"/>
  <c r="Q239" i="13" a="1"/>
  <c r="P228" i="13" a="1"/>
  <c r="D442" i="13" a="1"/>
  <c r="K419" i="13" a="1"/>
  <c r="K358" i="13" a="1"/>
  <c r="K321" i="13" a="1"/>
  <c r="I111" i="13" a="1"/>
  <c r="L232" i="13" a="1"/>
  <c r="Q231" i="13" a="1"/>
  <c r="C209" i="13" a="1"/>
  <c r="Q163" i="13" a="1"/>
  <c r="D149" i="13" a="1"/>
  <c r="F267" i="13" a="1"/>
  <c r="K155" i="13" a="1"/>
  <c r="H207" i="13" a="1"/>
  <c r="B138" i="13" a="1"/>
  <c r="R242" i="13" a="1"/>
  <c r="E228" i="13" a="1"/>
  <c r="O229" i="13" a="1"/>
  <c r="K240" i="13" a="1"/>
  <c r="J345" i="13" a="1"/>
  <c r="M255" i="13" a="1"/>
  <c r="B447" i="13" a="1"/>
  <c r="B207" i="13" a="1"/>
  <c r="J319" i="13" a="1"/>
  <c r="O424" i="13" a="1"/>
  <c r="G210" i="13" a="1"/>
  <c r="O423" i="13" a="1"/>
  <c r="F118" i="13" a="1"/>
  <c r="I330" i="13" a="1"/>
  <c r="E447" i="13" a="1"/>
  <c r="Q210" i="13" a="1"/>
  <c r="C113" i="13" a="1"/>
  <c r="B149" i="13" a="1"/>
  <c r="P448" i="13" a="1"/>
  <c r="F455" i="13" a="1"/>
  <c r="S212" i="13" a="1"/>
  <c r="D253" i="13" a="1"/>
  <c r="N153" i="13" a="1"/>
  <c r="B214" i="13" a="1"/>
  <c r="E157" i="13" a="1"/>
  <c r="O115" i="13" a="1"/>
  <c r="E461" i="13" a="1"/>
  <c r="J341" i="13" a="1"/>
  <c r="M110" i="13" a="1"/>
  <c r="Q214" i="13" a="1"/>
  <c r="N119" i="13" a="1"/>
  <c r="C239" i="13" a="1"/>
  <c r="D130" i="13" a="1"/>
  <c r="N207" i="13" a="1"/>
  <c r="F209" i="13" a="1"/>
  <c r="B119" i="13" a="1"/>
  <c r="G230" i="13" a="1"/>
  <c r="D422" i="13" a="1"/>
  <c r="C361" i="13" a="1"/>
  <c r="L214" i="13" a="1"/>
  <c r="C319" i="13" a="1"/>
  <c r="M438" i="13" a="1"/>
  <c r="L448" i="13" a="1"/>
  <c r="E410" i="13" a="1"/>
  <c r="K322" i="13" a="1"/>
  <c r="C207" i="13" a="1"/>
  <c r="H432" i="13" a="1"/>
  <c r="Q220" i="13" a="1"/>
  <c r="J329" i="13" a="1"/>
  <c r="N113" i="13" a="1"/>
  <c r="Q137" i="13" a="1"/>
  <c r="M113" i="13" a="1"/>
  <c r="J346" i="13" a="1"/>
  <c r="C454" i="13" a="1"/>
  <c r="R212" i="13" a="1"/>
  <c r="I148" i="13" a="1"/>
  <c r="C211" i="13" a="1"/>
  <c r="R213" i="13" a="1"/>
  <c r="D332" i="13" a="1"/>
  <c r="M215" i="13" a="1"/>
  <c r="D131" i="13" a="1"/>
  <c r="C227" i="13" a="1"/>
  <c r="S241" i="13" a="1"/>
  <c r="B318" i="13" a="1"/>
  <c r="P469" i="13" a="1"/>
  <c r="E226" i="13" a="1"/>
  <c r="C132" i="13" a="1"/>
  <c r="P242" i="13" a="1"/>
  <c r="M232" i="13" a="1"/>
  <c r="G112" i="13" a="1"/>
  <c r="K212" i="13" a="1"/>
  <c r="D209" i="13" a="1"/>
  <c r="N265" i="13" a="1"/>
  <c r="K345" i="13" a="1"/>
  <c r="J308" i="13" a="1"/>
  <c r="N208" i="13" a="1"/>
  <c r="J129" i="13" a="1"/>
  <c r="H264" i="13" a="1"/>
  <c r="O110" i="13" a="1"/>
  <c r="S220" i="13" a="1"/>
  <c r="K210" i="13" a="1"/>
  <c r="F506" i="13" a="1"/>
  <c r="B409" i="13" a="1"/>
  <c r="C115" i="13" a="1"/>
  <c r="I345" i="13" a="1"/>
  <c r="H253" i="13" a="1"/>
  <c r="B333" i="13" a="1"/>
  <c r="B359" i="13" a="1"/>
  <c r="C162" i="13" a="1"/>
  <c r="L111" i="13" a="1"/>
  <c r="N117" i="13" a="1"/>
  <c r="H225" i="13" a="1"/>
  <c r="E114" i="13" a="1"/>
  <c r="D132" i="13" a="1"/>
  <c r="L321" i="13" a="1"/>
  <c r="F317" i="13" a="1"/>
  <c r="C236" i="13" a="1"/>
  <c r="K423" i="13" a="1"/>
  <c r="F410" i="13" a="1"/>
  <c r="P437" i="13" a="1"/>
  <c r="F456" i="13" a="1"/>
  <c r="G209" i="13" a="1"/>
  <c r="C249" i="13" a="1"/>
  <c r="Q146" i="13" a="1"/>
  <c r="D424" i="13" a="1"/>
  <c r="C117" i="13" a="1"/>
  <c r="J409" i="13" a="1"/>
  <c r="K221" i="13" a="1"/>
  <c r="K116" i="13" a="1"/>
  <c r="E266" i="13" a="1"/>
  <c r="J130" i="13" a="1"/>
  <c r="C161" i="13" a="1"/>
  <c r="F442" i="13" a="1"/>
  <c r="I129" i="13" a="1"/>
  <c r="K410" i="13" a="1"/>
  <c r="G258" i="13" a="1"/>
  <c r="C270" i="13" a="1"/>
  <c r="E326" i="13" a="1"/>
  <c r="I340" i="13" a="1"/>
  <c r="H226" i="13" a="1"/>
  <c r="O231" i="13" a="1"/>
  <c r="M437" i="13" a="1"/>
  <c r="F115" i="13" a="1"/>
  <c r="B130" i="13" a="1"/>
  <c r="P451" i="13" a="1"/>
  <c r="E251" i="13" a="1"/>
  <c r="I251" i="13" a="1"/>
  <c r="L152" i="13" a="1"/>
  <c r="D470" i="13" a="1"/>
  <c r="J311" i="13" a="1"/>
  <c r="E241" i="13" a="1"/>
  <c r="L345" i="13" a="1"/>
  <c r="D241" i="13" a="1"/>
  <c r="H148" i="13" a="1"/>
  <c r="O267" i="13" a="1"/>
  <c r="F159" i="13" a="1"/>
  <c r="C351" i="13" a="1"/>
  <c r="E413" i="13" a="1"/>
  <c r="L427" i="13" a="1"/>
  <c r="F227" i="13" a="1"/>
  <c r="L113" i="13" a="1"/>
  <c r="O421" i="13" a="1"/>
  <c r="M410" i="13" a="1"/>
  <c r="D447" i="13" a="1"/>
  <c r="O131" i="13" a="1"/>
  <c r="M214" i="13" a="1"/>
  <c r="K156" i="13" a="1"/>
  <c r="B230" i="13" a="1"/>
  <c r="P215" i="13" a="1"/>
  <c r="K361" i="13" a="1"/>
  <c r="B466" i="13" a="1"/>
  <c r="J117" i="13" a="1"/>
  <c r="B327" i="13" a="1"/>
  <c r="Q435" i="13" a="1"/>
  <c r="G113" i="13" a="1"/>
  <c r="I253" i="13" a="1"/>
  <c r="L129" i="13" a="1"/>
  <c r="E421" i="13" a="1"/>
  <c r="I329" i="13" a="1"/>
  <c r="B228" i="13" a="1"/>
  <c r="B208" i="13" a="1"/>
  <c r="Q116" i="13" a="1"/>
  <c r="Q221" i="13" a="1"/>
  <c r="F421" i="13" a="1"/>
  <c r="N420" i="13" a="1"/>
  <c r="Q138" i="13" a="1"/>
  <c r="F326" i="13" a="1"/>
  <c r="C358" i="13" a="1"/>
  <c r="M267" i="13" a="1"/>
  <c r="L322" i="13" a="1"/>
  <c r="M231" i="14" l="1"/>
  <c r="E120" i="14"/>
  <c r="H149" i="14"/>
  <c r="I250" i="14"/>
  <c r="L436" i="14"/>
  <c r="O425" i="14"/>
  <c r="Q207" i="14"/>
  <c r="D267" i="14"/>
  <c r="P221" i="14"/>
  <c r="L212" i="14"/>
  <c r="J311" i="14"/>
  <c r="L219" i="14"/>
  <c r="L114" i="14"/>
  <c r="K410" i="14"/>
  <c r="D120" i="14"/>
  <c r="E135" i="14"/>
  <c r="H217" i="14"/>
  <c r="I137" i="14"/>
  <c r="D458" i="14"/>
  <c r="G251" i="14"/>
  <c r="Q162" i="14"/>
  <c r="D257" i="14"/>
  <c r="M437" i="14"/>
  <c r="H157" i="14"/>
  <c r="K309" i="14"/>
  <c r="N259" i="14"/>
  <c r="B335" i="14"/>
  <c r="J322" i="14"/>
  <c r="D444" i="14"/>
  <c r="I264" i="14"/>
  <c r="K421" i="14"/>
  <c r="D433" i="14"/>
  <c r="P437" i="14"/>
  <c r="M117" i="14"/>
  <c r="K321" i="14"/>
  <c r="F230" i="14"/>
  <c r="E207" i="14"/>
  <c r="B326" i="14"/>
  <c r="L329" i="14"/>
  <c r="O135" i="14"/>
  <c r="O419" i="14"/>
  <c r="N243" i="14"/>
  <c r="I323" i="14"/>
  <c r="Q233" i="14"/>
  <c r="O420" i="14"/>
  <c r="Q139" i="14"/>
  <c r="B212" i="14"/>
  <c r="F116" i="14"/>
  <c r="E114" i="14"/>
  <c r="H208" i="14"/>
  <c r="H412" i="14"/>
  <c r="L256" i="14"/>
  <c r="I320" i="14"/>
  <c r="O129" i="14"/>
  <c r="R213" i="14"/>
  <c r="N111" i="14"/>
  <c r="E117" i="14"/>
  <c r="F422" i="14"/>
  <c r="C216" i="14"/>
  <c r="P112" i="14"/>
  <c r="G253" i="14"/>
  <c r="N263" i="14"/>
  <c r="B461" i="14"/>
  <c r="K348" i="14"/>
  <c r="N265" i="14"/>
  <c r="M470" i="14"/>
  <c r="C212" i="14"/>
  <c r="O212" i="14"/>
  <c r="H210" i="14"/>
  <c r="N252" i="14"/>
  <c r="B132" i="14"/>
  <c r="F241" i="14"/>
  <c r="R220" i="14"/>
  <c r="J361" i="14"/>
  <c r="E224" i="14"/>
  <c r="R244" i="14"/>
  <c r="M267" i="14"/>
  <c r="D311" i="14"/>
  <c r="J267" i="14"/>
  <c r="H159" i="14"/>
  <c r="E325" i="14"/>
  <c r="D334" i="14"/>
  <c r="I158" i="14"/>
  <c r="I346" i="14"/>
  <c r="D115" i="14"/>
  <c r="E420" i="14"/>
  <c r="P211" i="14"/>
  <c r="N158" i="14"/>
  <c r="K425" i="14"/>
  <c r="D211" i="14"/>
  <c r="I310" i="14"/>
  <c r="E419" i="14"/>
  <c r="F316" i="14"/>
  <c r="N156" i="14"/>
  <c r="B133" i="14"/>
  <c r="C139" i="14"/>
  <c r="C239" i="14"/>
  <c r="E447" i="14"/>
  <c r="H150" i="14"/>
  <c r="N222" i="14"/>
  <c r="L359" i="14"/>
  <c r="L341" i="14"/>
  <c r="P241" i="14"/>
  <c r="E250" i="14"/>
  <c r="I257" i="14"/>
  <c r="B318" i="14"/>
  <c r="P135" i="14"/>
  <c r="L214" i="14"/>
  <c r="I311" i="14"/>
  <c r="L337" i="14"/>
  <c r="F412" i="14"/>
  <c r="I151" i="14"/>
  <c r="I150" i="14"/>
  <c r="E110" i="14"/>
  <c r="D239" i="14"/>
  <c r="I409" i="14"/>
  <c r="Q228" i="14"/>
  <c r="B460" i="14"/>
  <c r="H249" i="14"/>
  <c r="F444" i="14"/>
  <c r="I410" i="14"/>
  <c r="J250" i="14"/>
  <c r="L159" i="14"/>
  <c r="K426" i="14"/>
  <c r="B360" i="14"/>
  <c r="D323" i="14"/>
  <c r="G436" i="14"/>
  <c r="L231" i="14"/>
  <c r="B239" i="14"/>
  <c r="B325" i="14"/>
  <c r="C128" i="14"/>
  <c r="B345" i="14"/>
  <c r="C150" i="14"/>
  <c r="N206" i="14"/>
  <c r="B225" i="14"/>
  <c r="B131" i="14"/>
  <c r="L333" i="14"/>
  <c r="E319" i="14"/>
  <c r="R447" i="14"/>
  <c r="D152" i="14"/>
  <c r="B136" i="14"/>
  <c r="I139" i="14"/>
  <c r="Q210" i="14"/>
  <c r="H212" i="14"/>
  <c r="K211" i="14"/>
  <c r="B359" i="14"/>
  <c r="C131" i="14"/>
  <c r="L319" i="14"/>
  <c r="B206" i="14"/>
  <c r="Q439" i="14"/>
  <c r="H410" i="14"/>
  <c r="O113" i="14"/>
  <c r="D150" i="14"/>
  <c r="N240" i="14"/>
  <c r="K333" i="14"/>
  <c r="C461" i="14"/>
  <c r="D223" i="14"/>
  <c r="H253" i="14"/>
  <c r="Q137" i="14"/>
  <c r="N231" i="14"/>
  <c r="M220" i="14"/>
  <c r="D421" i="14"/>
  <c r="E159" i="14"/>
  <c r="B448" i="14"/>
  <c r="E235" i="14"/>
  <c r="D422" i="14"/>
  <c r="F421" i="14"/>
  <c r="D251" i="14"/>
  <c r="C471" i="14"/>
  <c r="P222" i="14"/>
  <c r="C211" i="14"/>
  <c r="C226" i="14"/>
  <c r="P439" i="14"/>
  <c r="K230" i="14"/>
  <c r="G228" i="14"/>
  <c r="B258" i="14"/>
  <c r="O209" i="14"/>
  <c r="G207" i="14"/>
  <c r="S215" i="14"/>
  <c r="M258" i="14"/>
  <c r="F267" i="14"/>
  <c r="N253" i="14"/>
  <c r="N241" i="14"/>
  <c r="Q159" i="14"/>
  <c r="D448" i="14"/>
  <c r="D319" i="14"/>
  <c r="B310" i="14"/>
  <c r="B208" i="14"/>
  <c r="K151" i="14"/>
  <c r="B115" i="14"/>
  <c r="M210" i="14"/>
  <c r="L243" i="14"/>
  <c r="C472" i="14"/>
  <c r="B160" i="14"/>
  <c r="D351" i="14"/>
  <c r="N221" i="14"/>
  <c r="E455" i="14"/>
  <c r="C118" i="14"/>
  <c r="F238" i="14"/>
  <c r="B135" i="14"/>
  <c r="L471" i="14"/>
  <c r="H115" i="14"/>
  <c r="P447" i="14"/>
  <c r="R212" i="14"/>
  <c r="K337" i="14"/>
  <c r="K361" i="14"/>
  <c r="B230" i="14"/>
  <c r="C112" i="14"/>
  <c r="G227" i="14"/>
  <c r="G112" i="14"/>
  <c r="D258" i="14"/>
  <c r="C433" i="14"/>
  <c r="D212" i="14"/>
  <c r="D324" i="14"/>
  <c r="F235" i="14"/>
  <c r="Q434" i="14"/>
  <c r="B358" i="14"/>
  <c r="H224" i="14"/>
  <c r="K319" i="14"/>
  <c r="E227" i="14"/>
  <c r="P243" i="14"/>
  <c r="J345" i="14"/>
  <c r="M447" i="14"/>
  <c r="N116" i="14"/>
  <c r="B309" i="14"/>
  <c r="E308" i="14"/>
  <c r="J268" i="14"/>
  <c r="K208" i="14"/>
  <c r="D110" i="14"/>
  <c r="L470" i="14"/>
  <c r="K114" i="14"/>
  <c r="J321" i="14"/>
  <c r="D266" i="14"/>
  <c r="F508" i="14"/>
  <c r="H213" i="14"/>
  <c r="F319" i="14"/>
  <c r="F455" i="14"/>
  <c r="F118" i="14"/>
  <c r="J135" i="14"/>
  <c r="N457" i="14"/>
  <c r="C241" i="14"/>
  <c r="C423" i="14"/>
  <c r="B241" i="14"/>
  <c r="B361" i="14"/>
  <c r="C227" i="14"/>
  <c r="L414" i="14"/>
  <c r="M250" i="14"/>
  <c r="B315" i="14"/>
  <c r="Q219" i="14"/>
  <c r="C310" i="14"/>
  <c r="B137" i="14"/>
  <c r="M118" i="14"/>
  <c r="F211" i="14"/>
  <c r="G431" i="14"/>
  <c r="R243" i="14"/>
  <c r="F215" i="14"/>
  <c r="L254" i="14"/>
  <c r="L459" i="14"/>
  <c r="J131" i="14"/>
  <c r="Q451" i="14"/>
  <c r="F113" i="14"/>
  <c r="J340" i="14"/>
  <c r="P229" i="14"/>
  <c r="K115" i="14"/>
  <c r="B316" i="14"/>
  <c r="I307" i="14"/>
  <c r="D241" i="14"/>
  <c r="M241" i="14"/>
  <c r="M362" i="14"/>
  <c r="B262" i="14"/>
  <c r="F510" i="14"/>
  <c r="M268" i="14"/>
  <c r="L223" i="14"/>
  <c r="U233" i="14"/>
  <c r="L230" i="14"/>
  <c r="Q438" i="14"/>
  <c r="C117" i="14"/>
  <c r="I146" i="14"/>
  <c r="C161" i="14"/>
  <c r="K152" i="14"/>
  <c r="M411" i="14"/>
  <c r="I265" i="14"/>
  <c r="F325" i="14"/>
  <c r="L241" i="14"/>
  <c r="F409" i="14"/>
  <c r="E116" i="14"/>
  <c r="K147" i="14"/>
  <c r="H251" i="14"/>
  <c r="O239" i="14"/>
  <c r="J138" i="14"/>
  <c r="B149" i="14"/>
  <c r="H432" i="14"/>
  <c r="P140" i="14"/>
  <c r="Q213" i="14"/>
  <c r="N419" i="14"/>
  <c r="M340" i="14"/>
  <c r="E112" i="14"/>
  <c r="F443" i="14"/>
  <c r="C311" i="14"/>
  <c r="E230" i="14"/>
  <c r="L147" i="14"/>
  <c r="G433" i="14"/>
  <c r="F308" i="14"/>
  <c r="C335" i="14"/>
  <c r="K112" i="14"/>
  <c r="H256" i="14"/>
  <c r="Q239" i="14"/>
  <c r="L221" i="14"/>
  <c r="J129" i="14"/>
  <c r="M233" i="14"/>
  <c r="L229" i="14"/>
  <c r="E238" i="14"/>
  <c r="L128" i="14"/>
  <c r="E131" i="14"/>
  <c r="E132" i="14"/>
  <c r="K146" i="14"/>
  <c r="M214" i="14"/>
  <c r="Q155" i="14"/>
  <c r="J254" i="14"/>
  <c r="E442" i="14"/>
  <c r="L421" i="14"/>
  <c r="P434" i="14"/>
  <c r="P469" i="14"/>
  <c r="H227" i="14"/>
  <c r="I261" i="14"/>
  <c r="B128" i="14"/>
  <c r="D443" i="14"/>
  <c r="D113" i="14"/>
  <c r="O421" i="14"/>
  <c r="N110" i="14"/>
  <c r="M110" i="14"/>
  <c r="O208" i="14"/>
  <c r="C465" i="14"/>
  <c r="C222" i="14"/>
  <c r="N118" i="14"/>
  <c r="J116" i="14"/>
  <c r="I115" i="14"/>
  <c r="G226" i="14"/>
  <c r="C266" i="14"/>
  <c r="G217" i="14"/>
  <c r="B444" i="14"/>
  <c r="B419" i="14"/>
  <c r="D227" i="14"/>
  <c r="H151" i="14"/>
  <c r="O221" i="14"/>
  <c r="I118" i="14"/>
  <c r="M249" i="14"/>
  <c r="Q116" i="14"/>
  <c r="E222" i="14"/>
  <c r="M460" i="14"/>
  <c r="D229" i="14"/>
  <c r="B409" i="14"/>
  <c r="E448" i="14"/>
  <c r="C214" i="14"/>
  <c r="M230" i="14"/>
  <c r="B420" i="14"/>
  <c r="E361" i="14"/>
  <c r="O206" i="14"/>
  <c r="O426" i="14"/>
  <c r="P212" i="14"/>
  <c r="E210" i="14"/>
  <c r="L323" i="14"/>
  <c r="M212" i="14"/>
  <c r="M425" i="14"/>
  <c r="C421" i="14"/>
  <c r="L321" i="14"/>
  <c r="N153" i="14"/>
  <c r="M423" i="14"/>
  <c r="M115" i="14"/>
  <c r="B319" i="14"/>
  <c r="B222" i="14"/>
  <c r="F515" i="14"/>
  <c r="J346" i="14"/>
  <c r="C435" i="14"/>
  <c r="J151" i="14"/>
  <c r="K330" i="14"/>
  <c r="O240" i="14"/>
  <c r="D259" i="14"/>
  <c r="I152" i="14"/>
  <c r="E119" i="14"/>
  <c r="C458" i="14"/>
  <c r="C409" i="14"/>
  <c r="F447" i="14"/>
  <c r="Q435" i="14"/>
  <c r="C419" i="14"/>
  <c r="E149" i="14"/>
  <c r="E307" i="14"/>
  <c r="D423" i="14"/>
  <c r="M266" i="14"/>
  <c r="D119" i="14"/>
  <c r="C129" i="14"/>
  <c r="D249" i="14"/>
  <c r="F114" i="14"/>
  <c r="C235" i="14"/>
  <c r="B362" i="14"/>
  <c r="E152" i="14"/>
  <c r="C113" i="14"/>
  <c r="E130" i="14"/>
  <c r="F119" i="14"/>
  <c r="F239" i="14"/>
  <c r="P438" i="14"/>
  <c r="K436" i="14"/>
  <c r="P472" i="14"/>
  <c r="F270" i="14"/>
  <c r="I333" i="14"/>
  <c r="G254" i="14"/>
  <c r="B254" i="14"/>
  <c r="L220" i="14"/>
  <c r="E411" i="14"/>
  <c r="E221" i="14"/>
  <c r="D121" i="14"/>
  <c r="M409" i="14"/>
  <c r="B465" i="14"/>
  <c r="K117" i="14"/>
  <c r="G409" i="14"/>
  <c r="M458" i="14"/>
  <c r="B311" i="14"/>
  <c r="M358" i="14"/>
  <c r="B458" i="14"/>
  <c r="J362" i="14"/>
  <c r="E257" i="14"/>
  <c r="M421" i="14"/>
  <c r="C309" i="14"/>
  <c r="C207" i="14"/>
  <c r="E336" i="14"/>
  <c r="H214" i="14"/>
  <c r="U240" i="14"/>
  <c r="Q138" i="14"/>
  <c r="K222" i="14"/>
  <c r="Q206" i="14"/>
  <c r="K251" i="14"/>
  <c r="L469" i="14"/>
  <c r="B134" i="14"/>
  <c r="C307" i="14"/>
  <c r="L153" i="14"/>
  <c r="K323" i="14"/>
  <c r="M228" i="14"/>
  <c r="B255" i="14"/>
  <c r="Q437" i="14"/>
  <c r="L440" i="14"/>
  <c r="J307" i="14"/>
  <c r="M222" i="14"/>
  <c r="D256" i="14"/>
  <c r="M265" i="14"/>
  <c r="P231" i="14"/>
  <c r="O222" i="14"/>
  <c r="K448" i="14"/>
  <c r="L425" i="14"/>
  <c r="C264" i="14"/>
  <c r="B333" i="14"/>
  <c r="F225" i="14"/>
  <c r="S242" i="14"/>
  <c r="E309" i="14"/>
  <c r="N239" i="14"/>
  <c r="L458" i="14"/>
  <c r="M436" i="14"/>
  <c r="F228" i="14"/>
  <c r="D215" i="14"/>
  <c r="K311" i="14"/>
  <c r="M113" i="14"/>
  <c r="E310" i="14"/>
  <c r="B213" i="14"/>
  <c r="P206" i="14"/>
  <c r="F110" i="14"/>
  <c r="D326" i="14"/>
  <c r="N425" i="14"/>
  <c r="D260" i="14"/>
  <c r="L213" i="14"/>
  <c r="K119" i="14"/>
  <c r="F446" i="14"/>
  <c r="E327" i="14"/>
  <c r="N219" i="14"/>
  <c r="C446" i="14"/>
  <c r="P111" i="14"/>
  <c r="D228" i="14"/>
  <c r="E113" i="14"/>
  <c r="G222" i="14"/>
  <c r="L322" i="14"/>
  <c r="J337" i="14"/>
  <c r="L461" i="14"/>
  <c r="K435" i="14"/>
  <c r="Q149" i="14"/>
  <c r="D432" i="14"/>
  <c r="P138" i="14"/>
  <c r="J330" i="14"/>
  <c r="E263" i="14"/>
  <c r="D116" i="14"/>
  <c r="M348" i="14"/>
  <c r="P230" i="14"/>
  <c r="J136" i="14"/>
  <c r="I149" i="14"/>
  <c r="H148" i="14"/>
  <c r="M221" i="14"/>
  <c r="D149" i="14"/>
  <c r="C215" i="14"/>
  <c r="L228" i="14"/>
  <c r="S220" i="14"/>
  <c r="E318" i="14"/>
  <c r="B332" i="14"/>
  <c r="M219" i="14"/>
  <c r="I308" i="14"/>
  <c r="F268" i="14"/>
  <c r="H230" i="14"/>
  <c r="I340" i="14"/>
  <c r="J414" i="14"/>
  <c r="N210" i="14"/>
  <c r="B466" i="14"/>
  <c r="J319" i="14"/>
  <c r="F326" i="14"/>
  <c r="G359" i="14"/>
  <c r="R115" i="14"/>
  <c r="J332" i="14"/>
  <c r="L111" i="14"/>
  <c r="M435" i="14"/>
  <c r="N459" i="14"/>
  <c r="H411" i="14"/>
  <c r="K437" i="14"/>
  <c r="D410" i="14"/>
  <c r="Q145" i="14"/>
  <c r="S243" i="14"/>
  <c r="O210" i="14"/>
  <c r="N421" i="14"/>
  <c r="C230" i="14"/>
  <c r="C334" i="14"/>
  <c r="D268" i="14"/>
  <c r="E214" i="14"/>
  <c r="C422" i="14"/>
  <c r="N257" i="14"/>
  <c r="K419" i="14"/>
  <c r="C323" i="14"/>
  <c r="K341" i="14"/>
  <c r="K252" i="14"/>
  <c r="M151" i="14"/>
  <c r="I129" i="14"/>
  <c r="D460" i="14"/>
  <c r="G212" i="14"/>
  <c r="Q243" i="14"/>
  <c r="I332" i="14"/>
  <c r="I117" i="14"/>
  <c r="H226" i="14"/>
  <c r="C159" i="14"/>
  <c r="O230" i="14"/>
  <c r="B117" i="14"/>
  <c r="K220" i="14"/>
  <c r="C208" i="14"/>
  <c r="O213" i="14"/>
  <c r="J137" i="14"/>
  <c r="M146" i="14"/>
  <c r="M251" i="14"/>
  <c r="Q113" i="14"/>
  <c r="C460" i="14"/>
  <c r="H263" i="14"/>
  <c r="C114" i="14"/>
  <c r="M254" i="14"/>
  <c r="B324" i="14"/>
  <c r="I256" i="14"/>
  <c r="L348" i="14"/>
  <c r="I112" i="14"/>
  <c r="M208" i="14"/>
  <c r="L156" i="14"/>
  <c r="B111" i="14"/>
  <c r="D310" i="14"/>
  <c r="I254" i="14"/>
  <c r="G437" i="14"/>
  <c r="E460" i="14"/>
  <c r="D419" i="14"/>
  <c r="M223" i="14"/>
  <c r="K414" i="14"/>
  <c r="L360" i="14"/>
  <c r="C318" i="14"/>
  <c r="L437" i="14"/>
  <c r="H211" i="14"/>
  <c r="F505" i="14"/>
  <c r="L448" i="14"/>
  <c r="L338" i="14"/>
  <c r="K207" i="14"/>
  <c r="D160" i="14"/>
  <c r="O110" i="14"/>
  <c r="L410" i="14"/>
  <c r="G410" i="14"/>
  <c r="N258" i="14"/>
  <c r="K240" i="14"/>
  <c r="C206" i="14"/>
  <c r="I259" i="14"/>
  <c r="M345" i="14"/>
  <c r="N266" i="14"/>
  <c r="F117" i="14"/>
  <c r="L206" i="14"/>
  <c r="F506" i="14"/>
  <c r="E315" i="14"/>
  <c r="L151" i="14"/>
  <c r="C324" i="14"/>
  <c r="G438" i="14"/>
  <c r="P139" i="14"/>
  <c r="P244" i="14"/>
  <c r="D236" i="14"/>
  <c r="D318" i="14"/>
  <c r="N146" i="14"/>
  <c r="M257" i="14"/>
  <c r="B223" i="14"/>
  <c r="J338" i="14"/>
  <c r="K110" i="14"/>
  <c r="L118" i="14"/>
  <c r="Q154" i="14"/>
  <c r="E324" i="14"/>
  <c r="K232" i="14"/>
  <c r="E252" i="14"/>
  <c r="I148" i="14"/>
  <c r="G434" i="14"/>
  <c r="I255" i="14"/>
  <c r="H254" i="14"/>
  <c r="G411" i="14"/>
  <c r="O223" i="14"/>
  <c r="B410" i="14"/>
  <c r="G209" i="14"/>
  <c r="O231" i="14"/>
  <c r="C111" i="14"/>
  <c r="Q211" i="14"/>
  <c r="E326" i="14"/>
  <c r="C209" i="14"/>
  <c r="D213" i="14"/>
  <c r="Q223" i="14"/>
  <c r="Q140" i="14"/>
  <c r="C319" i="14"/>
  <c r="K362" i="14"/>
  <c r="E323" i="14"/>
  <c r="B138" i="14"/>
  <c r="K253" i="14"/>
  <c r="P239" i="14"/>
  <c r="F514" i="14"/>
  <c r="L447" i="14"/>
  <c r="B113" i="14"/>
  <c r="H152" i="14"/>
  <c r="J348" i="14"/>
  <c r="Q232" i="14"/>
  <c r="I268" i="14"/>
  <c r="E422" i="14"/>
  <c r="B161" i="14"/>
  <c r="D253" i="14"/>
  <c r="J128" i="14"/>
  <c r="N212" i="14"/>
  <c r="C362" i="14"/>
  <c r="D442" i="14"/>
  <c r="J331" i="14"/>
  <c r="D129" i="14"/>
  <c r="E409" i="14"/>
  <c r="K156" i="14"/>
  <c r="K358" i="14"/>
  <c r="B211" i="14"/>
  <c r="I111" i="14"/>
  <c r="G230" i="14"/>
  <c r="S212" i="14"/>
  <c r="N214" i="14"/>
  <c r="L330" i="14"/>
  <c r="D235" i="14"/>
  <c r="C332" i="14"/>
  <c r="M260" i="14"/>
  <c r="F226" i="14"/>
  <c r="K116" i="14"/>
  <c r="F213" i="14"/>
  <c r="D309" i="14"/>
  <c r="E111" i="14"/>
  <c r="D431" i="14"/>
  <c r="K331" i="14"/>
  <c r="D207" i="14"/>
  <c r="H228" i="14"/>
  <c r="E118" i="14"/>
  <c r="I414" i="14"/>
  <c r="C420" i="14"/>
  <c r="K241" i="14"/>
  <c r="B257" i="14"/>
  <c r="L208" i="14"/>
  <c r="P214" i="14"/>
  <c r="K438" i="14"/>
  <c r="M410" i="14"/>
  <c r="D261" i="14"/>
  <c r="M424" i="14"/>
  <c r="N223" i="14"/>
  <c r="F309" i="14"/>
  <c r="F214" i="14"/>
  <c r="C364" i="14"/>
  <c r="D216" i="14"/>
  <c r="L426" i="14"/>
  <c r="K223" i="14"/>
  <c r="B346" i="14"/>
  <c r="D269" i="14"/>
  <c r="K255" i="14"/>
  <c r="J359" i="14"/>
  <c r="K219" i="14"/>
  <c r="F109" i="14"/>
  <c r="C130" i="14"/>
  <c r="D250" i="14"/>
  <c r="L438" i="14"/>
  <c r="O423" i="14"/>
  <c r="C270" i="14"/>
  <c r="M243" i="14"/>
  <c r="C119" i="14"/>
  <c r="M259" i="14"/>
  <c r="I114" i="14"/>
  <c r="F504" i="14"/>
  <c r="K113" i="14"/>
  <c r="D409" i="14"/>
  <c r="G223" i="14"/>
  <c r="H207" i="14"/>
  <c r="I135" i="14"/>
  <c r="K329" i="14"/>
  <c r="C115" i="14"/>
  <c r="M412" i="14"/>
  <c r="E134" i="14"/>
  <c r="B110" i="14"/>
  <c r="E157" i="14"/>
  <c r="L242" i="14"/>
  <c r="E458" i="14"/>
  <c r="C238" i="14"/>
  <c r="E209" i="14"/>
  <c r="N211" i="14"/>
  <c r="H229" i="14"/>
  <c r="U241" i="14"/>
  <c r="P208" i="14"/>
  <c r="E360" i="14"/>
  <c r="K346" i="14"/>
  <c r="E413" i="14"/>
  <c r="L210" i="14"/>
  <c r="J117" i="14"/>
  <c r="N250" i="14"/>
  <c r="B344" i="14"/>
  <c r="M119" i="14"/>
  <c r="F269" i="14"/>
  <c r="L115" i="14"/>
  <c r="F419" i="14"/>
  <c r="N423" i="14"/>
  <c r="C410" i="14"/>
  <c r="G206" i="14"/>
  <c r="B253" i="14"/>
  <c r="D209" i="14"/>
  <c r="G111" i="14"/>
  <c r="I130" i="14"/>
  <c r="L240" i="14"/>
  <c r="N119" i="14"/>
  <c r="F258" i="14"/>
  <c r="C254" i="14"/>
  <c r="E206" i="14"/>
  <c r="D424" i="14"/>
  <c r="O232" i="14"/>
  <c r="F411" i="14"/>
  <c r="C360" i="14"/>
  <c r="F317" i="14"/>
  <c r="L209" i="14"/>
  <c r="T241" i="14"/>
  <c r="C109" i="14"/>
  <c r="U242" i="14"/>
  <c r="D336" i="14"/>
  <c r="F327" i="14"/>
  <c r="M116" i="14"/>
  <c r="J156" i="14"/>
  <c r="R222" i="14"/>
  <c r="H225" i="14"/>
  <c r="L449" i="14"/>
  <c r="M213" i="14"/>
  <c r="H116" i="14"/>
  <c r="D111" i="14"/>
  <c r="N262" i="14"/>
  <c r="O215" i="14"/>
  <c r="N213" i="14"/>
  <c r="G435" i="14"/>
  <c r="M448" i="14"/>
  <c r="D325" i="14"/>
  <c r="F410" i="14"/>
  <c r="S222" i="14"/>
  <c r="O111" i="14"/>
  <c r="M156" i="14"/>
  <c r="L119" i="14"/>
  <c r="F310" i="14"/>
  <c r="F413" i="14"/>
  <c r="E332" i="14"/>
  <c r="C250" i="14"/>
  <c r="I345" i="14"/>
  <c r="B119" i="14"/>
  <c r="O115" i="14"/>
  <c r="E421" i="14"/>
  <c r="K359" i="14"/>
  <c r="D112" i="14"/>
  <c r="P228" i="14"/>
  <c r="Q136" i="14"/>
  <c r="K420" i="14"/>
  <c r="D264" i="14"/>
  <c r="M427" i="14"/>
  <c r="I253" i="14"/>
  <c r="J130" i="14"/>
  <c r="I116" i="14"/>
  <c r="D255" i="14"/>
  <c r="Q110" i="14"/>
  <c r="F223" i="14"/>
  <c r="J119" i="14"/>
  <c r="E311" i="14"/>
  <c r="M256" i="14"/>
  <c r="D317" i="14"/>
  <c r="M255" i="14"/>
  <c r="N230" i="14"/>
  <c r="R113" i="14"/>
  <c r="P436" i="14"/>
  <c r="L232" i="14"/>
  <c r="C249" i="14"/>
  <c r="C221" i="14"/>
  <c r="H221" i="14"/>
  <c r="M148" i="14"/>
  <c r="N207" i="14"/>
  <c r="E456" i="14"/>
  <c r="K128" i="14"/>
  <c r="M252" i="14"/>
  <c r="I119" i="14"/>
  <c r="Q220" i="14"/>
  <c r="I338" i="14"/>
  <c r="C236" i="14"/>
  <c r="Q222" i="14"/>
  <c r="D128" i="14"/>
  <c r="H110" i="14"/>
  <c r="P470" i="14"/>
  <c r="D118" i="14"/>
  <c r="E115" i="14"/>
  <c r="F229" i="14"/>
  <c r="M359" i="14"/>
  <c r="F210" i="14"/>
  <c r="F224" i="14"/>
  <c r="D446" i="14"/>
  <c r="L116" i="14"/>
  <c r="C455" i="14"/>
  <c r="G113" i="14"/>
  <c r="M338" i="14"/>
  <c r="C447" i="14"/>
  <c r="E423" i="14"/>
  <c r="D332" i="14"/>
  <c r="C432" i="14"/>
  <c r="O220" i="14"/>
  <c r="D265" i="14"/>
  <c r="F157" i="14"/>
  <c r="P223" i="14"/>
  <c r="M349" i="14"/>
  <c r="O228" i="14"/>
  <c r="E334" i="14"/>
  <c r="D132" i="14"/>
  <c r="N209" i="14"/>
  <c r="E223" i="14"/>
  <c r="K213" i="14"/>
  <c r="M263" i="14"/>
  <c r="B159" i="14"/>
  <c r="J269" i="14"/>
  <c r="C152" i="14"/>
  <c r="P242" i="14"/>
  <c r="M153" i="14"/>
  <c r="M253" i="14"/>
  <c r="K239" i="14"/>
  <c r="I128" i="14"/>
  <c r="I110" i="14"/>
  <c r="B421" i="14"/>
  <c r="T240" i="14"/>
  <c r="G225" i="14"/>
  <c r="D157" i="14"/>
  <c r="E213" i="14"/>
  <c r="G258" i="14"/>
  <c r="N151" i="14"/>
  <c r="L215" i="14"/>
  <c r="M209" i="14"/>
  <c r="N460" i="14"/>
  <c r="D434" i="14"/>
  <c r="D225" i="14"/>
  <c r="B112" i="14"/>
  <c r="Q158" i="14"/>
  <c r="J409" i="14"/>
  <c r="Q221" i="14"/>
  <c r="C431" i="14"/>
  <c r="K308" i="14"/>
  <c r="G262" i="14"/>
  <c r="O254" i="14"/>
  <c r="F513" i="14"/>
  <c r="F420" i="14"/>
  <c r="B454" i="14"/>
  <c r="I341" i="14"/>
  <c r="I260" i="14"/>
  <c r="D208" i="14"/>
  <c r="C454" i="14"/>
  <c r="M346" i="14"/>
  <c r="G252" i="14"/>
  <c r="I258" i="14"/>
  <c r="F207" i="14"/>
  <c r="R241" i="14"/>
  <c r="N215" i="14"/>
  <c r="E226" i="14"/>
  <c r="C359" i="14"/>
  <c r="B342" i="14"/>
  <c r="G255" i="14"/>
  <c r="K424" i="14"/>
  <c r="O424" i="14"/>
  <c r="S240" i="14"/>
  <c r="N249" i="14"/>
  <c r="D465" i="14"/>
  <c r="B446" i="14"/>
  <c r="P232" i="14"/>
  <c r="H209" i="14"/>
  <c r="C327" i="14"/>
  <c r="K111" i="14"/>
  <c r="E212" i="14"/>
  <c r="D224" i="14"/>
  <c r="K423" i="14"/>
  <c r="L441" i="14"/>
  <c r="L358" i="14"/>
  <c r="L211" i="14"/>
  <c r="L264" i="14"/>
  <c r="Q214" i="14"/>
  <c r="E262" i="14"/>
  <c r="G213" i="14"/>
  <c r="G432" i="14"/>
  <c r="L424" i="14"/>
  <c r="C317" i="14"/>
  <c r="B210" i="14"/>
  <c r="C308" i="14"/>
  <c r="L129" i="14"/>
  <c r="C325" i="14"/>
  <c r="K254" i="14"/>
  <c r="C333" i="14"/>
  <c r="N242" i="14"/>
  <c r="K360" i="14"/>
  <c r="D217" i="14"/>
  <c r="C157" i="14"/>
  <c r="O258" i="14"/>
  <c r="Q436" i="14"/>
  <c r="C315" i="14"/>
  <c r="N113" i="14"/>
  <c r="P115" i="14"/>
  <c r="L442" i="14"/>
  <c r="D154" i="14"/>
  <c r="I269" i="14"/>
  <c r="L320" i="14"/>
  <c r="C217" i="14"/>
  <c r="F318" i="14"/>
  <c r="B129" i="14"/>
  <c r="B307" i="14"/>
  <c r="M207" i="14"/>
  <c r="J349" i="14"/>
  <c r="M438" i="14"/>
  <c r="N115" i="14"/>
  <c r="G229" i="14"/>
  <c r="C213" i="14"/>
  <c r="J258" i="14"/>
  <c r="R223" i="14"/>
  <c r="I329" i="14"/>
  <c r="N114" i="14"/>
  <c r="L420" i="14"/>
  <c r="K242" i="14"/>
  <c r="L251" i="14"/>
  <c r="J308" i="14"/>
  <c r="J158" i="14"/>
  <c r="H250" i="14"/>
  <c r="H266" i="14"/>
  <c r="G412" i="14"/>
  <c r="K212" i="14"/>
  <c r="I157" i="14"/>
  <c r="O130" i="14"/>
  <c r="B308" i="14"/>
  <c r="D307" i="14"/>
  <c r="H264" i="14"/>
  <c r="E317" i="14"/>
  <c r="L146" i="14"/>
  <c r="D316" i="14"/>
  <c r="G257" i="14"/>
  <c r="O253" i="14"/>
  <c r="E239" i="14"/>
  <c r="B229" i="14"/>
  <c r="B251" i="14"/>
  <c r="K214" i="14"/>
  <c r="L250" i="14"/>
  <c r="L427" i="14"/>
  <c r="I348" i="14"/>
  <c r="H216" i="14"/>
  <c r="F209" i="14"/>
  <c r="S221" i="14"/>
  <c r="B327" i="14"/>
  <c r="L113" i="14"/>
  <c r="I113" i="14"/>
  <c r="I266" i="14"/>
  <c r="R214" i="14"/>
  <c r="R110" i="14"/>
  <c r="D222" i="14"/>
  <c r="O214" i="14"/>
  <c r="G114" i="14"/>
  <c r="L419" i="14"/>
  <c r="D360" i="14"/>
  <c r="D454" i="14"/>
  <c r="M215" i="14"/>
  <c r="K340" i="14"/>
  <c r="I263" i="14"/>
  <c r="D159" i="14"/>
  <c r="L435" i="14"/>
  <c r="C132" i="14"/>
  <c r="F315" i="14"/>
  <c r="D335" i="14"/>
  <c r="Q231" i="14"/>
  <c r="K434" i="14"/>
  <c r="I349" i="14"/>
  <c r="J358" i="14"/>
  <c r="K338" i="14"/>
  <c r="B118" i="14"/>
  <c r="B447" i="14"/>
  <c r="C316" i="14"/>
  <c r="K243" i="14"/>
  <c r="M114" i="14"/>
  <c r="N232" i="14"/>
  <c r="E133" i="14"/>
  <c r="P435" i="14"/>
  <c r="B227" i="14"/>
  <c r="M426" i="14"/>
  <c r="E335" i="14"/>
  <c r="F360" i="14"/>
  <c r="H260" i="14"/>
  <c r="K221" i="14"/>
  <c r="E253" i="14"/>
  <c r="R112" i="14"/>
  <c r="D455" i="14"/>
  <c r="L362" i="14"/>
  <c r="B207" i="14"/>
  <c r="I322" i="14"/>
  <c r="H409" i="14"/>
  <c r="L131" i="14"/>
  <c r="I131" i="14"/>
  <c r="O211" i="14"/>
  <c r="B343" i="14"/>
  <c r="P213" i="14"/>
  <c r="D130" i="14"/>
  <c r="J112" i="14"/>
  <c r="E208" i="14"/>
  <c r="Q209" i="14"/>
  <c r="D466" i="14"/>
  <c r="Q208" i="14"/>
  <c r="M112" i="14"/>
  <c r="F208" i="14"/>
  <c r="K307" i="14"/>
  <c r="I251" i="14"/>
  <c r="E443" i="14"/>
  <c r="T242" i="14"/>
  <c r="L460" i="14"/>
  <c r="P116" i="14"/>
  <c r="J113" i="14"/>
  <c r="B323" i="14"/>
  <c r="Q147" i="14"/>
  <c r="J323" i="14"/>
  <c r="L346" i="14"/>
  <c r="O128" i="14"/>
  <c r="S214" i="14"/>
  <c r="F254" i="14"/>
  <c r="D308" i="14"/>
  <c r="L148" i="14"/>
  <c r="O116" i="14"/>
  <c r="Q150" i="14"/>
  <c r="J309" i="14"/>
  <c r="K209" i="14"/>
  <c r="C224" i="14"/>
  <c r="D230" i="14"/>
  <c r="O229" i="14"/>
  <c r="K148" i="14"/>
  <c r="Q146" i="14"/>
  <c r="B236" i="14"/>
  <c r="I262" i="14"/>
  <c r="K118" i="14"/>
  <c r="L112" i="14"/>
  <c r="N458" i="14"/>
  <c r="L331" i="14"/>
  <c r="O233" i="14"/>
  <c r="F311" i="14"/>
  <c r="O112" i="14"/>
  <c r="F221" i="14"/>
  <c r="E211" i="14"/>
  <c r="O207" i="14"/>
  <c r="O242" i="14"/>
  <c r="K447" i="14"/>
  <c r="C358" i="14"/>
  <c r="H413" i="14"/>
  <c r="N117" i="14"/>
  <c r="R116" i="14"/>
  <c r="C351" i="14"/>
  <c r="D133" i="14"/>
  <c r="C116" i="14"/>
  <c r="N112" i="14"/>
  <c r="F159" i="14"/>
  <c r="M262" i="14"/>
  <c r="J410" i="14"/>
  <c r="B130" i="14"/>
  <c r="B423" i="14"/>
  <c r="B209" i="14"/>
  <c r="Q241" i="14"/>
  <c r="G110" i="14"/>
  <c r="K310" i="14"/>
  <c r="I331" i="14"/>
  <c r="K153" i="14"/>
  <c r="R434" i="14"/>
  <c r="P113" i="14"/>
  <c r="N229" i="14"/>
  <c r="S241" i="14"/>
  <c r="M337" i="14"/>
  <c r="C149" i="14"/>
  <c r="C361" i="14"/>
  <c r="J150" i="14"/>
  <c r="L155" i="14"/>
  <c r="F227" i="14"/>
  <c r="E265" i="14"/>
  <c r="I337" i="14"/>
  <c r="U243" i="14"/>
  <c r="P137" i="14"/>
  <c r="K215" i="14"/>
  <c r="J139" i="14"/>
  <c r="C162" i="14"/>
  <c r="N208" i="14"/>
  <c r="E333" i="14"/>
  <c r="I252" i="14"/>
  <c r="E249" i="14"/>
  <c r="E266" i="14"/>
  <c r="Q240" i="14"/>
  <c r="I267" i="14"/>
  <c r="E215" i="14"/>
  <c r="D254" i="14"/>
  <c r="B228" i="14"/>
  <c r="O268" i="14"/>
  <c r="C225" i="14"/>
  <c r="F152" i="14"/>
  <c r="P209" i="14"/>
  <c r="C326" i="14"/>
  <c r="E258" i="14"/>
  <c r="F212" i="14"/>
  <c r="B443" i="14"/>
  <c r="R240" i="14"/>
  <c r="O243" i="14"/>
  <c r="M206" i="14"/>
  <c r="P215" i="14"/>
  <c r="F250" i="14"/>
  <c r="Q215" i="14"/>
  <c r="G224" i="14"/>
  <c r="Q111" i="14"/>
  <c r="H111" i="14"/>
  <c r="R111" i="14"/>
  <c r="K210" i="14"/>
  <c r="L110" i="14"/>
  <c r="D262" i="14"/>
  <c r="M229" i="14"/>
  <c r="F442" i="14"/>
  <c r="D210" i="14"/>
  <c r="L340" i="14"/>
  <c r="G413" i="14"/>
  <c r="D333" i="14"/>
  <c r="E316" i="14"/>
  <c r="L361" i="14"/>
  <c r="D456" i="14"/>
  <c r="K155" i="14"/>
  <c r="B422" i="14"/>
  <c r="F323" i="14"/>
  <c r="F236" i="14"/>
  <c r="B116" i="14"/>
  <c r="M211" i="14"/>
  <c r="E251" i="14"/>
  <c r="R215" i="14"/>
  <c r="J115" i="14"/>
  <c r="F115" i="14"/>
  <c r="I138" i="14"/>
  <c r="D420" i="14"/>
  <c r="B226" i="14"/>
  <c r="D461" i="14"/>
  <c r="L434" i="14"/>
  <c r="K231" i="14"/>
  <c r="J341" i="14"/>
  <c r="B114" i="14"/>
  <c r="C256" i="14"/>
  <c r="N426" i="14"/>
  <c r="Q112" i="14"/>
  <c r="I156" i="14"/>
  <c r="C456" i="14"/>
  <c r="C434" i="14"/>
  <c r="E229" i="14"/>
  <c r="K332" i="14"/>
  <c r="K345" i="14"/>
  <c r="K129" i="14"/>
  <c r="I22" i="14"/>
  <c r="M413" i="14"/>
  <c r="O267" i="14"/>
  <c r="S233" i="14"/>
  <c r="F511" i="14"/>
  <c r="R242" i="14"/>
  <c r="J110" i="14"/>
  <c r="D206" i="14"/>
  <c r="F423" i="14"/>
  <c r="M469" i="14"/>
  <c r="E228" i="14"/>
  <c r="B214" i="14"/>
  <c r="K159" i="14"/>
  <c r="M361" i="14"/>
  <c r="H156" i="14"/>
  <c r="M158" i="14"/>
  <c r="F206" i="14"/>
  <c r="B215" i="14"/>
  <c r="N260" i="14"/>
  <c r="G210" i="14"/>
  <c r="J114" i="14"/>
  <c r="D470" i="14"/>
  <c r="C210" i="14"/>
  <c r="M261" i="14"/>
  <c r="D447" i="14"/>
  <c r="N424" i="14"/>
  <c r="B442" i="14"/>
  <c r="B456" i="14"/>
  <c r="G211" i="14"/>
  <c r="Q212" i="14"/>
  <c r="F222" i="14"/>
  <c r="I330" i="14"/>
  <c r="K409" i="14"/>
  <c r="H146" i="14"/>
  <c r="M461" i="14"/>
  <c r="I249" i="14"/>
  <c r="E461" i="14"/>
  <c r="Q229" i="14"/>
  <c r="G215" i="14"/>
  <c r="E225" i="14"/>
  <c r="B252" i="14"/>
  <c r="D114" i="14"/>
  <c r="J146" i="14"/>
  <c r="L409" i="14"/>
  <c r="N135" i="14"/>
  <c r="H206" i="14"/>
  <c r="F149" i="14"/>
  <c r="E444" i="14"/>
  <c r="M449" i="14"/>
  <c r="K158" i="14"/>
  <c r="D117" i="14"/>
  <c r="E260" i="14"/>
  <c r="M264" i="14"/>
  <c r="E412" i="14"/>
  <c r="K206" i="14"/>
  <c r="F253" i="14"/>
  <c r="G221" i="14"/>
  <c r="D471" i="14"/>
  <c r="Q242" i="14"/>
  <c r="E236" i="14"/>
  <c r="G208" i="14"/>
  <c r="F509" i="14"/>
  <c r="P210" i="14"/>
  <c r="S223" i="14"/>
  <c r="L332" i="14"/>
  <c r="B317" i="14"/>
  <c r="C229" i="14"/>
  <c r="H215" i="14"/>
  <c r="B224" i="14"/>
  <c r="G22" i="14"/>
  <c r="L244" i="14"/>
  <c r="N148" i="14"/>
  <c r="M239" i="14"/>
  <c r="L423" i="14"/>
  <c r="D352" i="14"/>
  <c r="C133" i="14"/>
  <c r="I321" i="14"/>
  <c r="J111" i="14"/>
  <c r="P240" i="14"/>
  <c r="P110" i="14"/>
  <c r="L349" i="14"/>
  <c r="P207" i="14"/>
  <c r="P219" i="14"/>
  <c r="C443" i="14"/>
  <c r="N228" i="14"/>
  <c r="K322" i="14"/>
  <c r="G214" i="14"/>
  <c r="M420" i="14"/>
  <c r="R221" i="14"/>
  <c r="C470" i="14"/>
  <c r="K229" i="14"/>
  <c r="O241" i="14"/>
  <c r="E446" i="14"/>
  <c r="P220" i="14"/>
  <c r="B334" i="14"/>
  <c r="F512" i="14"/>
  <c r="K320" i="14"/>
  <c r="B152" i="14"/>
  <c r="D214" i="14"/>
  <c r="Q448" i="14"/>
  <c r="D435" i="14"/>
  <c r="N220" i="14"/>
  <c r="S213" i="14"/>
  <c r="H431" i="14"/>
  <c r="B336" i="14"/>
  <c r="I136" i="14"/>
  <c r="L207" i="14"/>
  <c r="F112" i="14"/>
  <c r="L457" i="14"/>
  <c r="J253" i="14"/>
  <c r="E410" i="14"/>
  <c r="L117" i="14"/>
  <c r="M242" i="14"/>
  <c r="Q115" i="14"/>
  <c r="I159" i="14"/>
  <c r="B238" i="14"/>
  <c r="Q163" i="14"/>
  <c r="O219" i="14"/>
  <c r="F448" i="14"/>
  <c r="P448" i="14"/>
  <c r="M232" i="14"/>
  <c r="B221" i="14"/>
  <c r="K131" i="14"/>
  <c r="Q447" i="14"/>
  <c r="D472" i="14"/>
  <c r="J148" i="14"/>
  <c r="J320" i="14"/>
  <c r="K228" i="14"/>
  <c r="C228" i="14"/>
  <c r="M360" i="14"/>
  <c r="C110" i="14"/>
  <c r="M341" i="14"/>
  <c r="G148" i="14"/>
  <c r="C363" i="14"/>
  <c r="B157" i="14"/>
  <c r="F456" i="14"/>
  <c r="B235" i="14"/>
  <c r="L345" i="14"/>
  <c r="L158" i="14"/>
  <c r="F307" i="14"/>
  <c r="M269" i="14"/>
  <c r="G216" i="14"/>
  <c r="D221" i="14"/>
  <c r="B455" i="14"/>
  <c r="J329" i="14"/>
  <c r="F111" i="14"/>
  <c r="E241" i="14"/>
  <c r="M434" i="14"/>
  <c r="B154" i="14"/>
  <c r="O131" i="14"/>
  <c r="J118" i="14"/>
  <c r="N251" i="14"/>
  <c r="C251" i="14"/>
  <c r="P451" i="14"/>
  <c r="C424" i="14"/>
  <c r="D315" i="14"/>
  <c r="C444" i="14"/>
  <c r="D263" i="14"/>
  <c r="L239" i="14"/>
  <c r="C448" i="14"/>
  <c r="M111" i="14"/>
  <c r="D238" i="14"/>
  <c r="J360" i="14"/>
  <c r="N420" i="14"/>
  <c r="J333" i="14"/>
  <c r="D226" i="14"/>
  <c r="L222" i="14"/>
  <c r="Q148" i="14"/>
  <c r="I319" i="14"/>
  <c r="H223" i="14"/>
  <c r="D252" i="14"/>
  <c r="C352" i="14"/>
  <c r="K135" i="14"/>
  <c r="C223" i="14"/>
  <c r="D327" i="14"/>
  <c r="F324" i="14"/>
  <c r="D131" i="14"/>
  <c r="F507" i="14"/>
  <c r="E259" i="14"/>
  <c r="I309" i="14"/>
  <c r="H158" i="14"/>
  <c r="M419" i="14"/>
  <c r="H222" i="14"/>
  <c r="T243" i="14"/>
  <c r="J310" i="14"/>
  <c r="E128" i="14"/>
  <c r="N244" i="14"/>
  <c r="Q230" i="14"/>
  <c r="K349" i="14"/>
  <c r="M240" i="14"/>
  <c r="C442" i="14"/>
  <c r="L152" i="14"/>
  <c r="C336" i="14"/>
  <c r="N240" i="13"/>
  <c r="N214" i="13"/>
  <c r="H266" i="13"/>
  <c r="E221" i="13"/>
  <c r="O113" i="13"/>
  <c r="L243" i="13"/>
  <c r="O253" i="13"/>
  <c r="S222" i="13"/>
  <c r="J346" i="13"/>
  <c r="E116" i="13"/>
  <c r="K435" i="13"/>
  <c r="B262" i="13"/>
  <c r="D317" i="13"/>
  <c r="J307" i="13"/>
  <c r="E157" i="13"/>
  <c r="J329" i="13"/>
  <c r="F506" i="13"/>
  <c r="N423" i="13"/>
  <c r="K228" i="13"/>
  <c r="I255" i="13"/>
  <c r="Q150" i="13"/>
  <c r="G148" i="13"/>
  <c r="H210" i="13"/>
  <c r="S213" i="13"/>
  <c r="M110" i="13"/>
  <c r="B118" i="13"/>
  <c r="Q209" i="13"/>
  <c r="H228" i="13"/>
  <c r="E212" i="13"/>
  <c r="P215" i="13"/>
  <c r="G209" i="13"/>
  <c r="O213" i="13"/>
  <c r="E361" i="13"/>
  <c r="B442" i="13"/>
  <c r="B130" i="13"/>
  <c r="M146" i="13"/>
  <c r="E311" i="13"/>
  <c r="D212" i="13"/>
  <c r="D214" i="13"/>
  <c r="F258" i="13"/>
  <c r="I346" i="13"/>
  <c r="M243" i="13"/>
  <c r="M242" i="13"/>
  <c r="F511" i="13"/>
  <c r="D208" i="13"/>
  <c r="E324" i="13"/>
  <c r="L232" i="13"/>
  <c r="C225" i="13"/>
  <c r="E448" i="13"/>
  <c r="C228" i="13"/>
  <c r="P230" i="13"/>
  <c r="Q213" i="13"/>
  <c r="G254" i="13"/>
  <c r="B222" i="13"/>
  <c r="P110" i="13"/>
  <c r="K414" i="13"/>
  <c r="K321" i="13"/>
  <c r="N252" i="13"/>
  <c r="L435" i="13"/>
  <c r="C206" i="13"/>
  <c r="D113" i="13"/>
  <c r="P239" i="13"/>
  <c r="D323" i="13"/>
  <c r="C221" i="13"/>
  <c r="L470" i="13"/>
  <c r="B336" i="13"/>
  <c r="N263" i="13"/>
  <c r="O268" i="13"/>
  <c r="I333" i="13"/>
  <c r="I322" i="13"/>
  <c r="L129" i="13"/>
  <c r="Q206" i="13"/>
  <c r="C332" i="13"/>
  <c r="O112" i="13"/>
  <c r="R110" i="13"/>
  <c r="M359" i="13"/>
  <c r="D159" i="13"/>
  <c r="D254" i="13"/>
  <c r="O211" i="13"/>
  <c r="B159" i="13"/>
  <c r="M241" i="13"/>
  <c r="B133" i="13"/>
  <c r="D131" i="13"/>
  <c r="J267" i="13"/>
  <c r="H225" i="13"/>
  <c r="B309" i="13"/>
  <c r="N115" i="13"/>
  <c r="G227" i="13"/>
  <c r="K410" i="13"/>
  <c r="M258" i="13"/>
  <c r="N116" i="13"/>
  <c r="B446" i="13"/>
  <c r="K211" i="13"/>
  <c r="N230" i="13"/>
  <c r="F308" i="13"/>
  <c r="G229" i="13"/>
  <c r="I113" i="13"/>
  <c r="M424" i="13"/>
  <c r="E259" i="13"/>
  <c r="D152" i="13"/>
  <c r="B161" i="13"/>
  <c r="H111" i="13"/>
  <c r="O212" i="13"/>
  <c r="J150" i="13"/>
  <c r="R434" i="13"/>
  <c r="Q115" i="13"/>
  <c r="I330" i="13"/>
  <c r="J115" i="13"/>
  <c r="C217" i="13"/>
  <c r="O221" i="13"/>
  <c r="H148" i="13"/>
  <c r="E111" i="13"/>
  <c r="D434" i="13"/>
  <c r="K434" i="13"/>
  <c r="L427" i="13"/>
  <c r="B254" i="13"/>
  <c r="F512" i="13"/>
  <c r="J151" i="13"/>
  <c r="K360" i="13"/>
  <c r="F226" i="13"/>
  <c r="K156" i="13"/>
  <c r="G112" i="13"/>
  <c r="M426" i="13"/>
  <c r="D460" i="13"/>
  <c r="L230" i="13"/>
  <c r="D222" i="13"/>
  <c r="E409" i="13"/>
  <c r="C266" i="13"/>
  <c r="B346" i="13"/>
  <c r="C454" i="13"/>
  <c r="I111" i="13"/>
  <c r="D409" i="13"/>
  <c r="C422" i="13"/>
  <c r="E412" i="13"/>
  <c r="G210" i="13"/>
  <c r="M153" i="13"/>
  <c r="I332" i="13"/>
  <c r="Q222" i="13"/>
  <c r="E223" i="13"/>
  <c r="E260" i="13"/>
  <c r="E239" i="13"/>
  <c r="D110" i="13"/>
  <c r="C421" i="13"/>
  <c r="C159" i="13"/>
  <c r="G224" i="13"/>
  <c r="F327" i="13"/>
  <c r="K155" i="13"/>
  <c r="U243" i="13"/>
  <c r="G113" i="13"/>
  <c r="C456" i="13"/>
  <c r="L240" i="13"/>
  <c r="H409" i="13"/>
  <c r="C214" i="13"/>
  <c r="D121" i="13"/>
  <c r="H226" i="13"/>
  <c r="D351" i="13"/>
  <c r="D327" i="13"/>
  <c r="C118" i="13"/>
  <c r="K329" i="13"/>
  <c r="M257" i="13"/>
  <c r="E117" i="13"/>
  <c r="P222" i="13"/>
  <c r="C112" i="13"/>
  <c r="O239" i="13"/>
  <c r="R221" i="13"/>
  <c r="O116" i="13"/>
  <c r="H158" i="13"/>
  <c r="D262" i="13"/>
  <c r="I110" i="13"/>
  <c r="C239" i="13"/>
  <c r="P470" i="13"/>
  <c r="F239" i="13"/>
  <c r="U241" i="13"/>
  <c r="G223" i="13"/>
  <c r="L359" i="13"/>
  <c r="M221" i="13"/>
  <c r="J349" i="13"/>
  <c r="K158" i="13"/>
  <c r="B311" i="13"/>
  <c r="I266" i="13"/>
  <c r="E317" i="13"/>
  <c r="D111" i="13"/>
  <c r="R223" i="13"/>
  <c r="K359" i="13"/>
  <c r="D154" i="13"/>
  <c r="M410" i="13"/>
  <c r="K331" i="13"/>
  <c r="C446" i="13"/>
  <c r="H149" i="13"/>
  <c r="B325" i="13"/>
  <c r="C110" i="13"/>
  <c r="E461" i="13"/>
  <c r="F235" i="13"/>
  <c r="J330" i="13"/>
  <c r="H211" i="13"/>
  <c r="B332" i="13"/>
  <c r="D267" i="13"/>
  <c r="K424" i="13"/>
  <c r="M210" i="13"/>
  <c r="F456" i="13"/>
  <c r="M265" i="13"/>
  <c r="O229" i="13"/>
  <c r="B456" i="13"/>
  <c r="S223" i="13"/>
  <c r="F253" i="13"/>
  <c r="J254" i="13"/>
  <c r="E110" i="13"/>
  <c r="Q112" i="13"/>
  <c r="E159" i="13"/>
  <c r="C434" i="13"/>
  <c r="M223" i="13"/>
  <c r="T241" i="13"/>
  <c r="N210" i="13"/>
  <c r="Q147" i="13"/>
  <c r="E208" i="13"/>
  <c r="D472" i="13"/>
  <c r="B307" i="13"/>
  <c r="Q208" i="13"/>
  <c r="L434" i="13"/>
  <c r="C209" i="13"/>
  <c r="D118" i="13"/>
  <c r="B226" i="13"/>
  <c r="N231" i="13"/>
  <c r="N209" i="13"/>
  <c r="L459" i="13"/>
  <c r="I338" i="13"/>
  <c r="G216" i="13"/>
  <c r="B214" i="13"/>
  <c r="B333" i="13"/>
  <c r="K437" i="13"/>
  <c r="J361" i="13"/>
  <c r="L323" i="13"/>
  <c r="L469" i="13"/>
  <c r="M116" i="13"/>
  <c r="G22" i="13"/>
  <c r="C334" i="13"/>
  <c r="G257" i="13"/>
  <c r="E422" i="13"/>
  <c r="B335" i="13"/>
  <c r="C250" i="13"/>
  <c r="L330" i="13"/>
  <c r="O419" i="13"/>
  <c r="D448" i="13"/>
  <c r="B113" i="13"/>
  <c r="L426" i="13"/>
  <c r="K323" i="13"/>
  <c r="L158" i="13"/>
  <c r="D223" i="13"/>
  <c r="C318" i="13"/>
  <c r="C210" i="13"/>
  <c r="D410" i="13"/>
  <c r="H251" i="13"/>
  <c r="T240" i="13"/>
  <c r="N244" i="13"/>
  <c r="G262" i="13"/>
  <c r="B419" i="13"/>
  <c r="B134" i="13"/>
  <c r="M409" i="13"/>
  <c r="H213" i="13"/>
  <c r="M427" i="13"/>
  <c r="Q207" i="13"/>
  <c r="I349" i="13"/>
  <c r="F267" i="13"/>
  <c r="F421" i="13"/>
  <c r="E241" i="13"/>
  <c r="Q241" i="13"/>
  <c r="H223" i="13"/>
  <c r="E447" i="13"/>
  <c r="D235" i="13"/>
  <c r="B228" i="13"/>
  <c r="N228" i="13"/>
  <c r="N262" i="13"/>
  <c r="M348" i="13"/>
  <c r="I319" i="13"/>
  <c r="M263" i="13"/>
  <c r="S214" i="13"/>
  <c r="H157" i="13"/>
  <c r="B358" i="13"/>
  <c r="C442" i="13"/>
  <c r="C364" i="13"/>
  <c r="E411" i="13"/>
  <c r="F509" i="13"/>
  <c r="M262" i="13"/>
  <c r="P469" i="13"/>
  <c r="H209" i="13"/>
  <c r="P232" i="13"/>
  <c r="M207" i="13"/>
  <c r="C129" i="13"/>
  <c r="D120" i="13"/>
  <c r="C362" i="13"/>
  <c r="B423" i="13"/>
  <c r="O115" i="13"/>
  <c r="I156" i="13"/>
  <c r="B422" i="13"/>
  <c r="Q148" i="13"/>
  <c r="L437" i="13"/>
  <c r="F504" i="13"/>
  <c r="D260" i="13"/>
  <c r="B466" i="13"/>
  <c r="K341" i="13"/>
  <c r="M412" i="13"/>
  <c r="Q155" i="13"/>
  <c r="N206" i="13"/>
  <c r="F269" i="13"/>
  <c r="D456" i="13"/>
  <c r="B135" i="13"/>
  <c r="D236" i="13"/>
  <c r="L206" i="13"/>
  <c r="C238" i="13"/>
  <c r="L112" i="13"/>
  <c r="C309" i="13"/>
  <c r="E253" i="13"/>
  <c r="Q116" i="13"/>
  <c r="D224" i="13"/>
  <c r="P241" i="13"/>
  <c r="I116" i="13"/>
  <c r="S240" i="13"/>
  <c r="B460" i="13"/>
  <c r="R214" i="13"/>
  <c r="K113" i="13"/>
  <c r="F224" i="13"/>
  <c r="N146" i="13"/>
  <c r="N242" i="13"/>
  <c r="P206" i="13"/>
  <c r="M435" i="13"/>
  <c r="L208" i="13"/>
  <c r="L461" i="13"/>
  <c r="L458" i="13"/>
  <c r="N249" i="13"/>
  <c r="D221" i="13"/>
  <c r="E132" i="13"/>
  <c r="L210" i="13"/>
  <c r="M340" i="13"/>
  <c r="B209" i="13"/>
  <c r="J360" i="13"/>
  <c r="F236" i="13"/>
  <c r="M267" i="13"/>
  <c r="C319" i="13"/>
  <c r="N251" i="13"/>
  <c r="G411" i="13"/>
  <c r="M259" i="13"/>
  <c r="B323" i="13"/>
  <c r="F213" i="13"/>
  <c r="Q138" i="13"/>
  <c r="Q223" i="13"/>
  <c r="B362" i="13"/>
  <c r="S243" i="13"/>
  <c r="N215" i="13"/>
  <c r="L215" i="13"/>
  <c r="I119" i="13"/>
  <c r="R112" i="13"/>
  <c r="B461" i="13"/>
  <c r="I323" i="13"/>
  <c r="J331" i="13"/>
  <c r="L441" i="13"/>
  <c r="O130" i="13"/>
  <c r="F111" i="13"/>
  <c r="C424" i="13"/>
  <c r="N241" i="13"/>
  <c r="L341" i="13"/>
  <c r="I112" i="13"/>
  <c r="E119" i="13"/>
  <c r="B316" i="13"/>
  <c r="L147" i="13"/>
  <c r="C423" i="13"/>
  <c r="L115" i="13"/>
  <c r="C130" i="13"/>
  <c r="Q239" i="13"/>
  <c r="K117" i="13"/>
  <c r="O209" i="13"/>
  <c r="E131" i="13"/>
  <c r="I137" i="13"/>
  <c r="F317" i="13"/>
  <c r="P135" i="13"/>
  <c r="B238" i="13"/>
  <c r="B409" i="13"/>
  <c r="E112" i="13"/>
  <c r="B421" i="13"/>
  <c r="K239" i="13"/>
  <c r="K338" i="13"/>
  <c r="N118" i="13"/>
  <c r="Q214" i="13"/>
  <c r="P219" i="13"/>
  <c r="C254" i="13"/>
  <c r="F112" i="13"/>
  <c r="M114" i="13"/>
  <c r="Q113" i="13"/>
  <c r="E263" i="13"/>
  <c r="O228" i="13"/>
  <c r="M261" i="13"/>
  <c r="D157" i="13"/>
  <c r="I260" i="13"/>
  <c r="K240" i="13"/>
  <c r="B208" i="13"/>
  <c r="H227" i="13"/>
  <c r="Q212" i="13"/>
  <c r="M228" i="13"/>
  <c r="B420" i="13"/>
  <c r="D229" i="13"/>
  <c r="M211" i="13"/>
  <c r="E325" i="13"/>
  <c r="F116" i="13"/>
  <c r="D352" i="13"/>
  <c r="Q228" i="13"/>
  <c r="H116" i="13"/>
  <c r="B448" i="13"/>
  <c r="B455" i="13"/>
  <c r="C433" i="13"/>
  <c r="P111" i="13"/>
  <c r="N114" i="13"/>
  <c r="K255" i="13"/>
  <c r="E455" i="13"/>
  <c r="C327" i="13"/>
  <c r="N419" i="13"/>
  <c r="M113" i="13"/>
  <c r="D466" i="13"/>
  <c r="J308" i="13"/>
  <c r="L221" i="13"/>
  <c r="M337" i="13"/>
  <c r="O208" i="13"/>
  <c r="E421" i="13"/>
  <c r="K348" i="13"/>
  <c r="L207" i="13"/>
  <c r="E413" i="13"/>
  <c r="M341" i="13"/>
  <c r="S242" i="13"/>
  <c r="O424" i="13"/>
  <c r="K230" i="13"/>
  <c r="B152" i="13"/>
  <c r="L424" i="13"/>
  <c r="L337" i="13"/>
  <c r="D215" i="13"/>
  <c r="M230" i="13"/>
  <c r="E310" i="13"/>
  <c r="E332" i="13"/>
  <c r="G228" i="13"/>
  <c r="G114" i="13"/>
  <c r="D128" i="13"/>
  <c r="B315" i="13"/>
  <c r="J322" i="13"/>
  <c r="D258" i="13"/>
  <c r="B117" i="13"/>
  <c r="E252" i="13"/>
  <c r="E460" i="13"/>
  <c r="E458" i="13"/>
  <c r="F411" i="13"/>
  <c r="P207" i="13"/>
  <c r="O206" i="13"/>
  <c r="C325" i="13"/>
  <c r="F319" i="13"/>
  <c r="F159" i="13"/>
  <c r="M448" i="13"/>
  <c r="E316" i="13"/>
  <c r="E251" i="13"/>
  <c r="Q233" i="13"/>
  <c r="K330" i="13"/>
  <c r="I118" i="13"/>
  <c r="B359" i="13"/>
  <c r="C132" i="13"/>
  <c r="R215" i="13"/>
  <c r="K110" i="13"/>
  <c r="K131" i="13"/>
  <c r="M219" i="13"/>
  <c r="I262" i="13"/>
  <c r="F311" i="13"/>
  <c r="B211" i="13"/>
  <c r="C128" i="13"/>
  <c r="P211" i="13"/>
  <c r="D310" i="13"/>
  <c r="D419" i="13"/>
  <c r="C317" i="13"/>
  <c r="I269" i="13"/>
  <c r="G111" i="13"/>
  <c r="L254" i="13"/>
  <c r="D454" i="13"/>
  <c r="K114" i="13"/>
  <c r="D435" i="13"/>
  <c r="G208" i="13"/>
  <c r="Q145" i="13"/>
  <c r="D324" i="13"/>
  <c r="F315" i="13"/>
  <c r="D311" i="13"/>
  <c r="B131" i="13"/>
  <c r="K309" i="13"/>
  <c r="K207" i="13"/>
  <c r="G438" i="13"/>
  <c r="B236" i="13"/>
  <c r="D255" i="13"/>
  <c r="N211" i="13"/>
  <c r="J113" i="13"/>
  <c r="P447" i="13"/>
  <c r="C472" i="13"/>
  <c r="C311" i="13"/>
  <c r="E336" i="13"/>
  <c r="C117" i="13"/>
  <c r="N232" i="13"/>
  <c r="M447" i="13"/>
  <c r="M111" i="13"/>
  <c r="B444" i="13"/>
  <c r="I345" i="13"/>
  <c r="L118" i="13"/>
  <c r="I22" i="13"/>
  <c r="O267" i="13"/>
  <c r="H411" i="13"/>
  <c r="Q451" i="13"/>
  <c r="E229" i="13"/>
  <c r="O232" i="13"/>
  <c r="P472" i="13"/>
  <c r="M212" i="13"/>
  <c r="K153" i="13"/>
  <c r="P242" i="13"/>
  <c r="D119" i="13"/>
  <c r="P435" i="13"/>
  <c r="G252" i="13"/>
  <c r="J158" i="13"/>
  <c r="L244" i="13"/>
  <c r="M215" i="13"/>
  <c r="L156" i="13"/>
  <c r="M222" i="13"/>
  <c r="P214" i="13"/>
  <c r="G251" i="13"/>
  <c r="F318" i="13"/>
  <c r="D458" i="13"/>
  <c r="N148" i="13"/>
  <c r="M115" i="13"/>
  <c r="J138" i="13"/>
  <c r="N119" i="13"/>
  <c r="F228" i="13"/>
  <c r="K221" i="13"/>
  <c r="L264" i="13"/>
  <c r="N258" i="13"/>
  <c r="D160" i="13"/>
  <c r="I257" i="13"/>
  <c r="B465" i="13"/>
  <c r="M421" i="13"/>
  <c r="B112" i="13"/>
  <c r="O215" i="13"/>
  <c r="B119" i="13"/>
  <c r="M251" i="13"/>
  <c r="L114" i="13"/>
  <c r="P231" i="13"/>
  <c r="K349" i="13"/>
  <c r="I337" i="13"/>
  <c r="Q435" i="13"/>
  <c r="J311" i="13"/>
  <c r="N222" i="13"/>
  <c r="K115" i="13"/>
  <c r="D225" i="13"/>
  <c r="D253" i="13"/>
  <c r="E128" i="13"/>
  <c r="J319" i="13"/>
  <c r="K419" i="13"/>
  <c r="K146" i="13"/>
  <c r="C149" i="13"/>
  <c r="F207" i="13"/>
  <c r="M158" i="13"/>
  <c r="D207" i="13"/>
  <c r="M266" i="13"/>
  <c r="M346" i="13"/>
  <c r="D332" i="13"/>
  <c r="D230" i="13"/>
  <c r="K311" i="13"/>
  <c r="D210" i="13"/>
  <c r="M449" i="13"/>
  <c r="K307" i="13"/>
  <c r="B206" i="13"/>
  <c r="E152" i="13"/>
  <c r="J148" i="13"/>
  <c r="L131" i="13"/>
  <c r="C333" i="13"/>
  <c r="P229" i="13"/>
  <c r="C443" i="13"/>
  <c r="B230" i="13"/>
  <c r="G110" i="13"/>
  <c r="H250" i="13"/>
  <c r="N239" i="13"/>
  <c r="I128" i="13"/>
  <c r="D325" i="13"/>
  <c r="H207" i="13"/>
  <c r="H412" i="13"/>
  <c r="N156" i="13"/>
  <c r="E308" i="13"/>
  <c r="C420" i="13"/>
  <c r="U242" i="13"/>
  <c r="J118" i="13"/>
  <c r="N458" i="13"/>
  <c r="F413" i="13"/>
  <c r="I130" i="13"/>
  <c r="K423" i="13"/>
  <c r="M213" i="13"/>
  <c r="M420" i="13"/>
  <c r="C432" i="13"/>
  <c r="L220" i="13"/>
  <c r="P212" i="13"/>
  <c r="J321" i="13"/>
  <c r="C241" i="13"/>
  <c r="D133" i="13"/>
  <c r="D442" i="13"/>
  <c r="B221" i="13"/>
  <c r="K128" i="13"/>
  <c r="K319" i="13"/>
  <c r="E419" i="13"/>
  <c r="C308" i="13"/>
  <c r="P438" i="13"/>
  <c r="F238" i="13"/>
  <c r="I409" i="13"/>
  <c r="C251" i="13"/>
  <c r="S241" i="13"/>
  <c r="N158" i="13"/>
  <c r="Q242" i="13"/>
  <c r="K340" i="13"/>
  <c r="M254" i="13"/>
  <c r="F230" i="13"/>
  <c r="J129" i="13"/>
  <c r="E249" i="13"/>
  <c r="E309" i="13"/>
  <c r="K111" i="13"/>
  <c r="D256" i="13"/>
  <c r="L349" i="13"/>
  <c r="B319" i="13"/>
  <c r="K116" i="13"/>
  <c r="N425" i="13"/>
  <c r="L148" i="13"/>
  <c r="I250" i="13"/>
  <c r="B361" i="13"/>
  <c r="C360" i="13"/>
  <c r="E227" i="13"/>
  <c r="N221" i="13"/>
  <c r="E456" i="13"/>
  <c r="C323" i="13"/>
  <c r="B324" i="13"/>
  <c r="P221" i="13"/>
  <c r="K215" i="13"/>
  <c r="F211" i="13"/>
  <c r="R115" i="13"/>
  <c r="D266" i="13"/>
  <c r="B251" i="13"/>
  <c r="B454" i="13"/>
  <c r="D422" i="13"/>
  <c r="M434" i="13"/>
  <c r="Q232" i="13"/>
  <c r="E238" i="13"/>
  <c r="C113" i="13"/>
  <c r="C460" i="13"/>
  <c r="K436" i="13"/>
  <c r="K361" i="13"/>
  <c r="D261" i="13"/>
  <c r="M269" i="13"/>
  <c r="M151" i="13"/>
  <c r="M349" i="13"/>
  <c r="B342" i="13"/>
  <c r="O421" i="13"/>
  <c r="L110" i="13"/>
  <c r="K337" i="13"/>
  <c r="C207" i="13"/>
  <c r="I152" i="13"/>
  <c r="O230" i="13"/>
  <c r="M338" i="13"/>
  <c r="B310" i="13"/>
  <c r="J114" i="13"/>
  <c r="O214" i="13"/>
  <c r="I321" i="13"/>
  <c r="M255" i="13"/>
  <c r="L211" i="13"/>
  <c r="N243" i="13"/>
  <c r="I265" i="13"/>
  <c r="S220" i="13"/>
  <c r="B129" i="13"/>
  <c r="M360" i="13"/>
  <c r="F225" i="13"/>
  <c r="C363" i="13"/>
  <c r="C351" i="13"/>
  <c r="G217" i="13"/>
  <c r="I129" i="13"/>
  <c r="I117" i="13"/>
  <c r="K151" i="13"/>
  <c r="E225" i="13"/>
  <c r="D421" i="13"/>
  <c r="P138" i="13"/>
  <c r="C435" i="13"/>
  <c r="I146" i="13"/>
  <c r="N257" i="13"/>
  <c r="F223" i="13"/>
  <c r="I136" i="13"/>
  <c r="U240" i="13"/>
  <c r="H264" i="13"/>
  <c r="O110" i="13"/>
  <c r="D432" i="13"/>
  <c r="L348" i="13"/>
  <c r="K148" i="13"/>
  <c r="G214" i="13"/>
  <c r="I261" i="13"/>
  <c r="L420" i="13"/>
  <c r="P439" i="13"/>
  <c r="C224" i="13"/>
  <c r="C139" i="13"/>
  <c r="H150" i="13"/>
  <c r="P434" i="13"/>
  <c r="D115" i="13"/>
  <c r="E120" i="13"/>
  <c r="E228" i="13"/>
  <c r="J146" i="13"/>
  <c r="D461" i="13"/>
  <c r="B326" i="13"/>
  <c r="D455" i="13"/>
  <c r="C448" i="13"/>
  <c r="C229" i="13"/>
  <c r="K243" i="13"/>
  <c r="J156" i="13"/>
  <c r="B253" i="13"/>
  <c r="O207" i="13"/>
  <c r="I308" i="13"/>
  <c r="H206" i="13"/>
  <c r="F422" i="13"/>
  <c r="D226" i="13"/>
  <c r="Q149" i="13"/>
  <c r="D114" i="13"/>
  <c r="D309" i="13"/>
  <c r="F221" i="13"/>
  <c r="N208" i="13"/>
  <c r="B212" i="13"/>
  <c r="F442" i="13"/>
  <c r="T242" i="13"/>
  <c r="F119" i="13"/>
  <c r="H230" i="13"/>
  <c r="E446" i="13"/>
  <c r="P115" i="13"/>
  <c r="M249" i="13"/>
  <c r="D130" i="13"/>
  <c r="H410" i="13"/>
  <c r="L151" i="13"/>
  <c r="D335" i="13"/>
  <c r="O426" i="13"/>
  <c r="I150" i="13"/>
  <c r="Q137" i="13"/>
  <c r="M411" i="13"/>
  <c r="F324" i="13"/>
  <c r="F214" i="13"/>
  <c r="K147" i="13"/>
  <c r="K345" i="13"/>
  <c r="B157" i="13"/>
  <c r="N112" i="13"/>
  <c r="K212" i="13"/>
  <c r="D250" i="13"/>
  <c r="R222" i="13"/>
  <c r="E257" i="13"/>
  <c r="O243" i="13"/>
  <c r="K129" i="13"/>
  <c r="J116" i="13"/>
  <c r="I263" i="13"/>
  <c r="N457" i="13"/>
  <c r="B229" i="13"/>
  <c r="D213" i="13"/>
  <c r="K252" i="13"/>
  <c r="C315" i="13"/>
  <c r="O135" i="13"/>
  <c r="E315" i="13"/>
  <c r="F270" i="13"/>
  <c r="J348" i="13"/>
  <c r="D227" i="13"/>
  <c r="J410" i="13"/>
  <c r="K206" i="13"/>
  <c r="M240" i="13"/>
  <c r="N113" i="13"/>
  <c r="G434" i="13"/>
  <c r="D251" i="13"/>
  <c r="G410" i="13"/>
  <c r="P243" i="13"/>
  <c r="K208" i="13"/>
  <c r="E360" i="13"/>
  <c r="C316" i="13"/>
  <c r="M362" i="13"/>
  <c r="L241" i="13"/>
  <c r="F309" i="13"/>
  <c r="C361" i="13"/>
  <c r="G436" i="13"/>
  <c r="I158" i="13"/>
  <c r="K210" i="13"/>
  <c r="E226" i="13"/>
  <c r="K159" i="13"/>
  <c r="G435" i="13"/>
  <c r="D209" i="13"/>
  <c r="F508" i="13"/>
  <c r="C335" i="13"/>
  <c r="F206" i="13"/>
  <c r="D334" i="13"/>
  <c r="O131" i="13"/>
  <c r="K209" i="13"/>
  <c r="L222" i="13"/>
  <c r="K231" i="13"/>
  <c r="G413" i="13"/>
  <c r="C310" i="13"/>
  <c r="H249" i="13"/>
  <c r="H263" i="13"/>
  <c r="F152" i="13"/>
  <c r="M118" i="13"/>
  <c r="F210" i="13"/>
  <c r="D268" i="13"/>
  <c r="F310" i="13"/>
  <c r="F209" i="13"/>
  <c r="P140" i="13"/>
  <c r="I157" i="13"/>
  <c r="N153" i="13"/>
  <c r="C264" i="13"/>
  <c r="C119" i="13"/>
  <c r="L321" i="13"/>
  <c r="H256" i="13"/>
  <c r="C444" i="13"/>
  <c r="C326" i="13"/>
  <c r="O222" i="13"/>
  <c r="C114" i="13"/>
  <c r="Q158" i="13"/>
  <c r="E206" i="13"/>
  <c r="B224" i="13"/>
  <c r="L447" i="13"/>
  <c r="Q140" i="13"/>
  <c r="L256" i="13"/>
  <c r="J358" i="13"/>
  <c r="H146" i="13"/>
  <c r="M264" i="13"/>
  <c r="F114" i="13"/>
  <c r="J136" i="13"/>
  <c r="G412" i="13"/>
  <c r="D117" i="13"/>
  <c r="S215" i="13"/>
  <c r="E209" i="13"/>
  <c r="M361" i="13"/>
  <c r="C162" i="13"/>
  <c r="F443" i="13"/>
  <c r="K362" i="13"/>
  <c r="K333" i="13"/>
  <c r="N117" i="13"/>
  <c r="K420" i="13"/>
  <c r="C115" i="13"/>
  <c r="D471" i="13"/>
  <c r="J340" i="13"/>
  <c r="B241" i="13"/>
  <c r="M206" i="13"/>
  <c r="B160" i="13"/>
  <c r="E215" i="13"/>
  <c r="C150" i="13"/>
  <c r="J130" i="13"/>
  <c r="R244" i="13"/>
  <c r="C227" i="13"/>
  <c r="G225" i="13"/>
  <c r="Q146" i="13"/>
  <c r="G222" i="13"/>
  <c r="D319" i="13"/>
  <c r="L213" i="13"/>
  <c r="N110" i="13"/>
  <c r="R220" i="13"/>
  <c r="E258" i="13"/>
  <c r="K421" i="13"/>
  <c r="K332" i="13"/>
  <c r="H215" i="13"/>
  <c r="Q210" i="13"/>
  <c r="E444" i="13"/>
  <c r="I249" i="13"/>
  <c r="G431" i="13"/>
  <c r="K223" i="13"/>
  <c r="J345" i="13"/>
  <c r="D360" i="13"/>
  <c r="L414" i="13"/>
  <c r="H432" i="13"/>
  <c r="D150" i="13"/>
  <c r="C470" i="13"/>
  <c r="J111" i="13"/>
  <c r="G212" i="13"/>
  <c r="J333" i="13"/>
  <c r="C324" i="13"/>
  <c r="K251" i="13"/>
  <c r="M119" i="13"/>
  <c r="K447" i="13"/>
  <c r="D206" i="13"/>
  <c r="O241" i="13"/>
  <c r="F515" i="13"/>
  <c r="C359" i="13"/>
  <c r="G207" i="13"/>
  <c r="F115" i="13"/>
  <c r="D257" i="13"/>
  <c r="F514" i="13"/>
  <c r="N421" i="13"/>
  <c r="K448" i="13"/>
  <c r="C410" i="13"/>
  <c r="E115" i="13"/>
  <c r="I331" i="13"/>
  <c r="M438" i="13"/>
  <c r="J110" i="13"/>
  <c r="Q159" i="13"/>
  <c r="D259" i="13"/>
  <c r="D433" i="13"/>
  <c r="F117" i="13"/>
  <c r="K219" i="13"/>
  <c r="P139" i="13"/>
  <c r="N426" i="13"/>
  <c r="N213" i="13"/>
  <c r="D112" i="13"/>
  <c r="C236" i="13"/>
  <c r="E130" i="13"/>
  <c r="N151" i="13"/>
  <c r="C109" i="13"/>
  <c r="E222" i="13"/>
  <c r="D249" i="13"/>
  <c r="G437" i="13"/>
  <c r="M117" i="13"/>
  <c r="I264" i="13"/>
  <c r="K254" i="13"/>
  <c r="C226" i="13"/>
  <c r="S233" i="13"/>
  <c r="M413" i="13"/>
  <c r="H254" i="13"/>
  <c r="C213" i="13"/>
  <c r="H212" i="13"/>
  <c r="I310" i="13"/>
  <c r="F505" i="13"/>
  <c r="G253" i="13"/>
  <c r="O219" i="13"/>
  <c r="P112" i="13"/>
  <c r="L320" i="13"/>
  <c r="B334" i="13"/>
  <c r="J409" i="13"/>
  <c r="M469" i="13"/>
  <c r="G230" i="13"/>
  <c r="G255" i="13"/>
  <c r="K220" i="13"/>
  <c r="L448" i="13"/>
  <c r="B128" i="13"/>
  <c r="P113" i="13"/>
  <c r="E113" i="13"/>
  <c r="Q230" i="13"/>
  <c r="E214" i="13"/>
  <c r="B213" i="13"/>
  <c r="C447" i="13"/>
  <c r="F254" i="13"/>
  <c r="B258" i="13"/>
  <c r="L332" i="13"/>
  <c r="P228" i="13"/>
  <c r="D420" i="13"/>
  <c r="K358" i="13"/>
  <c r="C152" i="13"/>
  <c r="K346" i="13"/>
  <c r="C471" i="13"/>
  <c r="F412" i="13"/>
  <c r="B227" i="13"/>
  <c r="C256" i="13"/>
  <c r="F227" i="13"/>
  <c r="B447" i="13"/>
  <c r="H151" i="13"/>
  <c r="M256" i="13"/>
  <c r="I151" i="13"/>
  <c r="L117" i="13"/>
  <c r="D239" i="13"/>
  <c r="E134" i="13"/>
  <c r="J253" i="13"/>
  <c r="I149" i="13"/>
  <c r="Q220" i="13"/>
  <c r="H216" i="13"/>
  <c r="M436" i="13"/>
  <c r="B137" i="13"/>
  <c r="C336" i="13"/>
  <c r="L119" i="13"/>
  <c r="L360" i="13"/>
  <c r="C458" i="13"/>
  <c r="P220" i="13"/>
  <c r="I414" i="13"/>
  <c r="L146" i="13"/>
  <c r="L250" i="13"/>
  <c r="H217" i="13"/>
  <c r="N420" i="13"/>
  <c r="B114" i="13"/>
  <c r="I131" i="13"/>
  <c r="I256" i="13"/>
  <c r="F507" i="13"/>
  <c r="N219" i="13"/>
  <c r="J117" i="13"/>
  <c r="J128" i="13"/>
  <c r="M214" i="13"/>
  <c r="B210" i="13"/>
  <c r="D264" i="13"/>
  <c r="F423" i="13"/>
  <c r="I138" i="13"/>
  <c r="D238" i="13"/>
  <c r="E266" i="13"/>
  <c r="N460" i="13"/>
  <c r="L159" i="13"/>
  <c r="D307" i="13"/>
  <c r="P448" i="13"/>
  <c r="K242" i="13"/>
  <c r="N135" i="13"/>
  <c r="J323" i="13"/>
  <c r="L228" i="13"/>
  <c r="D424" i="13"/>
  <c r="E149" i="13"/>
  <c r="K241" i="13"/>
  <c r="L425" i="13"/>
  <c r="E118" i="13"/>
  <c r="B154" i="13"/>
  <c r="R242" i="13"/>
  <c r="D326" i="13"/>
  <c r="B138" i="13"/>
  <c r="N111" i="13"/>
  <c r="Q434" i="13"/>
  <c r="G221" i="13"/>
  <c r="D431" i="13"/>
  <c r="L340" i="13"/>
  <c r="E224" i="13"/>
  <c r="U233" i="13"/>
  <c r="B235" i="13"/>
  <c r="I251" i="13"/>
  <c r="C211" i="13"/>
  <c r="E250" i="13"/>
  <c r="D444" i="13"/>
  <c r="E318" i="13"/>
  <c r="Q447" i="13"/>
  <c r="E420" i="13"/>
  <c r="F444" i="13"/>
  <c r="F446" i="13"/>
  <c r="Q163" i="13"/>
  <c r="E319" i="13"/>
  <c r="J258" i="13"/>
  <c r="M268" i="13"/>
  <c r="F420" i="13"/>
  <c r="B257" i="13"/>
  <c r="I309" i="13"/>
  <c r="B458" i="13"/>
  <c r="B443" i="13"/>
  <c r="J250" i="13"/>
  <c r="F157" i="13"/>
  <c r="J338" i="13"/>
  <c r="F215" i="13"/>
  <c r="K426" i="13"/>
  <c r="E135" i="13"/>
  <c r="F250" i="13"/>
  <c r="Q240" i="13"/>
  <c r="C111" i="13"/>
  <c r="E213" i="13"/>
  <c r="M231" i="13"/>
  <c r="C222" i="13"/>
  <c r="F325" i="13"/>
  <c r="J310" i="13"/>
  <c r="N459" i="13"/>
  <c r="K152" i="13"/>
  <c r="L223" i="13"/>
  <c r="K213" i="13"/>
  <c r="C208" i="13"/>
  <c r="F113" i="13"/>
  <c r="I267" i="13"/>
  <c r="L231" i="13"/>
  <c r="M253" i="13"/>
  <c r="N265" i="13"/>
  <c r="Q111" i="13"/>
  <c r="M208" i="13"/>
  <c r="B255" i="13"/>
  <c r="E230" i="13"/>
  <c r="I410" i="13"/>
  <c r="B136" i="13"/>
  <c r="I254" i="13"/>
  <c r="N266" i="13"/>
  <c r="E236" i="13"/>
  <c r="L440" i="13"/>
  <c r="I268" i="13"/>
  <c r="I258" i="13"/>
  <c r="J362" i="13"/>
  <c r="G211" i="13"/>
  <c r="D228" i="13"/>
  <c r="F409" i="13"/>
  <c r="C215" i="13"/>
  <c r="L409" i="13"/>
  <c r="P208" i="13"/>
  <c r="G226" i="13"/>
  <c r="F455" i="13"/>
  <c r="I252" i="13"/>
  <c r="P137" i="13"/>
  <c r="M461" i="13"/>
  <c r="I311" i="13"/>
  <c r="L331" i="13"/>
  <c r="Q438" i="13"/>
  <c r="D333" i="13"/>
  <c r="C358" i="13"/>
  <c r="Q229" i="13"/>
  <c r="M458" i="13"/>
  <c r="M233" i="13"/>
  <c r="Q437" i="13"/>
  <c r="D263" i="13"/>
  <c r="E307" i="13"/>
  <c r="C307" i="13"/>
  <c r="D423" i="13"/>
  <c r="L438" i="13"/>
  <c r="D318" i="13"/>
  <c r="E443" i="13"/>
  <c r="C216" i="13"/>
  <c r="O425" i="13"/>
  <c r="E210" i="13"/>
  <c r="I114" i="13"/>
  <c r="B317" i="13"/>
  <c r="G215" i="13"/>
  <c r="B345" i="13"/>
  <c r="L436" i="13"/>
  <c r="F360" i="13"/>
  <c r="I341" i="13"/>
  <c r="R241" i="13"/>
  <c r="B111" i="13"/>
  <c r="K409" i="13"/>
  <c r="R111" i="13"/>
  <c r="H253" i="13"/>
  <c r="I135" i="13"/>
  <c r="D217" i="13"/>
  <c r="J131" i="13"/>
  <c r="G359" i="13"/>
  <c r="M437" i="13"/>
  <c r="K438" i="13"/>
  <c r="L329" i="13"/>
  <c r="M425" i="13"/>
  <c r="O242" i="13"/>
  <c r="J135" i="13"/>
  <c r="F229" i="13"/>
  <c r="J332" i="13"/>
  <c r="N259" i="13"/>
  <c r="H208" i="13"/>
  <c r="Q221" i="13"/>
  <c r="C116" i="13"/>
  <c r="L242" i="13"/>
  <c r="D132" i="13"/>
  <c r="R213" i="13"/>
  <c r="I340" i="13"/>
  <c r="D465" i="13"/>
  <c r="B132" i="13"/>
  <c r="F326" i="13"/>
  <c r="F510" i="13"/>
  <c r="H115" i="13"/>
  <c r="I320" i="13"/>
  <c r="L449" i="13"/>
  <c r="F222" i="13"/>
  <c r="C419" i="13"/>
  <c r="C161" i="13"/>
  <c r="T243" i="13"/>
  <c r="L219" i="13"/>
  <c r="M156" i="13"/>
  <c r="D216" i="13"/>
  <c r="C352" i="13"/>
  <c r="N424" i="13"/>
  <c r="H224" i="13"/>
  <c r="N260" i="13"/>
  <c r="D316" i="13"/>
  <c r="E265" i="13"/>
  <c r="L421" i="13"/>
  <c r="M345" i="13"/>
  <c r="B215" i="13"/>
  <c r="P240" i="13"/>
  <c r="F212" i="13"/>
  <c r="P436" i="13"/>
  <c r="J112" i="13"/>
  <c r="C131" i="13"/>
  <c r="J268" i="13"/>
  <c r="M232" i="13"/>
  <c r="L419" i="13"/>
  <c r="I259" i="13"/>
  <c r="K229" i="13"/>
  <c r="M148" i="13"/>
  <c r="K118" i="13"/>
  <c r="L358" i="13"/>
  <c r="E327" i="13"/>
  <c r="H431" i="13"/>
  <c r="I139" i="13"/>
  <c r="O254" i="13"/>
  <c r="O240" i="13"/>
  <c r="L116" i="13"/>
  <c r="L361" i="13"/>
  <c r="F448" i="13"/>
  <c r="B223" i="13"/>
  <c r="J341" i="13"/>
  <c r="D308" i="13"/>
  <c r="L209" i="13"/>
  <c r="L111" i="13"/>
  <c r="D443" i="13"/>
  <c r="B239" i="13"/>
  <c r="E133" i="13"/>
  <c r="L333" i="13"/>
  <c r="D336" i="13"/>
  <c r="S212" i="13"/>
  <c r="E334" i="13"/>
  <c r="F410" i="13"/>
  <c r="C461" i="13"/>
  <c r="E235" i="13"/>
  <c r="P437" i="13"/>
  <c r="D446" i="13"/>
  <c r="G258" i="13"/>
  <c r="M112" i="13"/>
  <c r="L460" i="13"/>
  <c r="J337" i="13"/>
  <c r="E323" i="13"/>
  <c r="L128" i="13"/>
  <c r="M419" i="13"/>
  <c r="E410" i="13"/>
  <c r="Q110" i="13"/>
  <c r="M209" i="13"/>
  <c r="K310" i="13"/>
  <c r="K425" i="13"/>
  <c r="K253" i="13"/>
  <c r="M252" i="13"/>
  <c r="O233" i="13"/>
  <c r="F208" i="13"/>
  <c r="L322" i="13"/>
  <c r="B410" i="13"/>
  <c r="Q154" i="13"/>
  <c r="O129" i="13"/>
  <c r="I148" i="13"/>
  <c r="F110" i="13"/>
  <c r="R243" i="13"/>
  <c r="J309" i="13"/>
  <c r="B343" i="13"/>
  <c r="L319" i="13"/>
  <c r="D211" i="13"/>
  <c r="C431" i="13"/>
  <c r="M220" i="13"/>
  <c r="C212" i="13"/>
  <c r="J137" i="13"/>
  <c r="C270" i="13"/>
  <c r="I307" i="13"/>
  <c r="H222" i="13"/>
  <c r="F109" i="13"/>
  <c r="Q211" i="13"/>
  <c r="H159" i="13"/>
  <c r="N250" i="13"/>
  <c r="D241" i="13"/>
  <c r="K112" i="13"/>
  <c r="B110" i="13"/>
  <c r="B149" i="13"/>
  <c r="B308" i="13"/>
  <c r="D265" i="13"/>
  <c r="L362" i="13"/>
  <c r="Q219" i="13"/>
  <c r="K322" i="13"/>
  <c r="G409" i="13"/>
  <c r="N253" i="13"/>
  <c r="F118" i="13"/>
  <c r="P210" i="13"/>
  <c r="C157" i="13"/>
  <c r="C230" i="13"/>
  <c r="N207" i="13"/>
  <c r="G213" i="13"/>
  <c r="L113" i="13"/>
  <c r="F513" i="13"/>
  <c r="L239" i="13"/>
  <c r="K135" i="13"/>
  <c r="O223" i="13"/>
  <c r="M358" i="13"/>
  <c r="O231" i="13"/>
  <c r="K320" i="13"/>
  <c r="K214" i="13"/>
  <c r="L155" i="13"/>
  <c r="P116" i="13"/>
  <c r="C235" i="13"/>
  <c r="O420" i="13"/>
  <c r="E333" i="13"/>
  <c r="E262" i="13"/>
  <c r="M250" i="13"/>
  <c r="Q162" i="13"/>
  <c r="D252" i="13"/>
  <c r="R212" i="13"/>
  <c r="E207" i="13"/>
  <c r="H221" i="13"/>
  <c r="K308" i="13"/>
  <c r="E423" i="13"/>
  <c r="O210" i="13"/>
  <c r="L345" i="13"/>
  <c r="M229" i="13"/>
  <c r="I329" i="13"/>
  <c r="J139" i="13"/>
  <c r="C409" i="13"/>
  <c r="I115" i="13"/>
  <c r="C455" i="13"/>
  <c r="Q439" i="13"/>
  <c r="H214" i="13"/>
  <c r="L153" i="13"/>
  <c r="F316" i="13"/>
  <c r="I159" i="13"/>
  <c r="L410" i="13"/>
  <c r="P223" i="13"/>
  <c r="L251" i="13"/>
  <c r="M239" i="13"/>
  <c r="F268" i="13"/>
  <c r="J320" i="13"/>
  <c r="L346" i="13"/>
  <c r="Q139" i="13"/>
  <c r="I253" i="13"/>
  <c r="L442" i="13"/>
  <c r="B207" i="13"/>
  <c r="M423" i="13"/>
  <c r="P209" i="13"/>
  <c r="I348" i="13"/>
  <c r="O220" i="13"/>
  <c r="G206" i="13"/>
  <c r="N229" i="13"/>
  <c r="S221" i="13"/>
  <c r="Q136" i="13"/>
  <c r="R116" i="13"/>
  <c r="E114" i="13"/>
  <c r="L214" i="13"/>
  <c r="K119" i="13"/>
  <c r="B252" i="13"/>
  <c r="D447" i="13"/>
  <c r="Q436" i="13"/>
  <c r="G432" i="13"/>
  <c r="H413" i="13"/>
  <c r="M260" i="13"/>
  <c r="D129" i="13"/>
  <c r="D116" i="13"/>
  <c r="F419" i="13"/>
  <c r="L457" i="13"/>
  <c r="F323" i="13"/>
  <c r="C133" i="13"/>
  <c r="O128" i="13"/>
  <c r="D470" i="13"/>
  <c r="K222" i="13"/>
  <c r="M460" i="13"/>
  <c r="R240" i="13"/>
  <c r="F149" i="13"/>
  <c r="L471" i="13"/>
  <c r="H156" i="13"/>
  <c r="E211" i="13"/>
  <c r="E335" i="13"/>
  <c r="C223" i="13"/>
  <c r="B327" i="13"/>
  <c r="B115" i="13"/>
  <c r="J414" i="13"/>
  <c r="B116" i="13"/>
  <c r="O423" i="13"/>
  <c r="E326" i="13"/>
  <c r="C465" i="13"/>
  <c r="L423" i="13"/>
  <c r="F241" i="13"/>
  <c r="P244" i="13"/>
  <c r="L152" i="13"/>
  <c r="E442" i="13"/>
  <c r="N212" i="13"/>
  <c r="H229" i="13"/>
  <c r="L338" i="13"/>
  <c r="P213" i="13"/>
  <c r="O258" i="13"/>
  <c r="M470" i="13"/>
  <c r="F307" i="13"/>
  <c r="B225" i="13"/>
  <c r="D315" i="13"/>
  <c r="Q448" i="13"/>
  <c r="J359" i="13"/>
  <c r="J119" i="13"/>
  <c r="Q231" i="13"/>
  <c r="B344" i="13"/>
  <c r="N220" i="13"/>
  <c r="C249" i="13"/>
  <c r="L212" i="13"/>
  <c r="D149" i="13"/>
  <c r="R447" i="13"/>
  <c r="H260" i="13"/>
  <c r="H110" i="13"/>
  <c r="R113" i="13"/>
  <c r="Q215" i="13"/>
  <c r="B318" i="13"/>
  <c r="N223" i="13"/>
  <c r="P451" i="13"/>
  <c r="H152" i="13"/>
  <c r="O111" i="13"/>
  <c r="K232" i="13"/>
  <c r="G433" i="13"/>
  <c r="Q243" i="13"/>
  <c r="J269" i="13"/>
  <c r="B360" i="13"/>
  <c r="L229" i="13"/>
  <c r="D269" i="13"/>
  <c r="F447" i="13"/>
  <c r="H515" i="14" a="1"/>
  <c r="G508" i="14" a="1"/>
  <c r="H510" i="14" a="1"/>
  <c r="G514" i="14" a="1"/>
  <c r="G511" i="14" a="1"/>
  <c r="H511" i="14" a="1"/>
  <c r="G510" i="14" a="1"/>
  <c r="H505" i="14" a="1"/>
  <c r="G509" i="14" a="1"/>
  <c r="H513" i="14" a="1"/>
  <c r="G515" i="14" a="1"/>
  <c r="H506" i="14" a="1"/>
  <c r="G506" i="14" a="1"/>
  <c r="H512" i="14" a="1"/>
  <c r="G513" i="14" a="1"/>
  <c r="H504" i="14" a="1"/>
  <c r="G512" i="14" a="1"/>
  <c r="H509" i="14" a="1"/>
  <c r="G507" i="14" a="1"/>
  <c r="H514" i="14" a="1"/>
  <c r="G504" i="14" a="1"/>
  <c r="H507" i="14" a="1"/>
  <c r="H508" i="14" a="1"/>
  <c r="G505" i="14" a="1"/>
  <c r="G512" i="13" a="1"/>
  <c r="G507" i="13" a="1"/>
  <c r="G511" i="13" a="1"/>
  <c r="H504" i="13" a="1"/>
  <c r="G509" i="13" a="1"/>
  <c r="H510" i="13" a="1"/>
  <c r="G504" i="13" a="1"/>
  <c r="H511" i="13" a="1"/>
  <c r="G508" i="13" a="1"/>
  <c r="H515" i="13" a="1"/>
  <c r="H505" i="13" a="1"/>
  <c r="G513" i="13" a="1"/>
  <c r="H514" i="13" a="1"/>
  <c r="H507" i="13" a="1"/>
  <c r="G510" i="13" a="1"/>
  <c r="H512" i="13" a="1"/>
  <c r="G506" i="13" a="1"/>
  <c r="G514" i="13" a="1"/>
  <c r="H506" i="13" a="1"/>
  <c r="H508" i="13" a="1"/>
  <c r="G515" i="13" a="1"/>
  <c r="H513" i="13" a="1"/>
  <c r="G505" i="13" a="1"/>
  <c r="H509" i="13" a="1"/>
  <c r="G506" i="14" l="1"/>
  <c r="G515" i="14"/>
  <c r="G509" i="14"/>
  <c r="G510" i="14"/>
  <c r="G514" i="14"/>
  <c r="G508" i="14"/>
  <c r="G505" i="14"/>
  <c r="G511" i="14"/>
  <c r="G504" i="14"/>
  <c r="G507" i="14"/>
  <c r="G512" i="14"/>
  <c r="G513" i="14"/>
  <c r="H506" i="14"/>
  <c r="H513" i="14"/>
  <c r="H505" i="14"/>
  <c r="H511" i="14"/>
  <c r="H510" i="14"/>
  <c r="H515" i="14"/>
  <c r="H508" i="14"/>
  <c r="H507" i="14"/>
  <c r="H514" i="14"/>
  <c r="H509" i="14"/>
  <c r="H504" i="14"/>
  <c r="H512" i="14"/>
  <c r="H512" i="13"/>
  <c r="H508" i="13"/>
  <c r="H514" i="13"/>
  <c r="H511" i="13"/>
  <c r="H509" i="13"/>
  <c r="H507" i="13"/>
  <c r="H504" i="13"/>
  <c r="H513" i="13"/>
  <c r="H515" i="13"/>
  <c r="H506" i="13"/>
  <c r="H505" i="13"/>
  <c r="H510" i="13"/>
  <c r="G508" i="13"/>
  <c r="G506" i="13"/>
  <c r="G512" i="13"/>
  <c r="G509" i="13"/>
  <c r="G504" i="13"/>
  <c r="G513" i="13"/>
  <c r="G511" i="13"/>
  <c r="G507" i="13"/>
  <c r="G515" i="13"/>
  <c r="G510" i="13"/>
  <c r="G505" i="13"/>
  <c r="G51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satisfied Microsoft Office user</author>
  </authors>
  <commentList>
    <comment ref="BA104" authorId="0" shapeId="0" xr:uid="{00000000-0006-0000-0000-000001000000}">
      <text>
        <r>
          <rPr>
            <sz val="8"/>
            <color indexed="81"/>
            <rFont val="Tahoma"/>
            <family val="2"/>
          </rPr>
          <t>Kiln Dried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 satisfied Microsoft Office user</author>
  </authors>
  <commentList>
    <comment ref="BA104" authorId="0" shapeId="0" xr:uid="{00000000-0006-0000-0000-000001000000}">
      <text>
        <r>
          <rPr>
            <sz val="8"/>
            <color indexed="81"/>
            <rFont val="Tahoma"/>
            <family val="2"/>
          </rPr>
          <t>Kiln Dried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<sst xmlns="http://schemas.openxmlformats.org/spreadsheetml/2006/main" count="2226" uniqueCount="360">
  <si>
    <t>RANDOM LENGTHS LUMBER REPORT</t>
  </si>
  <si>
    <t>Prv Week</t>
  </si>
  <si>
    <t>Prv Year</t>
  </si>
  <si>
    <t>Date</t>
  </si>
  <si>
    <t>Year</t>
  </si>
  <si>
    <t>Month</t>
  </si>
  <si>
    <t>Pub Date</t>
  </si>
  <si>
    <t>Page 5</t>
  </si>
  <si>
    <t>FRAMING LUMBER</t>
  </si>
  <si>
    <t>KILN DRIED DIMENSION</t>
  </si>
  <si>
    <t xml:space="preserve">    Spruce-Pine-Fir:</t>
  </si>
  <si>
    <t>Coast</t>
  </si>
  <si>
    <t>Inland WF or H-F</t>
  </si>
  <si>
    <t>Douglas</t>
  </si>
  <si>
    <t xml:space="preserve">                   Fir&amp;Larch:</t>
  </si>
  <si>
    <t>Southern Pine:</t>
  </si>
  <si>
    <t>Western</t>
  </si>
  <si>
    <t>Eastern</t>
  </si>
  <si>
    <t>Random</t>
  </si>
  <si>
    <t>Hem-Fir</t>
  </si>
  <si>
    <t>SPOKANE</t>
  </si>
  <si>
    <t>N. CALIF.</t>
  </si>
  <si>
    <t>Fir</t>
  </si>
  <si>
    <t>Inland</t>
  </si>
  <si>
    <t>CDN</t>
  </si>
  <si>
    <t>SPF-S</t>
  </si>
  <si>
    <t>WEST</t>
  </si>
  <si>
    <t>CENT</t>
  </si>
  <si>
    <t>EAST</t>
  </si>
  <si>
    <t>MILL</t>
  </si>
  <si>
    <t>CHI</t>
  </si>
  <si>
    <t>ATL</t>
  </si>
  <si>
    <t>BOS</t>
  </si>
  <si>
    <t>GL</t>
  </si>
  <si>
    <t>TOR</t>
  </si>
  <si>
    <t>MON</t>
  </si>
  <si>
    <t>2X4 S&amp;B</t>
  </si>
  <si>
    <t>--</t>
  </si>
  <si>
    <t>2X4 #2&amp;B</t>
  </si>
  <si>
    <t>2X6</t>
  </si>
  <si>
    <t>2X8</t>
  </si>
  <si>
    <t>2X10</t>
  </si>
  <si>
    <t>2X12</t>
  </si>
  <si>
    <t>2X4 #3/Util</t>
  </si>
  <si>
    <t>2X6 #3</t>
  </si>
  <si>
    <t>(4) Mills in Ga, Fla, S.C.; also N.C. and Va:</t>
  </si>
  <si>
    <t>(12) W-SPF 2X10 (Toronto)</t>
  </si>
  <si>
    <t>GREEN DIMENSION</t>
  </si>
  <si>
    <t>STRUCTURAL LIGHT FRAMING RL 10/20'</t>
  </si>
  <si>
    <t xml:space="preserve">   Douglas Fir:</t>
  </si>
  <si>
    <t>Western S-P-F</t>
  </si>
  <si>
    <t xml:space="preserve">   Eastern S-P-F</t>
  </si>
  <si>
    <t>Fir&amp;Larch</t>
  </si>
  <si>
    <t>PORTLAND</t>
  </si>
  <si>
    <t>NE</t>
  </si>
  <si>
    <t>Red Cedar</t>
  </si>
  <si>
    <t>delivered to:</t>
  </si>
  <si>
    <t>MINN.</t>
  </si>
  <si>
    <t>PHOENIX</t>
  </si>
  <si>
    <t>BOSTON</t>
  </si>
  <si>
    <t>GREAT LKS</t>
  </si>
  <si>
    <t>2X4 2100f</t>
  </si>
  <si>
    <t>2X4 2400f</t>
  </si>
  <si>
    <t>2X4 1650f</t>
  </si>
  <si>
    <t>2X4 1800f</t>
  </si>
  <si>
    <t>2X6 #2&amp;B</t>
  </si>
  <si>
    <t>2X6 2100f</t>
  </si>
  <si>
    <t>2X6 2400f</t>
  </si>
  <si>
    <t>2X6 1650f</t>
  </si>
  <si>
    <t>2X6 1800f</t>
  </si>
  <si>
    <t>Southern Pine from:</t>
  </si>
  <si>
    <t>GREEN</t>
  </si>
  <si>
    <t>KILN DRIED</t>
  </si>
  <si>
    <t>WF or H-F</t>
  </si>
  <si>
    <t>2X4 Utility</t>
  </si>
  <si>
    <t>CENTRAL</t>
  </si>
  <si>
    <t>Douglas Fir</t>
  </si>
  <si>
    <t>2X4 #1</t>
  </si>
  <si>
    <t>2X4 #1&amp;Btr</t>
  </si>
  <si>
    <t>2X4 Sel. Struc.</t>
  </si>
  <si>
    <t>2X6 Sel. Struc.</t>
  </si>
  <si>
    <t>2X8 Sel. Struc.</t>
  </si>
  <si>
    <t>(3) Light-wane stock, add:</t>
  </si>
  <si>
    <t>2X10 Sel. Struc.</t>
  </si>
  <si>
    <t>2X12 Sel. Struc.</t>
  </si>
  <si>
    <t>GREEN STUDS</t>
  </si>
  <si>
    <t>KILN DRIED STUDS</t>
  </si>
  <si>
    <t xml:space="preserve">   Douglas Fir</t>
  </si>
  <si>
    <t>Fir&amp;</t>
  </si>
  <si>
    <t>Southern</t>
  </si>
  <si>
    <t>#2&amp;Btr</t>
  </si>
  <si>
    <t>Larch</t>
  </si>
  <si>
    <t>ES-LP</t>
  </si>
  <si>
    <t>Pine</t>
  </si>
  <si>
    <t>2X4-8' PET</t>
  </si>
  <si>
    <t>2X3-8' PET Stud</t>
  </si>
  <si>
    <t>2X4-9' PET</t>
  </si>
  <si>
    <t>2X4-7'6" Stud</t>
  </si>
  <si>
    <t>2X4-10' PET</t>
  </si>
  <si>
    <t>2X4-8' PET Stud</t>
  </si>
  <si>
    <t>2X6-8' PET</t>
  </si>
  <si>
    <t>2X4-8' PET 2/2&amp;B</t>
  </si>
  <si>
    <t>2X6-9' PET</t>
  </si>
  <si>
    <t>2x4-8' PET AG</t>
  </si>
  <si>
    <t>2X6-10' PET</t>
  </si>
  <si>
    <t>2X4-9' PET Stud</t>
  </si>
  <si>
    <t>2X4-9' PET 2/2&amp;B</t>
  </si>
  <si>
    <t>FINGERJOINTED</t>
  </si>
  <si>
    <t>2X4-10' PET Stud</t>
  </si>
  <si>
    <t>2X4-10' PET 2/2&amp;B</t>
  </si>
  <si>
    <t>2X4-8'</t>
  </si>
  <si>
    <t>2X6-7'6" Stud</t>
  </si>
  <si>
    <t>2X4-9'&amp;10'</t>
  </si>
  <si>
    <t>2X6-8' PET Stud</t>
  </si>
  <si>
    <t>DALLAS</t>
  </si>
  <si>
    <t>2X6-8' PET 2/2&amp;B</t>
  </si>
  <si>
    <t>2X6-9' PET Stud</t>
  </si>
  <si>
    <t>2X6-9' PET 2/2&amp;B</t>
  </si>
  <si>
    <t>2X6-10' PET 2/2&amp;B</t>
  </si>
  <si>
    <t>(7) Full 8', add:</t>
  </si>
  <si>
    <t>W S-P-F</t>
  </si>
  <si>
    <t>(10) For Stud grade, deduct:</t>
  </si>
  <si>
    <t>CHICAGO</t>
  </si>
  <si>
    <t>Page 6</t>
  </si>
  <si>
    <t>FRAMING LUMBER, Specified Lengths</t>
  </si>
  <si>
    <t>SOUTHERN PINE, KILN DRIED, West</t>
  </si>
  <si>
    <t>SOUTHERN PINE, KILN DRIED, Central</t>
  </si>
  <si>
    <t>8'</t>
  </si>
  <si>
    <t>10'</t>
  </si>
  <si>
    <t>12'</t>
  </si>
  <si>
    <t>14'</t>
  </si>
  <si>
    <t>16'</t>
  </si>
  <si>
    <t>18'</t>
  </si>
  <si>
    <t>20'</t>
  </si>
  <si>
    <t>22'</t>
  </si>
  <si>
    <t>24'</t>
  </si>
  <si>
    <t>2X4 #2</t>
  </si>
  <si>
    <t>#2 22'&amp;24'</t>
  </si>
  <si>
    <t>HEM-FIR, KILN DRIED, Coast</t>
  </si>
  <si>
    <t>SOUTHERN PINE, KILN DRIED, East</t>
  </si>
  <si>
    <t>2X4 #2&amp;Btr</t>
  </si>
  <si>
    <t xml:space="preserve">2X6 </t>
  </si>
  <si>
    <t>SPRUCE-PINE-FIR, KILN-DRIED, Western</t>
  </si>
  <si>
    <t>SPRUCE-PINE-FIR, KILN DRIED, Eastern</t>
  </si>
  <si>
    <t>(3) Delivered Chicago, add:</t>
  </si>
  <si>
    <t>2X4</t>
  </si>
  <si>
    <t>Deliv. Boston</t>
  </si>
  <si>
    <t>Deliv. Great Lakes</t>
  </si>
  <si>
    <t>DOUGLAS FIR, GREEN, Portland</t>
  </si>
  <si>
    <t>26'</t>
  </si>
  <si>
    <t>28'</t>
  </si>
  <si>
    <t>Deliv. Toronto</t>
  </si>
  <si>
    <t>2X3 #2&amp;B</t>
  </si>
  <si>
    <t>(1) 22'&amp;24' only</t>
  </si>
  <si>
    <t>DELIVERED PRICE COMPARISONS</t>
  </si>
  <si>
    <t xml:space="preserve">      Std/#2&amp;Btr 2x4</t>
  </si>
  <si>
    <t xml:space="preserve">     #2&amp;Btr 2x10</t>
  </si>
  <si>
    <t xml:space="preserve">      Studs - 2x4 - 8' PET</t>
  </si>
  <si>
    <t>S-P-F:</t>
  </si>
  <si>
    <t xml:space="preserve">Inland </t>
  </si>
  <si>
    <t>S-P-F</t>
  </si>
  <si>
    <t>Fir (Gr)</t>
  </si>
  <si>
    <t>H-F</t>
  </si>
  <si>
    <t>Atlanta</t>
  </si>
  <si>
    <t>Dallas</t>
  </si>
  <si>
    <t>Houston</t>
  </si>
  <si>
    <t>Detroit</t>
  </si>
  <si>
    <t>Chicago</t>
  </si>
  <si>
    <t>Kansas City</t>
  </si>
  <si>
    <t>Minneapolis</t>
  </si>
  <si>
    <t>Memphis</t>
  </si>
  <si>
    <t>Boston</t>
  </si>
  <si>
    <t>New York</t>
  </si>
  <si>
    <t>Philadelphia</t>
  </si>
  <si>
    <t>Baltimore</t>
  </si>
  <si>
    <t>Island Pond</t>
  </si>
  <si>
    <t>Pittsburgh</t>
  </si>
  <si>
    <t>Columbus</t>
  </si>
  <si>
    <t>Birmingham</t>
  </si>
  <si>
    <t>Jacksonville</t>
  </si>
  <si>
    <t>Charlotte</t>
  </si>
  <si>
    <t>San Fran</t>
  </si>
  <si>
    <t>Los Angeles</t>
  </si>
  <si>
    <t>Phoenix</t>
  </si>
  <si>
    <t>(2) E-SPF #3 2X4 (Atlanta)</t>
  </si>
  <si>
    <t>(3) Inland H-F (Denver)</t>
  </si>
  <si>
    <t>Page 7</t>
  </si>
  <si>
    <t>SELECTS &amp; COMMONS</t>
  </si>
  <si>
    <t>PONDEROSA PINE, KILN DRIED</t>
  </si>
  <si>
    <t>IDAHO WHITE PINE, KILN DRIED</t>
  </si>
  <si>
    <t>INLAND MILLS</t>
  </si>
  <si>
    <t>C&amp;Btr</t>
  </si>
  <si>
    <t>D</t>
  </si>
  <si>
    <t>#3</t>
  </si>
  <si>
    <t>#4</t>
  </si>
  <si>
    <t>Sterling</t>
  </si>
  <si>
    <t>Standard</t>
  </si>
  <si>
    <t>Utility</t>
  </si>
  <si>
    <t>1X4</t>
  </si>
  <si>
    <t>1X6</t>
  </si>
  <si>
    <t>1X8</t>
  </si>
  <si>
    <t>1X10</t>
  </si>
  <si>
    <t>1X12</t>
  </si>
  <si>
    <t>CALIFORNIA MILLS</t>
  </si>
  <si>
    <t>EASTERN WHITE PINE, KILN DRIED</t>
  </si>
  <si>
    <t>D&amp;Btr</t>
  </si>
  <si>
    <t>Premium</t>
  </si>
  <si>
    <t>Industrial</t>
  </si>
  <si>
    <t>SUGAR PINE, KILN DRIED</t>
  </si>
  <si>
    <t>SOUTHERN PINE, KILN DRIED</t>
  </si>
  <si>
    <t>#2</t>
  </si>
  <si>
    <t>ENGELMANN SPRUCE - LODGEPOLE PINE, KILN DRIED</t>
  </si>
  <si>
    <t>EUROPEAN SPRUCE</t>
  </si>
  <si>
    <t>5/4x6 R.E.D.</t>
  </si>
  <si>
    <t>EASTERN SPRUCE-PINE-FIR</t>
  </si>
  <si>
    <t>DRIED Utility &amp; Btr (10-15% Utility)</t>
  </si>
  <si>
    <t>BOSTON:</t>
  </si>
  <si>
    <t>R/L</t>
  </si>
  <si>
    <t>1X3</t>
  </si>
  <si>
    <t>WESTERN RED CEDAR, S1S2E, Hit &amp; Miss</t>
  </si>
  <si>
    <t>COAST MILLS</t>
  </si>
  <si>
    <t>COAST OR INLAND MILLS</t>
  </si>
  <si>
    <t>BOARDS</t>
  </si>
  <si>
    <t>SIDING</t>
  </si>
  <si>
    <t>Std&amp;Btr</t>
  </si>
  <si>
    <t>No-Hole</t>
  </si>
  <si>
    <t>CHANNEL</t>
  </si>
  <si>
    <t>BEVEL</t>
  </si>
  <si>
    <t>KD BEVEL</t>
  </si>
  <si>
    <t>KD T&amp;G</t>
  </si>
  <si>
    <t>#3&amp;Btr2F</t>
  </si>
  <si>
    <t>#3&amp;Btr</t>
  </si>
  <si>
    <t>(4) 3/4 KD Bevel:</t>
  </si>
  <si>
    <t>(5) 1X8 KD Channel:</t>
  </si>
  <si>
    <t>Page 8</t>
  </si>
  <si>
    <t>INDUSTRIALS, SPECIALTIES, AND OTHER ITEMS</t>
  </si>
  <si>
    <t>ECONOMY/#4</t>
  </si>
  <si>
    <t>Spruce-Pine-Fir</t>
  </si>
  <si>
    <t xml:space="preserve">       Southern Pine from:</t>
  </si>
  <si>
    <t>GREAT  LKS</t>
  </si>
  <si>
    <t>TORONTO</t>
  </si>
  <si>
    <t>MONTREAL</t>
  </si>
  <si>
    <t>SOUTHERN PINE PRESSURE-TREATED LUMBER</t>
  </si>
  <si>
    <t>FRAMING LUMBER (Use Category 3)</t>
  </si>
  <si>
    <t>SQUARES AND TIMBERS (Use Category 4)</t>
  </si>
  <si>
    <t>4X4 #2</t>
  </si>
  <si>
    <t>4X6</t>
  </si>
  <si>
    <t>6X6</t>
  </si>
  <si>
    <t>BOARDS/R.E.D (Use Category 3)</t>
  </si>
  <si>
    <t>1X4 #2</t>
  </si>
  <si>
    <t>(1) For KDAT, add:</t>
  </si>
  <si>
    <t xml:space="preserve">1X6   </t>
  </si>
  <si>
    <t>5/4X6 Std</t>
  </si>
  <si>
    <t>(3) For KDAT, add:</t>
  </si>
  <si>
    <t>POSTS, BEAMS AND TIMBERS</t>
  </si>
  <si>
    <t>GREEN DOUGLAS FIR, RL</t>
  </si>
  <si>
    <t>#1&amp;Btr, Portland</t>
  </si>
  <si>
    <t>Rough</t>
  </si>
  <si>
    <t>S4S</t>
  </si>
  <si>
    <t>4X4, 8/20' #2&amp;Btr</t>
  </si>
  <si>
    <t>6X6, 12/24'</t>
  </si>
  <si>
    <t>WESTERN RED CEDAR</t>
  </si>
  <si>
    <t>4X6, 8/20'</t>
  </si>
  <si>
    <t>6X8-6X12, 12/24'</t>
  </si>
  <si>
    <t>DIMENSION</t>
  </si>
  <si>
    <t>TIMBERS, Standard Sawn</t>
  </si>
  <si>
    <t>4X8, 8/20'</t>
  </si>
  <si>
    <t>6X14-6X16, 12/24'</t>
  </si>
  <si>
    <t>AG</t>
  </si>
  <si>
    <t>4X10, 8/20'</t>
  </si>
  <si>
    <t>8x8, 12/24'</t>
  </si>
  <si>
    <t>4X4 S&amp;B</t>
  </si>
  <si>
    <t>4X12, 8/20'</t>
  </si>
  <si>
    <t>8X10-8X12, 12/24'</t>
  </si>
  <si>
    <t>2X6 #2&amp;Btr</t>
  </si>
  <si>
    <t>4X6 #2&amp;Btr</t>
  </si>
  <si>
    <t>8X14-8X16, 12/24'</t>
  </si>
  <si>
    <t>4X8</t>
  </si>
  <si>
    <t>(1) Sel. Struc., add:</t>
  </si>
  <si>
    <t>4X10</t>
  </si>
  <si>
    <t>(3) 100% FOHC, add:</t>
  </si>
  <si>
    <t>4X12</t>
  </si>
  <si>
    <t>(3) 8' rail:</t>
  </si>
  <si>
    <t>(4) 8' post:</t>
  </si>
  <si>
    <t>(5) #1 Appearance grade:</t>
  </si>
  <si>
    <t>DECK GRADE</t>
  </si>
  <si>
    <t>Custom Knotty</t>
  </si>
  <si>
    <t xml:space="preserve">  Architect Knotty</t>
  </si>
  <si>
    <t>Clear</t>
  </si>
  <si>
    <t>VG</t>
  </si>
  <si>
    <t>A</t>
  </si>
  <si>
    <t>Rustic</t>
  </si>
  <si>
    <t>1/2X6</t>
  </si>
  <si>
    <t>1/2X8</t>
  </si>
  <si>
    <t>5/4X6 R.E.D.</t>
  </si>
  <si>
    <t>Clear Fingerjointed</t>
  </si>
  <si>
    <t>MG</t>
  </si>
  <si>
    <t>S2S MOULDING AND SHOP</t>
  </si>
  <si>
    <t>PONDEROSA PINE</t>
  </si>
  <si>
    <t>3rd Clear</t>
  </si>
  <si>
    <t>#1 Shop</t>
  </si>
  <si>
    <t>#2 Shop</t>
  </si>
  <si>
    <t>#3 Shop</t>
  </si>
  <si>
    <t>Para 99</t>
  </si>
  <si>
    <t>4/4 Std</t>
  </si>
  <si>
    <t>5/4 Hvy</t>
  </si>
  <si>
    <t>FENCING</t>
  </si>
  <si>
    <t>Full Sawn</t>
  </si>
  <si>
    <t>6/4 Hvy</t>
  </si>
  <si>
    <t>S1S2E</t>
  </si>
  <si>
    <t>WHITE FIR</t>
  </si>
  <si>
    <t>1X4 #1 2F6'</t>
  </si>
  <si>
    <t>1X4 #2&amp;Btr NH 6'</t>
  </si>
  <si>
    <t>RADIATA PINE</t>
  </si>
  <si>
    <t>1X6 #1 2F6'</t>
  </si>
  <si>
    <t>1X6 #2&amp;Btr NH6'</t>
  </si>
  <si>
    <t>(1) For dog-ear add:</t>
  </si>
  <si>
    <t>MOULDING &amp; BTR</t>
  </si>
  <si>
    <t>Pond Pine</t>
  </si>
  <si>
    <t>White Fir</t>
  </si>
  <si>
    <t>Radiata Pine</t>
  </si>
  <si>
    <t>5/4</t>
  </si>
  <si>
    <t>6/4</t>
  </si>
  <si>
    <t>SHINGLES</t>
  </si>
  <si>
    <t>H/S &amp; R/S SHAKES</t>
  </si>
  <si>
    <t>Palletized Loadings</t>
  </si>
  <si>
    <t>Palletized Loadings, 9/9 Pack</t>
  </si>
  <si>
    <t>INDUSTRIAL FINGERJOINT</t>
  </si>
  <si>
    <t>Prices Per Square</t>
  </si>
  <si>
    <t>#1</t>
  </si>
  <si>
    <t>Blocks</t>
  </si>
  <si>
    <t>Blanks</t>
  </si>
  <si>
    <t>16"-5X</t>
  </si>
  <si>
    <t>1/2X24"</t>
  </si>
  <si>
    <t>Radiata Pine 5/4</t>
  </si>
  <si>
    <t>18"-Perfections</t>
  </si>
  <si>
    <t>3/4X24"</t>
  </si>
  <si>
    <t>Radiata Pine 6/5</t>
  </si>
  <si>
    <t>18"-Rebutted, Rejointed</t>
  </si>
  <si>
    <t>Elliotti/Taeda Pine 5/4</t>
  </si>
  <si>
    <t>(2) 5/8X24" Tapersawn:</t>
  </si>
  <si>
    <t>Lumber Composites</t>
  </si>
  <si>
    <t>This Week</t>
  </si>
  <si>
    <t>Last Week</t>
  </si>
  <si>
    <t>Year Ago</t>
  </si>
  <si>
    <t>Framing Lumber Composite</t>
  </si>
  <si>
    <t>Random-Length Dimension Composite</t>
  </si>
  <si>
    <t>Stud Composite</t>
  </si>
  <si>
    <t>Low-Grade Random Dimension Composite</t>
  </si>
  <si>
    <t>Board Composite</t>
  </si>
  <si>
    <t>Shop and Mldg&amp;Btr Composite</t>
  </si>
  <si>
    <t>Coast Dry Random and Stud Composite</t>
  </si>
  <si>
    <t>Inland Composite</t>
  </si>
  <si>
    <t>Southern Pine Composite</t>
  </si>
  <si>
    <t>Western S-P-F Composite</t>
  </si>
  <si>
    <t>Eastern S-P-F Composite</t>
  </si>
  <si>
    <t>Green Douglas Fir Composite</t>
  </si>
  <si>
    <t>(15) European Spruce #2 2x4 16ft</t>
  </si>
  <si>
    <t>(16) For #2 Prime, add</t>
  </si>
  <si>
    <t>(15) European Spruce #2 2x4 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</si>
</sst>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General_)"/>
    <numFmt numFmtId="165" formatCode="mm/dd/yy_)"/>
    <numFmt numFmtId="166" formatCode="&quot;$&quot;#,##0"/>
    <numFmt numFmtId="167" formatCode="00"/>
    <numFmt numFmtId="168" formatCode="mm/dd/yy"/>
    <numFmt numFmtId="169" formatCode="\+#,##0;\–#,##0;0"/>
    <numFmt numFmtId="170" formatCode="\+#,##0.00;\–#,##0.00;0"/>
    <numFmt numFmtId="171" formatCode="\+#,##0;[Red]\–#,##0;[Blue]0"/>
    <numFmt numFmtId="172" formatCode="mm/dd/yy;@"/>
    <numFmt numFmtId="173" formatCode="[$-409]d\-mmm\-yyyy;@"/>
  </numFmts>
  <fonts count="25" x14ac:knownFonts="1">
    <font>
      <sz val="10"/>
      <name val="Arial"/>
      <family val="2"/>
    </font>
    <font>
      <i/>
      <sz val="10"/>
      <name val="Arial"/>
      <family val="2"/>
    </font>
    <font>
      <sz val="10"/>
      <name val="Arial"/>
      <family val="2"/>
    </font>
    <font>
      <sz val="10"/>
      <color indexed="12"/>
      <name val="Arial"/>
      <family val="2"/>
    </font>
    <font>
      <sz val="10"/>
      <color indexed="10"/>
      <name val="Arial"/>
      <family val="2"/>
    </font>
    <font>
      <b/>
      <sz val="10"/>
      <color indexed="10"/>
      <name val="Arial"/>
      <family val="2"/>
    </font>
    <font>
      <b/>
      <sz val="12"/>
      <color indexed="10"/>
      <name val="Arial"/>
      <family val="2"/>
    </font>
    <font>
      <sz val="10"/>
      <color indexed="17"/>
      <name val="Arial"/>
      <family val="2"/>
    </font>
    <font>
      <sz val="10"/>
      <color indexed="18"/>
      <name val="Arial"/>
      <family val="2"/>
    </font>
    <font>
      <sz val="8"/>
      <color indexed="12"/>
      <name val="Arial"/>
      <family val="2"/>
    </font>
    <font>
      <b/>
      <i/>
      <sz val="12"/>
      <color indexed="17"/>
      <name val="Arial"/>
      <family val="2"/>
    </font>
    <font>
      <sz val="8"/>
      <color indexed="17"/>
      <name val="Arial"/>
      <family val="2"/>
    </font>
    <font>
      <sz val="8"/>
      <name val="Arial"/>
      <family val="2"/>
    </font>
    <font>
      <sz val="9"/>
      <color indexed="10"/>
      <name val="Arial"/>
      <family val="2"/>
    </font>
    <font>
      <b/>
      <i/>
      <sz val="11"/>
      <color indexed="17"/>
      <name val="Arial"/>
      <family val="2"/>
    </font>
    <font>
      <b/>
      <i/>
      <sz val="16"/>
      <color indexed="17"/>
      <name val="Arial"/>
      <family val="2"/>
    </font>
    <font>
      <sz val="10"/>
      <color indexed="8"/>
      <name val="Courier"/>
      <family val="3"/>
    </font>
    <font>
      <i/>
      <sz val="10"/>
      <color indexed="12"/>
      <name val="Arial"/>
      <family val="2"/>
    </font>
    <font>
      <b/>
      <i/>
      <sz val="10"/>
      <color indexed="17"/>
      <name val="Arial"/>
      <family val="2"/>
    </font>
    <font>
      <sz val="8"/>
      <color indexed="81"/>
      <name val="Tahoma"/>
      <family val="2"/>
    </font>
    <font>
      <b/>
      <sz val="10"/>
      <color indexed="12"/>
      <name val="Arial"/>
      <family val="2"/>
    </font>
    <font>
      <sz val="10"/>
      <name val="Courier"/>
      <family val="3"/>
    </font>
    <font>
      <b/>
      <sz val="10"/>
      <name val="Arial"/>
      <family val="2"/>
    </font>
    <font>
      <i/>
      <sz val="9"/>
      <color indexed="10"/>
      <name val="Arial"/>
      <family val="2"/>
    </font>
    <font>
      <sz val="10"/>
      <color indexed="8"/>
      <name val="Arial"/>
      <family val="2"/>
    </font>
  </fonts>
  <fills count="6">
    <fill>
      <patternFill patternType="none"/>
    </fill>
    <fill>
      <patternFill patternType="gray125"/>
    </fill>
    <fill>
      <patternFill patternType="solid">
        <fgColor indexed="46"/>
        <bgColor indexed="64"/>
      </patternFill>
    </fill>
    <fill>
      <patternFill patternType="solid">
        <fgColor indexed="29"/>
        <bgColor indexed="64"/>
      </patternFill>
    </fill>
    <fill>
      <patternFill patternType="solid">
        <fgColor rgb="FFFFFF00"/>
        <bgColor indexed="64"/>
      </patternFill>
    </fill>
    <fill>
      <patternFill patternType="solid">
        <fgColor theme="7" tint="0.59999389629810485"/>
        <bgColor indexed="64"/>
      </patternFill>
    </fill>
  </fills>
  <borders count="1">
    <border>
      <left/>
      <right/>
      <top/>
      <bottom/>
      <diagonal/>
    </border>
  </borders>
  <cellStyleXfs count="8">
    <xf numFmtId="164" fontId="0" fillId="0" borderId="0"/>
    <xf numFmtId="171" fontId="22" fillId="0" borderId="0">
      <alignment horizontal="right"/>
      <protection locked="0"/>
    </xf>
    <xf numFmtId="2" fontId="16" fillId="2" borderId="0">
      <alignment horizontal="right"/>
    </xf>
    <xf numFmtId="2" fontId="21" fillId="3" borderId="0">
      <alignment horizontal="right"/>
    </xf>
    <xf numFmtId="3" fontId="2" fillId="0" borderId="0">
      <alignment horizontal="right"/>
    </xf>
    <xf numFmtId="4" fontId="2" fillId="0" borderId="0">
      <alignment horizontal="right"/>
    </xf>
    <xf numFmtId="169" fontId="2" fillId="0" borderId="0">
      <alignment horizontal="right"/>
    </xf>
    <xf numFmtId="170" fontId="2" fillId="0" borderId="0">
      <alignment horizontal="right"/>
    </xf>
  </cellStyleXfs>
  <cellXfs count="141">
    <xf numFmtId="164" fontId="0" fillId="0" borderId="0" xfId="0"/>
    <xf numFmtId="166" fontId="10" fillId="0" borderId="0" xfId="0" quotePrefix="1" applyNumberFormat="1" applyFont="1" applyAlignment="1">
      <alignment horizontal="left"/>
    </xf>
    <xf numFmtId="164" fontId="2" fillId="0" borderId="0" xfId="0" applyFont="1"/>
    <xf numFmtId="3" fontId="2" fillId="0" borderId="0" xfId="0" applyNumberFormat="1" applyFont="1"/>
    <xf numFmtId="165" fontId="2" fillId="0" borderId="0" xfId="0" applyNumberFormat="1" applyFont="1" applyAlignment="1">
      <alignment horizontal="center"/>
    </xf>
    <xf numFmtId="1" fontId="2" fillId="0" borderId="0" xfId="0" applyNumberFormat="1" applyFont="1" applyAlignment="1">
      <alignment horizontal="center"/>
    </xf>
    <xf numFmtId="167" fontId="2" fillId="0" borderId="0" xfId="0" applyNumberFormat="1" applyFont="1" applyAlignment="1">
      <alignment horizontal="center"/>
    </xf>
    <xf numFmtId="3" fontId="2" fillId="0" borderId="0" xfId="4">
      <alignment horizontal="right"/>
    </xf>
    <xf numFmtId="164" fontId="17" fillId="0" borderId="0" xfId="0" applyFont="1" applyAlignment="1">
      <alignment horizontal="center"/>
    </xf>
    <xf numFmtId="4" fontId="2" fillId="0" borderId="0" xfId="5">
      <alignment horizontal="right"/>
    </xf>
    <xf numFmtId="166" fontId="18" fillId="0" borderId="0" xfId="0" quotePrefix="1" applyNumberFormat="1" applyFont="1" applyAlignment="1">
      <alignment horizontal="left"/>
    </xf>
    <xf numFmtId="164" fontId="10" fillId="0" borderId="0" xfId="0" quotePrefix="1" applyFont="1" applyAlignment="1">
      <alignment horizontal="left"/>
    </xf>
    <xf numFmtId="164" fontId="2" fillId="0" borderId="0" xfId="0" applyFont="1" applyAlignment="1">
      <alignment horizontal="centerContinuous"/>
    </xf>
    <xf numFmtId="3" fontId="7" fillId="0" borderId="0" xfId="0" applyNumberFormat="1" applyFont="1" applyAlignment="1">
      <alignment horizontal="right"/>
    </xf>
    <xf numFmtId="14" fontId="14" fillId="0" borderId="0" xfId="0" applyNumberFormat="1" applyFont="1" applyAlignment="1">
      <alignment horizontal="right"/>
    </xf>
    <xf numFmtId="164" fontId="3" fillId="0" borderId="0" xfId="0" applyFont="1"/>
    <xf numFmtId="164" fontId="6" fillId="0" borderId="0" xfId="0" applyFont="1"/>
    <xf numFmtId="164" fontId="5" fillId="0" borderId="0" xfId="0" applyFont="1"/>
    <xf numFmtId="164" fontId="9" fillId="0" borderId="0" xfId="0" quotePrefix="1" applyFont="1"/>
    <xf numFmtId="164" fontId="9" fillId="0" borderId="0" xfId="0" applyFont="1" applyAlignment="1">
      <alignment horizontal="right"/>
    </xf>
    <xf numFmtId="164" fontId="9" fillId="0" borderId="0" xfId="0" quotePrefix="1" applyFont="1" applyAlignment="1">
      <alignment horizontal="centerContinuous"/>
    </xf>
    <xf numFmtId="164" fontId="3" fillId="0" borderId="0" xfId="0" applyFont="1" applyAlignment="1">
      <alignment horizontal="centerContinuous"/>
    </xf>
    <xf numFmtId="164" fontId="9" fillId="0" borderId="0" xfId="0" quotePrefix="1" applyFont="1" applyAlignment="1">
      <alignment horizontal="right"/>
    </xf>
    <xf numFmtId="164" fontId="4" fillId="0" borderId="0" xfId="0" applyFont="1"/>
    <xf numFmtId="164" fontId="9" fillId="0" borderId="0" xfId="0" quotePrefix="1" applyFont="1" applyAlignment="1">
      <alignment horizontal="left"/>
    </xf>
    <xf numFmtId="164" fontId="2" fillId="0" borderId="0" xfId="0" applyFont="1" applyAlignment="1">
      <alignment horizontal="right"/>
    </xf>
    <xf numFmtId="164" fontId="11" fillId="0" borderId="0" xfId="0" quotePrefix="1" applyFont="1" applyAlignment="1">
      <alignment horizontal="left"/>
    </xf>
    <xf numFmtId="164" fontId="9" fillId="0" borderId="0" xfId="0" applyFont="1" applyAlignment="1">
      <alignment horizontal="left"/>
    </xf>
    <xf numFmtId="164" fontId="9" fillId="0" borderId="0" xfId="0" applyFont="1" applyAlignment="1">
      <alignment horizontal="center"/>
    </xf>
    <xf numFmtId="164" fontId="11" fillId="0" borderId="0" xfId="0" applyFont="1" applyAlignment="1">
      <alignment horizontal="left"/>
    </xf>
    <xf numFmtId="164" fontId="11" fillId="0" borderId="0" xfId="0" applyFont="1"/>
    <xf numFmtId="16" fontId="9" fillId="0" borderId="0" xfId="0" quotePrefix="1" applyNumberFormat="1" applyFont="1" applyAlignment="1">
      <alignment horizontal="left"/>
    </xf>
    <xf numFmtId="168" fontId="18" fillId="0" borderId="0" xfId="0" applyNumberFormat="1" applyFont="1" applyAlignment="1">
      <alignment horizontal="left"/>
    </xf>
    <xf numFmtId="164" fontId="0" fillId="0" borderId="0" xfId="0" applyAlignment="1">
      <alignment horizontal="centerContinuous"/>
    </xf>
    <xf numFmtId="164" fontId="5" fillId="0" borderId="0" xfId="0" quotePrefix="1" applyFont="1" applyAlignment="1">
      <alignment horizontal="left"/>
    </xf>
    <xf numFmtId="164" fontId="11" fillId="0" borderId="0" xfId="0" applyFont="1" applyAlignment="1">
      <alignment horizontal="right"/>
    </xf>
    <xf numFmtId="164" fontId="4" fillId="0" borderId="0" xfId="0" quotePrefix="1" applyFont="1" applyAlignment="1">
      <alignment horizontal="left"/>
    </xf>
    <xf numFmtId="164" fontId="3" fillId="0" borderId="0" xfId="0" applyFont="1" applyAlignment="1">
      <alignment horizontal="right"/>
    </xf>
    <xf numFmtId="16" fontId="9" fillId="0" borderId="0" xfId="0" quotePrefix="1" applyNumberFormat="1" applyFont="1" applyAlignment="1">
      <alignment horizontal="right"/>
    </xf>
    <xf numFmtId="164" fontId="2" fillId="0" borderId="0" xfId="0" quotePrefix="1" applyFont="1" applyAlignment="1">
      <alignment horizontal="right"/>
    </xf>
    <xf numFmtId="164" fontId="9" fillId="0" borderId="0" xfId="0" applyFont="1"/>
    <xf numFmtId="164" fontId="3" fillId="0" borderId="0" xfId="0" applyFont="1" applyAlignment="1">
      <alignment horizontal="left"/>
    </xf>
    <xf numFmtId="164" fontId="13" fillId="0" borderId="0" xfId="0" applyFont="1"/>
    <xf numFmtId="164" fontId="9" fillId="0" borderId="0" xfId="0" applyFont="1" applyAlignment="1">
      <alignment horizontal="centerContinuous"/>
    </xf>
    <xf numFmtId="164" fontId="12" fillId="0" borderId="0" xfId="0" applyFont="1" applyAlignment="1">
      <alignment horizontal="centerContinuous"/>
    </xf>
    <xf numFmtId="164" fontId="4" fillId="0" borderId="0" xfId="0" applyFont="1" applyAlignment="1">
      <alignment horizontal="left"/>
    </xf>
    <xf numFmtId="164" fontId="2" fillId="0" borderId="0" xfId="0" applyFont="1" applyAlignment="1">
      <alignment horizontal="left"/>
    </xf>
    <xf numFmtId="16" fontId="9" fillId="0" borderId="0" xfId="0" applyNumberFormat="1" applyFont="1"/>
    <xf numFmtId="164" fontId="15" fillId="0" borderId="0" xfId="0" quotePrefix="1" applyFont="1" applyAlignment="1">
      <alignment horizontal="left"/>
    </xf>
    <xf numFmtId="164" fontId="8" fillId="0" borderId="0" xfId="0" applyFont="1"/>
    <xf numFmtId="164" fontId="1" fillId="0" borderId="0" xfId="0" applyFont="1"/>
    <xf numFmtId="3" fontId="6" fillId="0" borderId="0" xfId="0" quotePrefix="1" applyNumberFormat="1" applyFont="1" applyAlignment="1">
      <alignment horizontal="left"/>
    </xf>
    <xf numFmtId="1" fontId="2" fillId="0" borderId="0" xfId="0" applyNumberFormat="1" applyFont="1"/>
    <xf numFmtId="1" fontId="0" fillId="0" borderId="0" xfId="0" applyNumberFormat="1"/>
    <xf numFmtId="3" fontId="0" fillId="0" borderId="0" xfId="0" applyNumberFormat="1"/>
    <xf numFmtId="164" fontId="23" fillId="0" borderId="0" xfId="0" applyFont="1" applyAlignment="1">
      <alignment horizontal="left"/>
    </xf>
    <xf numFmtId="164" fontId="20" fillId="0" borderId="0" xfId="0" applyFont="1"/>
    <xf numFmtId="164" fontId="22" fillId="0" borderId="0" xfId="0" applyFont="1"/>
    <xf numFmtId="164" fontId="0" fillId="0" borderId="0" xfId="0" applyAlignment="1">
      <alignment horizontal="right"/>
    </xf>
    <xf numFmtId="164" fontId="4" fillId="0" borderId="0" xfId="0" applyFont="1" applyAlignment="1">
      <alignment horizontal="left" indent="1"/>
    </xf>
    <xf numFmtId="16" fontId="9" fillId="0" borderId="0" xfId="0" quotePrefix="1" applyNumberFormat="1" applyFont="1" applyAlignment="1">
      <alignment horizontal="left" indent="1"/>
    </xf>
    <xf numFmtId="164" fontId="11" fillId="0" borderId="0" xfId="0" applyFont="1" applyAlignment="1">
      <alignment horizontal="left" indent="1"/>
    </xf>
    <xf numFmtId="164" fontId="9" fillId="0" borderId="0" xfId="0" quotePrefix="1" applyFont="1" applyAlignment="1">
      <alignment horizontal="center"/>
    </xf>
    <xf numFmtId="3" fontId="24" fillId="0" borderId="0" xfId="4" applyFont="1">
      <alignment horizontal="right"/>
    </xf>
    <xf numFmtId="14" fontId="2" fillId="0" borderId="0" xfId="0" applyNumberFormat="1" applyFont="1" applyAlignment="1">
      <alignment horizontal="center"/>
    </xf>
    <xf numFmtId="168" fontId="24" fillId="0" borderId="0" xfId="0" applyNumberFormat="1" applyFont="1" applyAlignment="1">
      <alignment horizontal="center"/>
    </xf>
    <xf numFmtId="172" fontId="0" fillId="0" borderId="0" xfId="0" applyNumberFormat="1"/>
    <xf numFmtId="173" fontId="22" fillId="5" borderId="0" xfId="0" applyNumberFormat="1" applyFont="1" applyFill="1" applyAlignment="1">
      <alignment horizontal="center"/>
    </xf>
    <xf numFmtId="173" fontId="24" fillId="0" borderId="0" xfId="0" applyNumberFormat="1" applyFont="1" applyAlignment="1">
      <alignment horizontal="center"/>
    </xf>
    <xf numFmtId="173" fontId="2" fillId="0" borderId="0" xfId="0" applyNumberFormat="1" applyFont="1"/>
    <xf numFmtId="164" fontId="15" fillId="0" borderId="0" xfId="0" quotePrefix="1" applyFont="1" applyAlignment="1" applyProtection="1">
      <alignment horizontal="left"/>
      <protection locked="0"/>
    </xf>
    <xf numFmtId="164" fontId="0" fillId="0" borderId="0" xfId="0" applyProtection="1">
      <protection locked="0"/>
    </xf>
    <xf numFmtId="164" fontId="8" fillId="0" borderId="0" xfId="0" applyFont="1" applyProtection="1">
      <protection locked="0"/>
    </xf>
    <xf numFmtId="164" fontId="2" fillId="0" borderId="0" xfId="0" applyFont="1" applyProtection="1">
      <protection locked="0"/>
    </xf>
    <xf numFmtId="3" fontId="2" fillId="0" borderId="0" xfId="0" applyNumberFormat="1" applyFont="1" applyProtection="1">
      <protection locked="0"/>
    </xf>
    <xf numFmtId="164" fontId="17" fillId="0" borderId="0" xfId="0" applyFont="1" applyAlignment="1" applyProtection="1">
      <alignment horizontal="center"/>
      <protection locked="0"/>
    </xf>
    <xf numFmtId="1" fontId="2" fillId="0" borderId="0" xfId="0" applyNumberFormat="1" applyFont="1" applyAlignment="1" applyProtection="1">
      <alignment horizontal="center"/>
      <protection locked="0"/>
    </xf>
    <xf numFmtId="167" fontId="2" fillId="0" borderId="0" xfId="0" applyNumberFormat="1" applyFont="1" applyAlignment="1" applyProtection="1">
      <alignment horizontal="center"/>
      <protection locked="0"/>
    </xf>
    <xf numFmtId="168" fontId="24" fillId="0" borderId="0" xfId="0" applyNumberFormat="1" applyFont="1" applyAlignment="1" applyProtection="1">
      <alignment horizontal="center"/>
      <protection locked="0"/>
    </xf>
    <xf numFmtId="172" fontId="0" fillId="0" borderId="0" xfId="0" applyNumberFormat="1" applyProtection="1">
      <protection locked="0"/>
    </xf>
    <xf numFmtId="165" fontId="2" fillId="0" borderId="0" xfId="0" applyNumberFormat="1" applyFont="1" applyAlignment="1" applyProtection="1">
      <alignment horizontal="center"/>
      <protection locked="0"/>
    </xf>
    <xf numFmtId="14" fontId="2" fillId="0" borderId="0" xfId="0" applyNumberFormat="1" applyFont="1" applyAlignment="1" applyProtection="1">
      <alignment horizontal="center"/>
      <protection locked="0"/>
    </xf>
    <xf numFmtId="16" fontId="9" fillId="0" borderId="0" xfId="0" quotePrefix="1" applyNumberFormat="1" applyFont="1" applyAlignment="1" applyProtection="1">
      <alignment horizontal="left"/>
      <protection locked="0"/>
    </xf>
    <xf numFmtId="164" fontId="1" fillId="0" borderId="0" xfId="0" applyFont="1" applyProtection="1">
      <protection locked="0"/>
    </xf>
    <xf numFmtId="168" fontId="18" fillId="0" borderId="0" xfId="0" applyNumberFormat="1" applyFont="1" applyAlignment="1" applyProtection="1">
      <alignment horizontal="left"/>
      <protection locked="0"/>
    </xf>
    <xf numFmtId="164" fontId="10" fillId="0" borderId="0" xfId="0" quotePrefix="1" applyFont="1" applyAlignment="1" applyProtection="1">
      <alignment horizontal="left"/>
      <protection locked="0"/>
    </xf>
    <xf numFmtId="164" fontId="2" fillId="0" borderId="0" xfId="0" applyFont="1" applyAlignment="1" applyProtection="1">
      <alignment horizontal="centerContinuous"/>
      <protection locked="0"/>
    </xf>
    <xf numFmtId="164" fontId="0" fillId="0" borderId="0" xfId="0" applyAlignment="1" applyProtection="1">
      <alignment horizontal="centerContinuous"/>
      <protection locked="0"/>
    </xf>
    <xf numFmtId="166" fontId="18" fillId="0" borderId="0" xfId="0" quotePrefix="1" applyNumberFormat="1" applyFont="1" applyAlignment="1" applyProtection="1">
      <alignment horizontal="left"/>
      <protection locked="0"/>
    </xf>
    <xf numFmtId="3" fontId="7" fillId="0" borderId="0" xfId="0" applyNumberFormat="1" applyFont="1" applyAlignment="1" applyProtection="1">
      <alignment horizontal="right"/>
      <protection locked="0"/>
    </xf>
    <xf numFmtId="14" fontId="14" fillId="0" borderId="0" xfId="0" applyNumberFormat="1" applyFont="1" applyAlignment="1" applyProtection="1">
      <alignment horizontal="right"/>
      <protection locked="0"/>
    </xf>
    <xf numFmtId="3" fontId="6" fillId="0" borderId="0" xfId="0" quotePrefix="1" applyNumberFormat="1" applyFont="1" applyAlignment="1" applyProtection="1">
      <alignment horizontal="left"/>
      <protection locked="0"/>
    </xf>
    <xf numFmtId="166" fontId="10" fillId="0" borderId="0" xfId="0" quotePrefix="1" applyNumberFormat="1" applyFont="1" applyAlignment="1" applyProtection="1">
      <alignment horizontal="left"/>
      <protection locked="0"/>
    </xf>
    <xf numFmtId="1" fontId="2" fillId="0" borderId="0" xfId="0" applyNumberFormat="1" applyFont="1" applyProtection="1">
      <protection locked="0"/>
    </xf>
    <xf numFmtId="164" fontId="6" fillId="0" borderId="0" xfId="0" applyFont="1" applyProtection="1">
      <protection locked="0"/>
    </xf>
    <xf numFmtId="1" fontId="0" fillId="0" borderId="0" xfId="0" applyNumberFormat="1" applyProtection="1">
      <protection locked="0"/>
    </xf>
    <xf numFmtId="164" fontId="5" fillId="0" borderId="0" xfId="0" applyFont="1" applyProtection="1">
      <protection locked="0"/>
    </xf>
    <xf numFmtId="164" fontId="9" fillId="0" borderId="0" xfId="0" quotePrefix="1" applyFont="1" applyProtection="1">
      <protection locked="0"/>
    </xf>
    <xf numFmtId="164" fontId="9" fillId="0" borderId="0" xfId="0" applyFont="1" applyAlignment="1" applyProtection="1">
      <alignment horizontal="right"/>
      <protection locked="0"/>
    </xf>
    <xf numFmtId="164" fontId="9" fillId="0" borderId="0" xfId="0" quotePrefix="1" applyFont="1" applyAlignment="1" applyProtection="1">
      <alignment horizontal="centerContinuous"/>
      <protection locked="0"/>
    </xf>
    <xf numFmtId="164" fontId="3" fillId="0" borderId="0" xfId="0" applyFont="1" applyAlignment="1" applyProtection="1">
      <alignment horizontal="centerContinuous"/>
      <protection locked="0"/>
    </xf>
    <xf numFmtId="164" fontId="9" fillId="0" borderId="0" xfId="0" quotePrefix="1" applyFont="1" applyAlignment="1" applyProtection="1">
      <alignment horizontal="right"/>
      <protection locked="0"/>
    </xf>
    <xf numFmtId="164" fontId="9" fillId="0" borderId="0" xfId="0" quotePrefix="1" applyFont="1" applyAlignment="1" applyProtection="1">
      <alignment horizontal="center"/>
      <protection locked="0"/>
    </xf>
    <xf numFmtId="164" fontId="3" fillId="0" borderId="0" xfId="0" applyFont="1" applyProtection="1">
      <protection locked="0"/>
    </xf>
    <xf numFmtId="164" fontId="4" fillId="0" borderId="0" xfId="0" applyFont="1" applyProtection="1">
      <protection locked="0"/>
    </xf>
    <xf numFmtId="164" fontId="9" fillId="0" borderId="0" xfId="0" quotePrefix="1" applyFont="1" applyAlignment="1" applyProtection="1">
      <alignment horizontal="left"/>
      <protection locked="0"/>
    </xf>
    <xf numFmtId="164" fontId="2" fillId="0" borderId="0" xfId="0" applyFont="1" applyAlignment="1" applyProtection="1">
      <alignment horizontal="right"/>
      <protection locked="0"/>
    </xf>
    <xf numFmtId="3" fontId="2" fillId="0" borderId="0" xfId="4" applyProtection="1">
      <alignment horizontal="right"/>
      <protection locked="0"/>
    </xf>
    <xf numFmtId="164" fontId="0" fillId="0" borderId="0" xfId="0" applyAlignment="1" applyProtection="1">
      <alignment horizontal="right"/>
      <protection locked="0"/>
    </xf>
    <xf numFmtId="3" fontId="24" fillId="0" borderId="0" xfId="4" applyFont="1" applyProtection="1">
      <alignment horizontal="right"/>
      <protection locked="0"/>
    </xf>
    <xf numFmtId="164" fontId="11" fillId="0" borderId="0" xfId="0" quotePrefix="1" applyFont="1" applyAlignment="1" applyProtection="1">
      <alignment horizontal="left"/>
      <protection locked="0"/>
    </xf>
    <xf numFmtId="164" fontId="11" fillId="0" borderId="0" xfId="0" applyFont="1" applyAlignment="1" applyProtection="1">
      <alignment horizontal="left"/>
      <protection locked="0"/>
    </xf>
    <xf numFmtId="164" fontId="9" fillId="0" borderId="0" xfId="0" applyFont="1" applyAlignment="1" applyProtection="1">
      <alignment horizontal="center"/>
      <protection locked="0"/>
    </xf>
    <xf numFmtId="164" fontId="9" fillId="0" borderId="0" xfId="0" applyFont="1" applyAlignment="1" applyProtection="1">
      <alignment horizontal="left"/>
      <protection locked="0"/>
    </xf>
    <xf numFmtId="164" fontId="11" fillId="0" borderId="0" xfId="0" applyFont="1" applyProtection="1">
      <protection locked="0"/>
    </xf>
    <xf numFmtId="164" fontId="5" fillId="0" borderId="0" xfId="0" quotePrefix="1" applyFont="1" applyAlignment="1" applyProtection="1">
      <alignment horizontal="left"/>
      <protection locked="0"/>
    </xf>
    <xf numFmtId="164" fontId="11" fillId="0" borderId="0" xfId="0" applyFont="1" applyAlignment="1" applyProtection="1">
      <alignment horizontal="right"/>
      <protection locked="0"/>
    </xf>
    <xf numFmtId="164" fontId="4" fillId="0" borderId="0" xfId="0" quotePrefix="1" applyFont="1" applyAlignment="1" applyProtection="1">
      <alignment horizontal="left"/>
      <protection locked="0"/>
    </xf>
    <xf numFmtId="164" fontId="3" fillId="0" borderId="0" xfId="0" applyFont="1" applyAlignment="1" applyProtection="1">
      <alignment horizontal="right"/>
      <protection locked="0"/>
    </xf>
    <xf numFmtId="16" fontId="9" fillId="0" borderId="0" xfId="0" quotePrefix="1" applyNumberFormat="1" applyFont="1" applyAlignment="1" applyProtection="1">
      <alignment horizontal="right"/>
      <protection locked="0"/>
    </xf>
    <xf numFmtId="164" fontId="2" fillId="0" borderId="0" xfId="0" quotePrefix="1" applyFont="1" applyAlignment="1" applyProtection="1">
      <alignment horizontal="right"/>
      <protection locked="0"/>
    </xf>
    <xf numFmtId="164" fontId="9" fillId="0" borderId="0" xfId="0" applyFont="1" applyProtection="1">
      <protection locked="0"/>
    </xf>
    <xf numFmtId="164" fontId="3" fillId="0" borderId="0" xfId="0" applyFont="1" applyAlignment="1" applyProtection="1">
      <alignment horizontal="left"/>
      <protection locked="0"/>
    </xf>
    <xf numFmtId="164" fontId="13" fillId="0" borderId="0" xfId="0" applyFont="1" applyProtection="1">
      <protection locked="0"/>
    </xf>
    <xf numFmtId="164" fontId="4" fillId="0" borderId="0" xfId="0" applyFont="1" applyAlignment="1" applyProtection="1">
      <alignment horizontal="left"/>
      <protection locked="0"/>
    </xf>
    <xf numFmtId="164" fontId="2" fillId="0" borderId="0" xfId="0" applyFont="1" applyAlignment="1" applyProtection="1">
      <alignment horizontal="left"/>
      <protection locked="0"/>
    </xf>
    <xf numFmtId="164" fontId="12" fillId="0" borderId="0" xfId="0" applyFont="1" applyAlignment="1" applyProtection="1">
      <alignment horizontal="centerContinuous"/>
      <protection locked="0"/>
    </xf>
    <xf numFmtId="164" fontId="9" fillId="0" borderId="0" xfId="0" applyFont="1" applyAlignment="1" applyProtection="1">
      <alignment horizontal="centerContinuous"/>
      <protection locked="0"/>
    </xf>
    <xf numFmtId="164" fontId="4" fillId="0" borderId="0" xfId="0" applyFont="1" applyAlignment="1" applyProtection="1">
      <alignment horizontal="left" indent="1"/>
      <protection locked="0"/>
    </xf>
    <xf numFmtId="16" fontId="9" fillId="0" borderId="0" xfId="0" quotePrefix="1" applyNumberFormat="1" applyFont="1" applyAlignment="1" applyProtection="1">
      <alignment horizontal="left" indent="1"/>
      <protection locked="0"/>
    </xf>
    <xf numFmtId="164" fontId="11" fillId="0" borderId="0" xfId="0" applyFont="1" applyAlignment="1" applyProtection="1">
      <alignment horizontal="left" indent="1"/>
      <protection locked="0"/>
    </xf>
    <xf numFmtId="4" fontId="2" fillId="0" borderId="0" xfId="5" applyProtection="1">
      <alignment horizontal="right"/>
      <protection locked="0"/>
    </xf>
    <xf numFmtId="16" fontId="9" fillId="0" borderId="0" xfId="0" applyNumberFormat="1" applyFont="1" applyProtection="1">
      <protection locked="0"/>
    </xf>
    <xf numFmtId="164" fontId="23" fillId="0" borderId="0" xfId="0" applyFont="1" applyAlignment="1" applyProtection="1">
      <alignment horizontal="left"/>
      <protection locked="0"/>
    </xf>
    <xf numFmtId="164" fontId="20" fillId="0" borderId="0" xfId="0" applyFont="1" applyProtection="1">
      <protection locked="0"/>
    </xf>
    <xf numFmtId="164" fontId="22" fillId="0" borderId="0" xfId="0" applyFont="1" applyProtection="1">
      <protection locked="0"/>
    </xf>
    <xf numFmtId="3" fontId="0" fillId="0" borderId="0" xfId="0" applyNumberFormat="1" applyProtection="1">
      <protection locked="0"/>
    </xf>
    <xf numFmtId="173" fontId="24" fillId="0" borderId="0" xfId="0" applyNumberFormat="1" applyFont="1" applyAlignment="1" applyProtection="1">
      <alignment horizontal="center"/>
      <protection locked="0"/>
    </xf>
    <xf numFmtId="173" fontId="2" fillId="4" borderId="0" xfId="0" applyNumberFormat="1" applyFont="1" applyFill="1" applyAlignment="1">
      <alignment horizontal="center"/>
    </xf>
    <xf numFmtId="164" fontId="9" fillId="0" borderId="0" xfId="0" quotePrefix="1" applyFont="1" applyFill="1" applyAlignment="1" applyProtection="1">
      <alignment horizontal="left"/>
      <protection locked="0"/>
    </xf>
    <xf numFmtId="3" fontId="2" fillId="0" borderId="0" xfId="4" applyFill="1" applyProtection="1">
      <alignment horizontal="right"/>
      <protection locked="0"/>
    </xf>
  </cellXfs>
  <cellStyles count="8">
    <cellStyle name="Adders" xfId="1" xr:uid="{00000000-0005-0000-0000-000000000000}"/>
    <cellStyle name="DbPrice" xfId="2" xr:uid="{00000000-0005-0000-0000-000001000000}"/>
    <cellStyle name="DbTag" xfId="3" xr:uid="{00000000-0005-0000-0000-000002000000}"/>
    <cellStyle name="Normal" xfId="0" builtinId="0"/>
    <cellStyle name="Price" xfId="4" xr:uid="{00000000-0005-0000-0000-000004000000}"/>
    <cellStyle name="PriceD2" xfId="5" xr:uid="{00000000-0005-0000-0000-000005000000}"/>
    <cellStyle name="UpsDowns" xfId="6" xr:uid="{00000000-0005-0000-0000-000006000000}"/>
    <cellStyle name="UpsDownsD2" xfId="7"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9525</xdr:colOff>
      <xdr:row>16</xdr:row>
      <xdr:rowOff>0</xdr:rowOff>
    </xdr:to>
    <xdr:grpSp>
      <xdr:nvGrpSpPr>
        <xdr:cNvPr id="44202" name="Group 2613">
          <a:extLst>
            <a:ext uri="{FF2B5EF4-FFF2-40B4-BE49-F238E27FC236}">
              <a16:creationId xmlns:a16="http://schemas.microsoft.com/office/drawing/2014/main" id="{00000000-0008-0000-0100-0000AAAC0000}"/>
            </a:ext>
          </a:extLst>
        </xdr:cNvPr>
        <xdr:cNvGrpSpPr>
          <a:grpSpLocks/>
        </xdr:cNvGrpSpPr>
      </xdr:nvGrpSpPr>
      <xdr:grpSpPr bwMode="auto">
        <a:xfrm>
          <a:off x="0" y="0"/>
          <a:ext cx="9448800" cy="2686050"/>
          <a:chOff x="1" y="0"/>
          <a:chExt cx="778" cy="282"/>
        </a:xfrm>
      </xdr:grpSpPr>
      <xdr:sp macro="" textlink="">
        <xdr:nvSpPr>
          <xdr:cNvPr id="44204" name="Rectangle 1">
            <a:extLst>
              <a:ext uri="{FF2B5EF4-FFF2-40B4-BE49-F238E27FC236}">
                <a16:creationId xmlns:a16="http://schemas.microsoft.com/office/drawing/2014/main" id="{00000000-0008-0000-0100-0000ACAC0000}"/>
              </a:ext>
            </a:extLst>
          </xdr:cNvPr>
          <xdr:cNvSpPr>
            <a:spLocks noChangeArrowheads="1"/>
          </xdr:cNvSpPr>
        </xdr:nvSpPr>
        <xdr:spPr bwMode="auto">
          <a:xfrm>
            <a:off x="1" y="0"/>
            <a:ext cx="778" cy="28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9" name="Text 49">
            <a:extLst>
              <a:ext uri="{FF2B5EF4-FFF2-40B4-BE49-F238E27FC236}">
                <a16:creationId xmlns:a16="http://schemas.microsoft.com/office/drawing/2014/main" id="{00000000-0008-0000-0100-000009000000}"/>
              </a:ext>
            </a:extLst>
          </xdr:cNvPr>
          <xdr:cNvSpPr txBox="1">
            <a:spLocks noChangeArrowheads="1"/>
          </xdr:cNvSpPr>
        </xdr:nvSpPr>
        <xdr:spPr bwMode="auto">
          <a:xfrm>
            <a:off x="28" y="211"/>
            <a:ext cx="726" cy="58"/>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Lumber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Page 5 starts at cell A101     Page 7 starts at cell A301     Lumber Composites start at cell A501</a:t>
            </a:r>
          </a:p>
          <a:p>
            <a:pPr algn="l" rtl="0">
              <a:defRPr sz="1000"/>
            </a:pPr>
            <a:r>
              <a:rPr lang="en-US" sz="1000" b="0" i="0" u="none" strike="noStrike" baseline="0">
                <a:solidFill>
                  <a:srgbClr val="000000"/>
                </a:solidFill>
                <a:latin typeface="Arial"/>
                <a:cs typeface="Arial"/>
              </a:rPr>
              <a:t>Page 6 starts at cell A201     Page 8 starts at cell A401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10" name="Text 53">
            <a:extLst>
              <a:ext uri="{FF2B5EF4-FFF2-40B4-BE49-F238E27FC236}">
                <a16:creationId xmlns:a16="http://schemas.microsoft.com/office/drawing/2014/main" id="{00000000-0008-0000-0100-00000A000000}"/>
              </a:ext>
            </a:extLst>
          </xdr:cNvPr>
          <xdr:cNvSpPr txBox="1">
            <a:spLocks noChangeArrowheads="1"/>
          </xdr:cNvSpPr>
        </xdr:nvSpPr>
        <xdr:spPr bwMode="auto">
          <a:xfrm>
            <a:off x="497" y="14"/>
            <a:ext cx="272"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twoCellAnchor editAs="oneCell">
    <xdr:from>
      <xdr:col>0</xdr:col>
      <xdr:colOff>209550</xdr:colOff>
      <xdr:row>0</xdr:row>
      <xdr:rowOff>200025</xdr:rowOff>
    </xdr:from>
    <xdr:to>
      <xdr:col>5</xdr:col>
      <xdr:colOff>114300</xdr:colOff>
      <xdr:row>10</xdr:row>
      <xdr:rowOff>0</xdr:rowOff>
    </xdr:to>
    <xdr:pic>
      <xdr:nvPicPr>
        <xdr:cNvPr id="44203" name="Picture 7">
          <a:extLst>
            <a:ext uri="{FF2B5EF4-FFF2-40B4-BE49-F238E27FC236}">
              <a16:creationId xmlns:a16="http://schemas.microsoft.com/office/drawing/2014/main" id="{00000000-0008-0000-0100-0000ABA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2000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23</xdr:row>
      <xdr:rowOff>9525</xdr:rowOff>
    </xdr:from>
    <xdr:to>
      <xdr:col>5</xdr:col>
      <xdr:colOff>142875</xdr:colOff>
      <xdr:row>30</xdr:row>
      <xdr:rowOff>19050</xdr:rowOff>
    </xdr:to>
    <xdr:sp macro="" textlink="">
      <xdr:nvSpPr>
        <xdr:cNvPr id="3" name="TextBox 2">
          <a:extLst>
            <a:ext uri="{FF2B5EF4-FFF2-40B4-BE49-F238E27FC236}">
              <a16:creationId xmlns:a16="http://schemas.microsoft.com/office/drawing/2014/main" id="{7120CD32-DD25-494C-BB31-A79B82923FD2}"/>
            </a:ext>
          </a:extLst>
        </xdr:cNvPr>
        <xdr:cNvSpPr txBox="1"/>
      </xdr:nvSpPr>
      <xdr:spPr>
        <a:xfrm>
          <a:off x="914400" y="3829050"/>
          <a:ext cx="3219450" cy="1143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This worksheet</a:t>
          </a:r>
          <a:r>
            <a:rPr lang="en-US" sz="1100" b="1" baseline="0">
              <a:solidFill>
                <a:schemeClr val="dk1"/>
              </a:solidFill>
              <a:effectLst/>
              <a:latin typeface="+mn-lt"/>
              <a:ea typeface="+mn-ea"/>
              <a:cs typeface="+mn-cs"/>
            </a:rPr>
            <a:t> can ONLY be used to generate the latest end-of-week prices </a:t>
          </a:r>
          <a:r>
            <a:rPr lang="en-US" sz="1100" b="1" i="1" u="sng" baseline="0">
              <a:solidFill>
                <a:schemeClr val="dk1"/>
              </a:solidFill>
              <a:effectLst/>
              <a:latin typeface="+mn-lt"/>
              <a:ea typeface="+mn-ea"/>
              <a:cs typeface="+mn-cs"/>
            </a:rPr>
            <a:t>before</a:t>
          </a:r>
          <a:r>
            <a:rPr lang="en-US" sz="1100" b="1" baseline="0">
              <a:solidFill>
                <a:schemeClr val="dk1"/>
              </a:solidFill>
              <a:effectLst/>
              <a:latin typeface="+mn-lt"/>
              <a:ea typeface="+mn-ea"/>
              <a:cs typeface="+mn-cs"/>
            </a:rPr>
            <a:t> the mid week assessments are published.</a:t>
          </a:r>
          <a:r>
            <a:rPr lang="en-GB" sz="1100" b="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mn-lt"/>
            </a:rPr>
            <a:t>The latest publication date is automatically filled </a:t>
          </a:r>
          <a:r>
            <a:rPr lang="en-US" sz="1100" b="0" baseline="0">
              <a:solidFill>
                <a:schemeClr val="dk1"/>
              </a:solidFill>
              <a:effectLst/>
              <a:latin typeface="+mn-lt"/>
              <a:ea typeface="+mn-ea"/>
              <a:cs typeface="+mn-cs"/>
            </a:rPr>
            <a:t>in the highlighted cell (B22).</a:t>
          </a:r>
          <a:endParaRPr lang="en-US" sz="1100" b="0">
            <a:effectLst/>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9525</xdr:colOff>
      <xdr:row>16</xdr:row>
      <xdr:rowOff>0</xdr:rowOff>
    </xdr:to>
    <xdr:grpSp>
      <xdr:nvGrpSpPr>
        <xdr:cNvPr id="2" name="Group 2613">
          <a:extLst>
            <a:ext uri="{FF2B5EF4-FFF2-40B4-BE49-F238E27FC236}">
              <a16:creationId xmlns:a16="http://schemas.microsoft.com/office/drawing/2014/main" id="{D9F31164-8681-4502-BAA0-3D986788DE5A}"/>
            </a:ext>
          </a:extLst>
        </xdr:cNvPr>
        <xdr:cNvGrpSpPr>
          <a:grpSpLocks/>
        </xdr:cNvGrpSpPr>
      </xdr:nvGrpSpPr>
      <xdr:grpSpPr bwMode="auto">
        <a:xfrm>
          <a:off x="0" y="0"/>
          <a:ext cx="10429875" cy="2686050"/>
          <a:chOff x="1" y="0"/>
          <a:chExt cx="778" cy="282"/>
        </a:xfrm>
      </xdr:grpSpPr>
      <xdr:sp macro="" textlink="">
        <xdr:nvSpPr>
          <xdr:cNvPr id="3" name="Rectangle 1">
            <a:extLst>
              <a:ext uri="{FF2B5EF4-FFF2-40B4-BE49-F238E27FC236}">
                <a16:creationId xmlns:a16="http://schemas.microsoft.com/office/drawing/2014/main" id="{D4E4D957-A17A-C854-1134-E75B39C81411}"/>
              </a:ext>
            </a:extLst>
          </xdr:cNvPr>
          <xdr:cNvSpPr>
            <a:spLocks noChangeArrowheads="1"/>
          </xdr:cNvSpPr>
        </xdr:nvSpPr>
        <xdr:spPr bwMode="auto">
          <a:xfrm>
            <a:off x="1" y="0"/>
            <a:ext cx="778" cy="28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Text 49">
            <a:extLst>
              <a:ext uri="{FF2B5EF4-FFF2-40B4-BE49-F238E27FC236}">
                <a16:creationId xmlns:a16="http://schemas.microsoft.com/office/drawing/2014/main" id="{260C9B8C-5CC3-DB46-BF03-C98282F6D3C9}"/>
              </a:ext>
            </a:extLst>
          </xdr:cNvPr>
          <xdr:cNvSpPr txBox="1">
            <a:spLocks noChangeArrowheads="1"/>
          </xdr:cNvSpPr>
        </xdr:nvSpPr>
        <xdr:spPr bwMode="auto">
          <a:xfrm>
            <a:off x="28" y="211"/>
            <a:ext cx="726" cy="58"/>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Lumber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Page 5 starts at cell A101     Page 7 starts at cell A301     Lumber Composites start at cell A501</a:t>
            </a:r>
          </a:p>
          <a:p>
            <a:pPr algn="l" rtl="0">
              <a:defRPr sz="1000"/>
            </a:pPr>
            <a:r>
              <a:rPr lang="en-US" sz="1000" b="0" i="0" u="none" strike="noStrike" baseline="0">
                <a:solidFill>
                  <a:srgbClr val="000000"/>
                </a:solidFill>
                <a:latin typeface="Arial"/>
                <a:cs typeface="Arial"/>
              </a:rPr>
              <a:t>Page 6 starts at cell A201     Page 8 starts at cell A401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 name="Text 53">
            <a:extLst>
              <a:ext uri="{FF2B5EF4-FFF2-40B4-BE49-F238E27FC236}">
                <a16:creationId xmlns:a16="http://schemas.microsoft.com/office/drawing/2014/main" id="{50B7CF82-0A74-BB39-AD60-A4A76626CD30}"/>
              </a:ext>
            </a:extLst>
          </xdr:cNvPr>
          <xdr:cNvSpPr txBox="1">
            <a:spLocks noChangeArrowheads="1"/>
          </xdr:cNvSpPr>
        </xdr:nvSpPr>
        <xdr:spPr bwMode="auto">
          <a:xfrm>
            <a:off x="497" y="14"/>
            <a:ext cx="272"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oneCellAnchor>
    <xdr:from>
      <xdr:col>0</xdr:col>
      <xdr:colOff>209550</xdr:colOff>
      <xdr:row>0</xdr:row>
      <xdr:rowOff>200025</xdr:rowOff>
    </xdr:from>
    <xdr:ext cx="4343400" cy="1514475"/>
    <xdr:pic>
      <xdr:nvPicPr>
        <xdr:cNvPr id="6" name="Picture 7">
          <a:extLst>
            <a:ext uri="{FF2B5EF4-FFF2-40B4-BE49-F238E27FC236}">
              <a16:creationId xmlns:a16="http://schemas.microsoft.com/office/drawing/2014/main" id="{CA5EFA5B-2DEF-4A98-93A9-898A67853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619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9525</xdr:colOff>
      <xdr:row>23</xdr:row>
      <xdr:rowOff>28576</xdr:rowOff>
    </xdr:from>
    <xdr:to>
      <xdr:col>5</xdr:col>
      <xdr:colOff>142875</xdr:colOff>
      <xdr:row>27</xdr:row>
      <xdr:rowOff>9526</xdr:rowOff>
    </xdr:to>
    <xdr:sp macro="" textlink="">
      <xdr:nvSpPr>
        <xdr:cNvPr id="7" name="TextBox 6">
          <a:extLst>
            <a:ext uri="{FF2B5EF4-FFF2-40B4-BE49-F238E27FC236}">
              <a16:creationId xmlns:a16="http://schemas.microsoft.com/office/drawing/2014/main" id="{B52C2948-F292-457D-990F-D1129F740A90}"/>
            </a:ext>
          </a:extLst>
        </xdr:cNvPr>
        <xdr:cNvSpPr txBox="1"/>
      </xdr:nvSpPr>
      <xdr:spPr>
        <a:xfrm>
          <a:off x="914400" y="3848101"/>
          <a:ext cx="3219450" cy="6286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Specify </a:t>
          </a:r>
          <a:r>
            <a:rPr lang="en-US" sz="1400" b="1" baseline="0"/>
            <a:t>a past publication date </a:t>
          </a:r>
          <a:r>
            <a:rPr lang="en-US" sz="1400" b="1" baseline="0">
              <a:solidFill>
                <a:schemeClr val="dk1"/>
              </a:solidFill>
              <a:effectLst/>
              <a:latin typeface="+mn-lt"/>
              <a:ea typeface="+mn-ea"/>
              <a:cs typeface="+mn-cs"/>
            </a:rPr>
            <a:t>in the highlighted cell (B22).</a:t>
          </a:r>
          <a:endParaRPr lang="en-US" sz="1100" b="1" baseline="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BQ2264"/>
  <sheetViews>
    <sheetView tabSelected="1" workbookViewId="0">
      <selection activeCell="A17" sqref="A17"/>
    </sheetView>
  </sheetViews>
  <sheetFormatPr defaultRowHeight="12.75" x14ac:dyDescent="0.2"/>
  <cols>
    <col min="1" max="1" width="13.5703125" style="74" customWidth="1"/>
    <col min="2" max="2" width="15.85546875" style="74" bestFit="1" customWidth="1"/>
    <col min="3" max="3" width="12.140625" style="74" customWidth="1"/>
    <col min="4" max="4" width="15.85546875" style="74" customWidth="1"/>
    <col min="5" max="5" width="9.140625" style="74"/>
    <col min="6" max="6" width="14.5703125" style="74" customWidth="1"/>
    <col min="7" max="7" width="11.140625" style="74" customWidth="1"/>
    <col min="8" max="8" width="12.5703125" style="74" customWidth="1"/>
    <col min="9" max="9" width="11.7109375" style="74" customWidth="1"/>
    <col min="10" max="10" width="9.140625" style="74"/>
    <col min="11" max="12" width="15.85546875" style="74" bestFit="1" customWidth="1"/>
    <col min="13" max="13" width="10.140625" style="74" bestFit="1" customWidth="1"/>
    <col min="14" max="16" width="9.140625" style="74"/>
    <col min="17" max="17" width="15.85546875" style="74" bestFit="1" customWidth="1"/>
    <col min="18" max="16384" width="9.140625" style="74"/>
  </cols>
  <sheetData>
    <row r="1" spans="1:9" s="71" customFormat="1" ht="20.25" x14ac:dyDescent="0.3">
      <c r="A1" s="70" t="s">
        <v>0</v>
      </c>
      <c r="H1" s="72"/>
    </row>
    <row r="2" spans="1:9" s="71" customFormat="1" x14ac:dyDescent="0.2">
      <c r="H2" s="73"/>
    </row>
    <row r="3" spans="1:9" s="71" customFormat="1" x14ac:dyDescent="0.2">
      <c r="H3" s="73"/>
      <c r="I3" s="73"/>
    </row>
    <row r="4" spans="1:9" s="71" customFormat="1" x14ac:dyDescent="0.2"/>
    <row r="5" spans="1:9" s="71" customFormat="1" x14ac:dyDescent="0.2"/>
    <row r="6" spans="1:9" s="71" customFormat="1" x14ac:dyDescent="0.2"/>
    <row r="7" spans="1:9" s="71" customFormat="1" ht="12.75" customHeight="1" x14ac:dyDescent="0.2"/>
    <row r="8" spans="1:9" s="71" customFormat="1" ht="12.75" customHeight="1" x14ac:dyDescent="0.2"/>
    <row r="9" spans="1:9" s="71" customFormat="1" ht="12.75" customHeight="1" x14ac:dyDescent="0.2"/>
    <row r="10" spans="1:9" s="71" customFormat="1" ht="12.75" customHeight="1" x14ac:dyDescent="0.2"/>
    <row r="11" spans="1:9" s="71" customFormat="1" x14ac:dyDescent="0.2"/>
    <row r="12" spans="1:9" s="71" customFormat="1" x14ac:dyDescent="0.2"/>
    <row r="13" spans="1:9" s="71" customFormat="1" x14ac:dyDescent="0.2"/>
    <row r="14" spans="1:9" s="71" customFormat="1" x14ac:dyDescent="0.2"/>
    <row r="15" spans="1:9" s="71" customFormat="1" x14ac:dyDescent="0.2"/>
    <row r="16" spans="1:9" s="71" customFormat="1" x14ac:dyDescent="0.2"/>
    <row r="17" spans="1:13" s="71" customFormat="1" x14ac:dyDescent="0.2"/>
    <row r="18" spans="1:13" s="71" customFormat="1" x14ac:dyDescent="0.2"/>
    <row r="19" spans="1:13" s="71" customFormat="1" x14ac:dyDescent="0.2"/>
    <row r="20" spans="1:13" s="71" customFormat="1" x14ac:dyDescent="0.2">
      <c r="F20" s="74"/>
      <c r="G20" s="75" t="s">
        <v>1</v>
      </c>
      <c r="I20" s="75" t="s">
        <v>2</v>
      </c>
      <c r="K20" s="75"/>
      <c r="L20" s="75"/>
      <c r="M20" s="75"/>
    </row>
    <row r="21" spans="1:13" s="71" customFormat="1" x14ac:dyDescent="0.2">
      <c r="B21" s="75" t="s">
        <v>3</v>
      </c>
      <c r="C21" s="75" t="s">
        <v>4</v>
      </c>
      <c r="D21" s="75" t="s">
        <v>5</v>
      </c>
      <c r="E21" s="75"/>
      <c r="F21" s="75"/>
      <c r="G21" s="75" t="s">
        <v>6</v>
      </c>
      <c r="H21" s="74"/>
      <c r="I21" s="75" t="s">
        <v>6</v>
      </c>
      <c r="J21" s="73"/>
      <c r="K21" s="75"/>
      <c r="L21" s="75"/>
      <c r="M21" s="75"/>
    </row>
    <row r="22" spans="1:13" s="71" customFormat="1" x14ac:dyDescent="0.2">
      <c r="B22" s="138" cm="1">
        <f t="array" aca="1" ref="B22" ca="1">_xll.GetPrice("FP-LBR-1185","Actual","AssessmentDate", TODAY())</f>
        <v>45848.653113425928</v>
      </c>
      <c r="C22" s="76">
        <f ca="1">YEAR(B22)</f>
        <v>2025</v>
      </c>
      <c r="D22" s="77">
        <f ca="1">MONTH(B22)</f>
        <v>7</v>
      </c>
      <c r="E22" s="77"/>
      <c r="F22" s="74"/>
      <c r="G22" s="137" cm="1">
        <f t="array" aca="1" ref="G22" ca="1">_xll.GetPrice("FP-LBR-1185","Actual","AssessmentDate",_LATESTvarPubDate-5)</f>
        <v>45840.654768518521</v>
      </c>
      <c r="H22" s="74"/>
      <c r="I22" s="137" cm="1">
        <f t="array" aca="1" ref="I22" ca="1">_xll.GetPrice("FP-LBR-1185","Actual","AssessmentDate",IF(_xll.GetPrice("FP-LBR-1185","Actual","PreliminaryPrice",EDATE(_LATESTvarPubDate,-12)),_xll.GetPrice("FP-LBR-1185","Actual","AssessmentDate",EDATE(_LATESTvarPubDate,-12))-1,_xll.GetPrice("FP-LBR-1185","Actual","AssessmentDate",EDATE(_LATESTvarPubDate,-12))))</f>
        <v>45475.650150462963</v>
      </c>
      <c r="J22" s="73"/>
      <c r="K22" s="78"/>
      <c r="L22" s="78"/>
      <c r="M22" s="79"/>
    </row>
    <row r="23" spans="1:13" s="71" customFormat="1" x14ac:dyDescent="0.2">
      <c r="A23" s="73"/>
      <c r="B23" s="80"/>
      <c r="C23" s="76"/>
      <c r="D23" s="77"/>
      <c r="E23" s="77"/>
      <c r="F23" s="77"/>
      <c r="G23" s="73"/>
      <c r="H23" s="73"/>
      <c r="I23" s="73"/>
    </row>
    <row r="24" spans="1:13" s="71" customFormat="1" x14ac:dyDescent="0.2">
      <c r="A24" s="73"/>
      <c r="B24" s="80"/>
      <c r="C24" s="76"/>
      <c r="D24" s="77"/>
      <c r="E24" s="77"/>
      <c r="F24" s="77"/>
      <c r="G24" s="73"/>
      <c r="H24" s="73"/>
      <c r="I24" s="73"/>
    </row>
    <row r="25" spans="1:13" s="71" customFormat="1" x14ac:dyDescent="0.2">
      <c r="A25" s="73"/>
      <c r="B25" s="73"/>
      <c r="C25" s="73"/>
      <c r="D25" s="73"/>
      <c r="E25" s="73"/>
      <c r="F25" s="73"/>
      <c r="G25" s="73"/>
      <c r="H25" s="73"/>
      <c r="I25" s="73"/>
    </row>
    <row r="26" spans="1:13" s="71" customFormat="1" x14ac:dyDescent="0.2">
      <c r="A26" s="73"/>
      <c r="B26" s="81"/>
      <c r="C26" s="73"/>
      <c r="D26" s="73"/>
      <c r="E26" s="73"/>
      <c r="F26" s="73"/>
      <c r="G26" s="73"/>
      <c r="H26" s="73"/>
      <c r="I26" s="73"/>
    </row>
    <row r="27" spans="1:13" s="71" customFormat="1" x14ac:dyDescent="0.2">
      <c r="A27" s="73"/>
      <c r="B27" s="73"/>
      <c r="C27" s="73"/>
      <c r="D27" s="73"/>
      <c r="E27" s="73"/>
      <c r="F27" s="73"/>
      <c r="G27" s="73"/>
      <c r="H27" s="73"/>
      <c r="I27" s="73"/>
    </row>
    <row r="28" spans="1:13" s="71" customFormat="1" x14ac:dyDescent="0.2">
      <c r="A28" s="73"/>
      <c r="B28" s="73"/>
      <c r="C28" s="73"/>
      <c r="D28" s="73"/>
      <c r="E28" s="73"/>
      <c r="F28" s="73"/>
      <c r="G28" s="73"/>
      <c r="H28" s="73"/>
      <c r="I28" s="73"/>
    </row>
    <row r="29" spans="1:13" s="71" customFormat="1" x14ac:dyDescent="0.2">
      <c r="A29" s="73"/>
      <c r="B29" s="73"/>
      <c r="C29" s="73"/>
      <c r="D29" s="73"/>
      <c r="E29" s="73"/>
      <c r="F29" s="73"/>
      <c r="G29" s="73"/>
      <c r="H29" s="73"/>
      <c r="I29" s="73"/>
    </row>
    <row r="30" spans="1:13" s="71" customFormat="1" x14ac:dyDescent="0.2">
      <c r="A30" s="73"/>
      <c r="B30" s="73"/>
      <c r="C30" s="73"/>
      <c r="D30" s="73"/>
      <c r="E30" s="73"/>
      <c r="F30" s="73"/>
      <c r="G30" s="73"/>
      <c r="H30" s="73"/>
      <c r="I30" s="73"/>
    </row>
    <row r="31" spans="1:13" s="71" customFormat="1" x14ac:dyDescent="0.2">
      <c r="A31" s="73"/>
      <c r="B31" s="73"/>
      <c r="C31" s="73"/>
      <c r="D31" s="73"/>
      <c r="E31" s="73"/>
      <c r="F31" s="73"/>
      <c r="G31" s="73"/>
      <c r="H31" s="73"/>
      <c r="I31" s="73"/>
    </row>
    <row r="32" spans="1:13" s="71" customFormat="1" x14ac:dyDescent="0.2">
      <c r="A32" s="73"/>
      <c r="B32" s="73"/>
      <c r="C32" s="73"/>
      <c r="D32" s="73"/>
      <c r="E32" s="73"/>
      <c r="F32" s="73"/>
      <c r="G32" s="73"/>
      <c r="H32" s="73"/>
      <c r="I32" s="73"/>
    </row>
    <row r="33" spans="1:9" s="71" customFormat="1" x14ac:dyDescent="0.2">
      <c r="A33" s="73"/>
      <c r="B33" s="73"/>
      <c r="C33" s="73"/>
      <c r="D33" s="73"/>
      <c r="E33" s="73"/>
      <c r="F33" s="73"/>
      <c r="G33" s="73"/>
      <c r="H33" s="73"/>
      <c r="I33" s="73"/>
    </row>
    <row r="34" spans="1:9" s="71" customFormat="1" x14ac:dyDescent="0.2">
      <c r="A34" s="73"/>
      <c r="B34" s="73"/>
      <c r="C34" s="73"/>
      <c r="D34" s="73"/>
      <c r="E34" s="73"/>
      <c r="F34" s="73"/>
      <c r="G34" s="73"/>
      <c r="H34" s="73"/>
      <c r="I34" s="73"/>
    </row>
    <row r="35" spans="1:9" s="71" customFormat="1" x14ac:dyDescent="0.2">
      <c r="A35" s="73"/>
      <c r="B35" s="73"/>
      <c r="C35" s="73"/>
      <c r="D35" s="73"/>
      <c r="E35" s="73"/>
      <c r="F35" s="73"/>
      <c r="G35" s="73"/>
      <c r="H35" s="73"/>
      <c r="I35" s="73"/>
    </row>
    <row r="36" spans="1:9" s="71" customFormat="1" x14ac:dyDescent="0.2">
      <c r="A36" s="73"/>
      <c r="B36" s="73"/>
      <c r="C36" s="73"/>
      <c r="D36" s="73"/>
      <c r="E36" s="73"/>
      <c r="F36" s="73"/>
      <c r="G36" s="73"/>
      <c r="H36" s="73"/>
      <c r="I36" s="73"/>
    </row>
    <row r="37" spans="1:9" s="71" customFormat="1" x14ac:dyDescent="0.2">
      <c r="A37" s="73"/>
      <c r="B37" s="73"/>
      <c r="C37" s="73"/>
      <c r="D37" s="73"/>
      <c r="E37" s="73"/>
      <c r="F37" s="73"/>
      <c r="G37" s="73"/>
      <c r="H37" s="73"/>
      <c r="I37" s="73"/>
    </row>
    <row r="38" spans="1:9" s="71" customFormat="1" x14ac:dyDescent="0.2">
      <c r="A38" s="73"/>
      <c r="B38" s="73"/>
      <c r="C38" s="73"/>
      <c r="D38" s="73"/>
      <c r="E38" s="73"/>
      <c r="F38" s="73"/>
      <c r="G38" s="73"/>
      <c r="H38" s="73"/>
      <c r="I38" s="73"/>
    </row>
    <row r="39" spans="1:9" s="71" customFormat="1" x14ac:dyDescent="0.2">
      <c r="A39" s="73"/>
      <c r="B39" s="73"/>
      <c r="C39" s="73"/>
      <c r="D39" s="73"/>
      <c r="E39" s="73"/>
      <c r="F39" s="73"/>
      <c r="G39" s="73"/>
      <c r="H39" s="73"/>
      <c r="I39" s="73"/>
    </row>
    <row r="40" spans="1:9" s="71" customFormat="1" x14ac:dyDescent="0.2">
      <c r="A40" s="73"/>
      <c r="B40" s="73"/>
      <c r="C40" s="73"/>
      <c r="D40" s="73"/>
      <c r="E40" s="73"/>
      <c r="F40" s="73"/>
      <c r="G40" s="73"/>
      <c r="H40" s="73"/>
      <c r="I40" s="73"/>
    </row>
    <row r="41" spans="1:9" s="71" customFormat="1" x14ac:dyDescent="0.2">
      <c r="A41" s="73"/>
      <c r="B41" s="73"/>
      <c r="C41" s="73"/>
      <c r="D41" s="73"/>
      <c r="E41" s="73"/>
      <c r="F41" s="73"/>
      <c r="G41" s="73"/>
      <c r="H41" s="73"/>
      <c r="I41" s="73"/>
    </row>
    <row r="42" spans="1:9" s="71" customFormat="1" x14ac:dyDescent="0.2">
      <c r="A42" s="73"/>
      <c r="B42" s="73"/>
      <c r="C42" s="73"/>
      <c r="D42" s="73"/>
      <c r="E42" s="73"/>
      <c r="F42" s="73"/>
      <c r="G42" s="73"/>
      <c r="H42" s="73"/>
      <c r="I42" s="73"/>
    </row>
    <row r="43" spans="1:9" s="71" customFormat="1" x14ac:dyDescent="0.2">
      <c r="A43" s="73"/>
      <c r="B43" s="73"/>
      <c r="C43" s="73"/>
      <c r="D43" s="73"/>
      <c r="E43" s="73"/>
      <c r="F43" s="73"/>
      <c r="G43" s="73"/>
      <c r="H43" s="73"/>
      <c r="I43" s="73"/>
    </row>
    <row r="44" spans="1:9" s="71" customFormat="1" x14ac:dyDescent="0.2">
      <c r="A44" s="73"/>
      <c r="B44" s="73"/>
      <c r="C44" s="73"/>
      <c r="D44" s="73"/>
      <c r="E44" s="73"/>
      <c r="F44" s="73"/>
      <c r="G44" s="73"/>
      <c r="H44" s="73"/>
      <c r="I44" s="73"/>
    </row>
    <row r="45" spans="1:9" s="71" customFormat="1" x14ac:dyDescent="0.2">
      <c r="A45" s="73"/>
      <c r="B45" s="73"/>
      <c r="C45" s="73"/>
      <c r="D45" s="73"/>
      <c r="E45" s="73"/>
      <c r="F45" s="73"/>
      <c r="G45" s="73"/>
      <c r="H45" s="73"/>
      <c r="I45" s="73"/>
    </row>
    <row r="46" spans="1:9" s="71" customFormat="1" x14ac:dyDescent="0.2">
      <c r="A46" s="73"/>
      <c r="B46" s="73"/>
      <c r="C46" s="73"/>
      <c r="D46" s="73"/>
      <c r="E46" s="73"/>
      <c r="F46" s="73"/>
      <c r="G46" s="73"/>
      <c r="H46" s="73"/>
      <c r="I46" s="73"/>
    </row>
    <row r="47" spans="1:9" s="71" customFormat="1" x14ac:dyDescent="0.2">
      <c r="A47" s="73"/>
      <c r="B47" s="73"/>
      <c r="C47" s="73"/>
      <c r="D47" s="73"/>
      <c r="E47" s="73"/>
      <c r="F47" s="73"/>
      <c r="G47" s="73"/>
      <c r="H47" s="73"/>
      <c r="I47" s="73"/>
    </row>
    <row r="48" spans="1:9" s="71" customFormat="1" x14ac:dyDescent="0.2">
      <c r="A48" s="73"/>
      <c r="B48" s="73"/>
      <c r="C48" s="73"/>
      <c r="D48" s="73"/>
      <c r="E48" s="73"/>
      <c r="F48" s="73"/>
      <c r="G48" s="73"/>
      <c r="H48" s="73"/>
      <c r="I48" s="73"/>
    </row>
    <row r="49" spans="1:26" s="71" customFormat="1" x14ac:dyDescent="0.2">
      <c r="A49" s="73"/>
      <c r="B49" s="73"/>
      <c r="C49" s="73"/>
      <c r="D49" s="73"/>
      <c r="E49" s="73"/>
      <c r="F49" s="73"/>
      <c r="G49" s="73"/>
      <c r="H49" s="73"/>
      <c r="I49" s="73"/>
    </row>
    <row r="50" spans="1:26" s="71" customFormat="1" x14ac:dyDescent="0.2">
      <c r="A50" s="73"/>
      <c r="B50" s="73"/>
      <c r="C50" s="73"/>
      <c r="D50" s="73"/>
      <c r="E50" s="73"/>
      <c r="F50" s="73"/>
      <c r="G50" s="73"/>
      <c r="H50" s="73"/>
      <c r="I50" s="73"/>
    </row>
    <row r="51" spans="1:26" s="71" customForma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c r="Y51" s="73"/>
      <c r="Z51" s="73"/>
    </row>
    <row r="52" spans="1:26" s="71" customForma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row>
    <row r="53" spans="1:26" s="71" customForma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c r="Y53" s="73"/>
      <c r="Z53" s="73"/>
    </row>
    <row r="54" spans="1:26" s="71" customForma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c r="Y54" s="73"/>
      <c r="Z54" s="73"/>
    </row>
    <row r="55" spans="1:26" s="71" customForma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c r="Y55" s="73"/>
      <c r="Z55" s="73"/>
    </row>
    <row r="56" spans="1:26" s="71" customForma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c r="Y56" s="73"/>
      <c r="Z56" s="73"/>
    </row>
    <row r="57" spans="1:26" s="71" customForma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c r="Y57" s="73"/>
      <c r="Z57" s="73"/>
    </row>
    <row r="58" spans="1:26" s="71" customForma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c r="Y58" s="73"/>
      <c r="Z58" s="73"/>
    </row>
    <row r="59" spans="1:26" s="71" customForma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spans="1:26" s="71" customForma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c r="Y60" s="73"/>
      <c r="Z60" s="73"/>
    </row>
    <row r="61" spans="1:26" s="71" customForma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c r="Y61" s="73"/>
      <c r="Z61" s="73"/>
    </row>
    <row r="62" spans="1:26" s="71" customForma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s="71" customForma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c r="Y63" s="73"/>
      <c r="Z63" s="73"/>
    </row>
    <row r="64" spans="1:26" s="71" customForma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row>
    <row r="65" spans="1:26" s="71" customForma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row>
    <row r="66" spans="1:26" s="71" customForma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row>
    <row r="67" spans="1:26" s="71" customForma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row>
    <row r="68" spans="1:26" s="71" customForma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c r="Y68" s="73"/>
      <c r="Z68" s="73"/>
    </row>
    <row r="69" spans="1:26" s="71" customForma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c r="Y69" s="73"/>
      <c r="Z69" s="73"/>
    </row>
    <row r="70" spans="1:26" s="71" customForma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c r="Y70" s="73"/>
      <c r="Z70" s="73"/>
    </row>
    <row r="71" spans="1:26" s="71" customForma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c r="Y71" s="73"/>
      <c r="Z71" s="73"/>
    </row>
    <row r="72" spans="1:26" s="71" customForma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c r="Y72" s="73"/>
      <c r="Z72" s="73"/>
    </row>
    <row r="73" spans="1:26" s="71" customForma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c r="Y73" s="73"/>
      <c r="Z73" s="73"/>
    </row>
    <row r="74" spans="1:26" s="71" customForma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c r="Y74" s="73"/>
      <c r="Z74" s="73"/>
    </row>
    <row r="75" spans="1:26" s="71" customForma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c r="Y75" s="73"/>
      <c r="Z75" s="73"/>
    </row>
    <row r="76" spans="1:26" s="71" customForma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c r="Y76" s="73"/>
      <c r="Z76" s="73"/>
    </row>
    <row r="77" spans="1:26" s="71" customForma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c r="Y77" s="73"/>
      <c r="Z77" s="73"/>
    </row>
    <row r="78" spans="1:26" s="71" customForma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c r="Y78" s="73"/>
      <c r="Z78" s="73"/>
    </row>
    <row r="79" spans="1:26" s="71" customForma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c r="Y79" s="73"/>
      <c r="Z79" s="73"/>
    </row>
    <row r="80" spans="1:26" s="71" customForma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c r="Y80" s="73"/>
      <c r="Z80" s="73"/>
    </row>
    <row r="81" spans="1:26" s="71" customForma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c r="Y81" s="73"/>
      <c r="Z81" s="73"/>
    </row>
    <row r="82" spans="1:26" s="71" customForma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c r="Y82" s="73"/>
      <c r="Z82" s="73"/>
    </row>
    <row r="83" spans="1:26" s="71" customFormat="1" x14ac:dyDescent="0.2">
      <c r="A83" s="73"/>
      <c r="B83" s="73"/>
      <c r="C83" s="73"/>
      <c r="D83" s="73"/>
      <c r="E83" s="73"/>
      <c r="F83" s="73"/>
      <c r="G83" s="73"/>
      <c r="H83" s="73"/>
      <c r="I83" s="73"/>
      <c r="J83" s="82"/>
      <c r="K83" s="73"/>
      <c r="L83" s="73"/>
      <c r="M83" s="73"/>
      <c r="N83" s="73"/>
      <c r="O83" s="73"/>
      <c r="P83" s="73"/>
      <c r="Q83" s="73"/>
      <c r="R83" s="73"/>
      <c r="S83" s="73"/>
      <c r="T83" s="73"/>
      <c r="U83" s="73"/>
      <c r="V83" s="73"/>
      <c r="W83" s="73"/>
      <c r="X83" s="73"/>
      <c r="Y83" s="73"/>
      <c r="Z83" s="73"/>
    </row>
    <row r="84" spans="1:26" s="71" customForma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s="71" customForma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spans="1:26" s="71" customForma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s="71" customForma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spans="1:26" s="71" customForma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spans="1:26" s="71" customForma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spans="1:26" s="71" customForma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spans="1:26" s="71" customForma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spans="1:26" s="71" customForma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spans="1:26" s="71" customForma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spans="1:26" s="71" customForma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spans="1:26" s="71" customForma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spans="1:26" s="71" customForma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spans="1:69" s="71" customForma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c r="Y97" s="73"/>
      <c r="Z97" s="73"/>
    </row>
    <row r="98" spans="1:69" s="71" customForma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c r="Y98" s="73"/>
      <c r="Z98" s="73"/>
    </row>
    <row r="99" spans="1:69" s="71" customForma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c r="Y99" s="73"/>
      <c r="Z99" s="73"/>
    </row>
    <row r="100" spans="1:69" s="71" customFormat="1" x14ac:dyDescent="0.2">
      <c r="A100" s="8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spans="1:69" s="71" customFormat="1" ht="15.75" x14ac:dyDescent="0.25">
      <c r="A101" s="84">
        <f ca="1">_LATESTvarPubDate</f>
        <v>45848.653113425928</v>
      </c>
      <c r="B101" s="85" t="str">
        <f>$A$1</f>
        <v>RANDOM LENGTHS LUMBER REPORT</v>
      </c>
      <c r="C101" s="86"/>
      <c r="D101" s="86"/>
      <c r="E101" s="86"/>
      <c r="F101" s="86"/>
      <c r="G101" s="87"/>
      <c r="H101" s="88" t="s">
        <v>7</v>
      </c>
      <c r="J101" s="86"/>
      <c r="K101" s="86"/>
      <c r="L101" s="86"/>
      <c r="M101" s="73"/>
      <c r="N101" s="86"/>
      <c r="P101" s="73"/>
      <c r="Q101" s="73"/>
      <c r="R101" s="89"/>
      <c r="S101" s="90"/>
      <c r="T101" s="73"/>
      <c r="U101" s="73"/>
      <c r="V101" s="73"/>
      <c r="W101" s="73"/>
      <c r="X101" s="73"/>
      <c r="Y101" s="73"/>
      <c r="Z101" s="73"/>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91"/>
      <c r="BB101" s="91"/>
      <c r="BC101" s="74"/>
      <c r="BD101" s="74"/>
      <c r="BE101" s="74"/>
      <c r="BF101" s="74"/>
      <c r="BG101" s="74"/>
      <c r="BH101" s="74"/>
      <c r="BI101" s="74"/>
      <c r="BJ101" s="74"/>
      <c r="BK101" s="74"/>
      <c r="BL101" s="74"/>
      <c r="BM101" s="74"/>
      <c r="BN101" s="74"/>
      <c r="BO101" s="74"/>
      <c r="BP101" s="74"/>
      <c r="BQ101" s="74"/>
    </row>
    <row r="102" spans="1:69" s="71" customFormat="1" ht="15.75" x14ac:dyDescent="0.25">
      <c r="A102" s="92"/>
      <c r="B102" s="85"/>
      <c r="C102" s="73"/>
      <c r="D102" s="73"/>
      <c r="E102" s="73"/>
      <c r="F102" s="73"/>
      <c r="G102" s="73"/>
      <c r="H102" s="73"/>
      <c r="I102" s="86"/>
      <c r="J102" s="86"/>
      <c r="K102" s="86"/>
      <c r="L102" s="86"/>
      <c r="M102" s="73"/>
      <c r="N102" s="86"/>
      <c r="P102" s="73"/>
      <c r="Q102" s="73"/>
      <c r="S102" s="90"/>
      <c r="T102" s="73"/>
      <c r="U102" s="73"/>
      <c r="V102" s="73"/>
      <c r="W102" s="73"/>
      <c r="X102" s="73"/>
      <c r="Y102" s="73"/>
      <c r="Z102" s="73"/>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91"/>
      <c r="BB102" s="91"/>
      <c r="BC102" s="74"/>
      <c r="BD102" s="74"/>
      <c r="BE102" s="74"/>
      <c r="BF102" s="74"/>
      <c r="BG102" s="74"/>
      <c r="BH102" s="74"/>
      <c r="BI102" s="74"/>
      <c r="BJ102" s="74"/>
      <c r="BK102" s="74"/>
      <c r="BL102" s="74"/>
      <c r="BM102" s="74"/>
      <c r="BN102" s="74"/>
      <c r="BO102" s="74"/>
      <c r="BP102" s="74"/>
      <c r="BQ102" s="74"/>
    </row>
    <row r="103" spans="1:69" s="71" customFormat="1" ht="14.25" x14ac:dyDescent="0.2">
      <c r="H103" s="73"/>
      <c r="I103" s="86"/>
      <c r="J103" s="86"/>
      <c r="K103" s="86"/>
      <c r="L103" s="86"/>
      <c r="M103" s="73"/>
      <c r="N103" s="86"/>
      <c r="P103" s="73"/>
      <c r="Q103" s="73"/>
      <c r="R103" s="89"/>
      <c r="S103" s="90"/>
      <c r="T103" s="73"/>
      <c r="U103" s="73"/>
      <c r="V103" s="73"/>
      <c r="W103" s="73"/>
      <c r="X103" s="73"/>
      <c r="Y103" s="73"/>
      <c r="Z103" s="73"/>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Q103" s="74"/>
    </row>
    <row r="104" spans="1:69" s="71" customForma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Q104" s="93"/>
    </row>
    <row r="105" spans="1:69" s="71" customFormat="1" ht="15.75" x14ac:dyDescent="0.25">
      <c r="A105" s="94" t="s">
        <v>8</v>
      </c>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Q105" s="95"/>
    </row>
    <row r="106" spans="1:69" s="71" customFormat="1" x14ac:dyDescent="0.2">
      <c r="A106" s="96" t="s">
        <v>9</v>
      </c>
      <c r="B106" s="73"/>
      <c r="C106" s="73"/>
      <c r="D106" s="73"/>
      <c r="E106" s="73"/>
      <c r="F106" s="73"/>
      <c r="G106" s="73"/>
      <c r="H106" s="73"/>
      <c r="I106" s="73"/>
      <c r="J106" s="73"/>
      <c r="L106" s="97" t="s">
        <v>10</v>
      </c>
      <c r="M106" s="73"/>
      <c r="N106" s="73"/>
      <c r="O106" s="73"/>
      <c r="P106" s="73"/>
      <c r="Q106" s="73"/>
      <c r="T106" s="73"/>
      <c r="U106" s="73"/>
      <c r="V106" s="73"/>
      <c r="W106" s="73"/>
      <c r="X106" s="73"/>
      <c r="Y106" s="73"/>
      <c r="Z106" s="73"/>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Q106" s="95"/>
    </row>
    <row r="107" spans="1:69" s="71" customFormat="1" x14ac:dyDescent="0.2">
      <c r="A107" s="73"/>
      <c r="B107" s="98" t="s">
        <v>11</v>
      </c>
      <c r="C107" s="99" t="s">
        <v>12</v>
      </c>
      <c r="D107" s="100"/>
      <c r="E107" s="101" t="s">
        <v>13</v>
      </c>
      <c r="F107" s="102" t="s">
        <v>14</v>
      </c>
      <c r="G107" s="102"/>
      <c r="I107" s="99" t="s">
        <v>15</v>
      </c>
      <c r="J107" s="99"/>
      <c r="K107" s="100"/>
      <c r="L107" s="98" t="s">
        <v>16</v>
      </c>
      <c r="M107" s="103"/>
      <c r="N107" s="103"/>
      <c r="O107" s="101" t="s">
        <v>17</v>
      </c>
      <c r="P107" s="101"/>
      <c r="Q107" s="103"/>
      <c r="T107" s="73"/>
      <c r="U107" s="73"/>
      <c r="V107" s="73"/>
      <c r="W107" s="73"/>
      <c r="X107" s="73"/>
      <c r="Y107" s="73"/>
      <c r="Z107" s="73"/>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Q107" s="95"/>
    </row>
    <row r="108" spans="1:69" s="71" customFormat="1" x14ac:dyDescent="0.2">
      <c r="A108" s="104" t="s">
        <v>18</v>
      </c>
      <c r="B108" s="101" t="s">
        <v>19</v>
      </c>
      <c r="C108" s="101" t="s">
        <v>20</v>
      </c>
      <c r="D108" s="98" t="s">
        <v>21</v>
      </c>
      <c r="E108" s="101" t="s">
        <v>22</v>
      </c>
      <c r="F108" s="101" t="s">
        <v>23</v>
      </c>
      <c r="G108" s="98" t="s">
        <v>24</v>
      </c>
      <c r="H108" s="98" t="s">
        <v>25</v>
      </c>
      <c r="I108" s="101" t="s">
        <v>26</v>
      </c>
      <c r="J108" s="101" t="s">
        <v>27</v>
      </c>
      <c r="K108" s="101" t="s">
        <v>28</v>
      </c>
      <c r="L108" s="98" t="s">
        <v>29</v>
      </c>
      <c r="M108" s="101" t="s">
        <v>30</v>
      </c>
      <c r="N108" s="101" t="s">
        <v>31</v>
      </c>
      <c r="O108" s="101" t="s">
        <v>32</v>
      </c>
      <c r="P108" s="101" t="s">
        <v>33</v>
      </c>
      <c r="Q108" s="101" t="s">
        <v>34</v>
      </c>
      <c r="R108" s="101" t="s">
        <v>35</v>
      </c>
      <c r="T108" s="73"/>
      <c r="U108" s="73"/>
      <c r="V108" s="73"/>
      <c r="W108" s="73"/>
      <c r="X108" s="73"/>
      <c r="Y108" s="73"/>
      <c r="Z108" s="73"/>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Q108" s="95"/>
    </row>
    <row r="109" spans="1:69" s="71" customFormat="1" x14ac:dyDescent="0.2">
      <c r="A109" s="105" t="s">
        <v>36</v>
      </c>
      <c r="B109" s="106" t="s">
        <v>37</v>
      </c>
      <c r="C109" s="107">
        <f t="array" aca="1" ref="C109" ca="1">_xll.GetPrice("FP-LBR-0241","Actual","Low",_LATESTvarPubDate)</f>
        <v>502</v>
      </c>
      <c r="D109" s="106" t="s">
        <v>37</v>
      </c>
      <c r="E109" s="106" t="s">
        <v>37</v>
      </c>
      <c r="F109" s="107">
        <f t="array" aca="1" ref="F109" ca="1">_xll.GetPrice("FP-LBR-0228","Actual","Low",_LATESTvarPubDate)</f>
        <v>515</v>
      </c>
      <c r="G109" s="108" t="s">
        <v>37</v>
      </c>
      <c r="H109" s="106" t="s">
        <v>37</v>
      </c>
      <c r="I109" s="106" t="s">
        <v>37</v>
      </c>
      <c r="J109" s="106" t="s">
        <v>37</v>
      </c>
      <c r="K109" s="106" t="s">
        <v>37</v>
      </c>
      <c r="L109" s="106" t="s">
        <v>37</v>
      </c>
      <c r="M109" s="106" t="s">
        <v>37</v>
      </c>
      <c r="N109" s="106" t="s">
        <v>37</v>
      </c>
      <c r="O109" s="106" t="s">
        <v>37</v>
      </c>
      <c r="P109" s="106" t="s">
        <v>37</v>
      </c>
      <c r="Q109" s="106" t="s">
        <v>37</v>
      </c>
      <c r="R109" s="106" t="s">
        <v>37</v>
      </c>
      <c r="V109" s="73"/>
      <c r="W109" s="73"/>
      <c r="X109" s="73"/>
      <c r="Y109" s="73"/>
      <c r="Z109" s="73"/>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Q109" s="95"/>
    </row>
    <row r="110" spans="1:69" s="71" customFormat="1" x14ac:dyDescent="0.2">
      <c r="A110" s="105" t="s">
        <v>38</v>
      </c>
      <c r="B110" s="107">
        <f t="array" aca="1" ref="B110" ca="1">_xll.GetPrice("FP-LBR-0149","Actual","Low",_LATESTvarPubDate)</f>
        <v>510</v>
      </c>
      <c r="C110" s="107">
        <f t="array" aca="1" ref="C110" ca="1">_xll.GetPrice("FP-LBR-0242","Actual","Low",_LATESTvarPubDate)</f>
        <v>520</v>
      </c>
      <c r="D110" s="107">
        <f t="array" aca="1" ref="D110" ca="1">_xll.GetPrice("FP-LBR-0258","Actual","Low",_LATESTvarPubDate)</f>
        <v>525</v>
      </c>
      <c r="E110" s="109">
        <f t="array" aca="1" ref="E110" ca="1">_xll.GetPrice("FP-LBR-0162","Actual","Low",_LATESTvarPubDate)</f>
        <v>540</v>
      </c>
      <c r="F110" s="107">
        <f t="array" aca="1" ref="F110" ca="1">_xll.GetPrice("FP-LBR-0229","Actual","Low",_LATESTvarPubDate)</f>
        <v>534</v>
      </c>
      <c r="G110" s="107">
        <f t="array" aca="1" ref="G110" ca="1">_xll.GetPrice("FP-LBR-0268","Actual","Low",_LATESTvarPubDate)</f>
        <v>495</v>
      </c>
      <c r="H110" s="107">
        <f t="array" aca="1" ref="H110" ca="1">_xll.GetPrice("FP-LBR-0254","Actual","Low",_LATESTvarPubDate)</f>
        <v>520</v>
      </c>
      <c r="I110" s="107">
        <f t="array" aca="1" ref="I110" ca="1">_xll.GetPrice("FP-LBR-0304","Actual","Low",_LATESTvarPubDate)</f>
        <v>354</v>
      </c>
      <c r="J110" s="107">
        <f t="array" aca="1" ref="J110" ca="1">_xll.GetPrice("FP-LBR-1996","Actual","Low",_LATESTvarPubDate)</f>
        <v>335</v>
      </c>
      <c r="K110" s="107">
        <f t="array" aca="1" ref="K110" ca="1">_xll.GetPrice("FP-LBR-1980","Actual","Low",_LATESTvarPubDate)</f>
        <v>385</v>
      </c>
      <c r="L110" s="109">
        <f t="array" aca="1" ref="L110" ca="1">_xll.GetPrice("FP-LBR-0403","Actual","Low",_LATESTvarPubDate)</f>
        <v>498</v>
      </c>
      <c r="M110" s="107">
        <f t="array" aca="1" ref="M110" ca="1">_xll.GetPrice("FP-LBR-0515","Actual","Low",_LATESTvarPubDate)</f>
        <v>610</v>
      </c>
      <c r="N110" s="107">
        <f t="array" aca="1" ref="N110" ca="1">_xll.GetPrice("FP-LBR-0525","Actual","Low",_LATESTvarPubDate)</f>
        <v>633</v>
      </c>
      <c r="O110" s="107">
        <f t="array" aca="1" ref="O110" ca="1">_xll.GetPrice("FP-LBR-1212","Actual","Low",_LATESTvarPubDate)</f>
        <v>580</v>
      </c>
      <c r="P110" s="107">
        <f t="array" aca="1" ref="P110" ca="1">_xll.GetPrice("FP-LBR-1218","Actual","Low",_LATESTvarPubDate)</f>
        <v>605</v>
      </c>
      <c r="Q110" s="107">
        <f t="array" aca="1" ref="Q110" ca="1">_xll.GetPrice("FP-LBR-1224","Actual","Low",_LATESTvarPubDate)</f>
        <v>670</v>
      </c>
      <c r="R110" s="107">
        <f t="array" aca="1" ref="R110" ca="1">_xll.GetPrice("FP-LBR-1230","Actual","Low",_LATESTvarPubDate)</f>
        <v>645</v>
      </c>
      <c r="V110" s="73"/>
      <c r="W110" s="73"/>
      <c r="X110" s="73"/>
      <c r="Y110" s="73"/>
      <c r="Z110" s="73"/>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Q110" s="95"/>
    </row>
    <row r="111" spans="1:69" s="71" customFormat="1" x14ac:dyDescent="0.2">
      <c r="A111" s="105" t="s">
        <v>39</v>
      </c>
      <c r="B111" s="107">
        <f t="array" aca="1" ref="B111" ca="1">_xll.GetPrice("FP-LBR-0150","Actual","Low",_LATESTvarPubDate)</f>
        <v>460</v>
      </c>
      <c r="C111" s="107">
        <f t="array" aca="1" ref="C111" ca="1">_xll.GetPrice("FP-LBR-0243","Actual","Low",_LATESTvarPubDate)</f>
        <v>465</v>
      </c>
      <c r="D111" s="107">
        <f t="array" aca="1" ref="D111" ca="1">_xll.GetPrice("FP-LBR-0259","Actual","Low",_LATESTvarPubDate)</f>
        <v>465</v>
      </c>
      <c r="E111" s="107">
        <f t="array" aca="1" ref="E111" ca="1">_xll.GetPrice("FP-LBR-0163","Actual","Low",_LATESTvarPubDate)</f>
        <v>490</v>
      </c>
      <c r="F111" s="107">
        <f t="array" aca="1" ref="F111" ca="1">_xll.GetPrice("FP-LBR-0230","Actual","Low",_LATESTvarPubDate)</f>
        <v>500</v>
      </c>
      <c r="G111" s="107">
        <f t="array" aca="1" ref="G111" ca="1">_xll.GetPrice("FP-LBR-0269","Actual","Low",_LATESTvarPubDate)</f>
        <v>445</v>
      </c>
      <c r="H111" s="107">
        <f t="array" aca="1" ref="H111" ca="1">_xll.GetPrice("FP-LBR-0255","Actual","Low",_LATESTvarPubDate)</f>
        <v>480</v>
      </c>
      <c r="I111" s="107">
        <f t="array" aca="1" ref="I111" ca="1">_xll.GetPrice("FP-LBR-0305","Actual","Low",_LATESTvarPubDate)</f>
        <v>299</v>
      </c>
      <c r="J111" s="107">
        <f t="array" aca="1" ref="J111" ca="1">_xll.GetPrice("FP-LBR-1997","Actual","Low",_LATESTvarPubDate)</f>
        <v>295</v>
      </c>
      <c r="K111" s="107">
        <f t="array" aca="1" ref="K111" ca="1">_xll.GetPrice("FP-LBR-1981","Actual","Low",_LATESTvarPubDate)</f>
        <v>313</v>
      </c>
      <c r="L111" s="109">
        <f t="array" aca="1" ref="L111" ca="1">_xll.GetPrice("FP-LBR-0404","Actual","Low",_LATESTvarPubDate)</f>
        <v>400</v>
      </c>
      <c r="M111" s="107">
        <f t="array" aca="1" ref="M111" ca="1">_xll.GetPrice("FP-LBR-0516","Actual","Low",_LATESTvarPubDate)</f>
        <v>516</v>
      </c>
      <c r="N111" s="107">
        <f t="array" aca="1" ref="N111" ca="1">_xll.GetPrice("FP-LBR-0526","Actual","Low",_LATESTvarPubDate)</f>
        <v>540</v>
      </c>
      <c r="O111" s="107">
        <f t="array" aca="1" ref="O111" ca="1">_xll.GetPrice("FP-LBR-1213","Actual","Low",_LATESTvarPubDate)</f>
        <v>515</v>
      </c>
      <c r="P111" s="107">
        <f t="array" aca="1" ref="P111" ca="1">_xll.GetPrice("FP-LBR-1219","Actual","Low",_LATESTvarPubDate)</f>
        <v>510</v>
      </c>
      <c r="Q111" s="107">
        <f t="array" aca="1" ref="Q111" ca="1">_xll.GetPrice("FP-LBR-1225","Actual","Low",_LATESTvarPubDate)</f>
        <v>610</v>
      </c>
      <c r="R111" s="107">
        <f t="array" aca="1" ref="R111" ca="1">_xll.GetPrice("FP-LBR-1231","Actual","Low",_LATESTvarPubDate)</f>
        <v>590</v>
      </c>
      <c r="T111" s="73"/>
      <c r="U111" s="73"/>
      <c r="V111" s="73"/>
      <c r="W111" s="73"/>
      <c r="X111" s="73"/>
      <c r="Y111" s="73"/>
      <c r="Z111" s="73"/>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Q111" s="95"/>
    </row>
    <row r="112" spans="1:69" s="71" customFormat="1" x14ac:dyDescent="0.2">
      <c r="A112" s="105" t="s">
        <v>40</v>
      </c>
      <c r="B112" s="107">
        <f t="array" aca="1" ref="B112" ca="1">_xll.GetPrice("FP-LBR-0151","Actual","Low",_LATESTvarPubDate)</f>
        <v>395</v>
      </c>
      <c r="C112" s="107">
        <f t="array" aca="1" ref="C112" ca="1">_xll.GetPrice("FP-LBR-0244","Actual","Low",_LATESTvarPubDate)</f>
        <v>420</v>
      </c>
      <c r="D112" s="107">
        <f t="array" aca="1" ref="D112" ca="1">_xll.GetPrice("FP-LBR-0260","Actual","Low",_LATESTvarPubDate)</f>
        <v>405</v>
      </c>
      <c r="E112" s="107">
        <f t="array" aca="1" ref="E112" ca="1">_xll.GetPrice("FP-LBR-0164","Actual","Low",_LATESTvarPubDate)</f>
        <v>480</v>
      </c>
      <c r="F112" s="107">
        <f t="array" aca="1" ref="F112" ca="1">_xll.GetPrice("FP-LBR-0231","Actual","Low",_LATESTvarPubDate)</f>
        <v>495</v>
      </c>
      <c r="G112" s="107">
        <f t="array" aca="1" ref="G112" ca="1">_xll.GetPrice("FP-LBR-0270","Actual","Low",_LATESTvarPubDate)</f>
        <v>430</v>
      </c>
      <c r="H112" s="106" t="s">
        <v>37</v>
      </c>
      <c r="I112" s="107">
        <f t="array" aca="1" ref="I112" ca="1">_xll.GetPrice("FP-LBR-0306","Actual","Low",_LATESTvarPubDate)</f>
        <v>315</v>
      </c>
      <c r="J112" s="107">
        <f t="array" aca="1" ref="J112" ca="1">_xll.GetPrice("FP-LBR-1998","Actual","Low",_LATESTvarPubDate)</f>
        <v>290</v>
      </c>
      <c r="K112" s="107">
        <f t="array" aca="1" ref="K112" ca="1">_xll.GetPrice("FP-LBR-1982","Actual","Low",_LATESTvarPubDate)</f>
        <v>313</v>
      </c>
      <c r="L112" s="109">
        <f t="array" aca="1" ref="L112" ca="1">_xll.GetPrice("FP-LBR-0405","Actual","Low",_LATESTvarPubDate)</f>
        <v>388</v>
      </c>
      <c r="M112" s="107">
        <f t="array" aca="1" ref="M112" ca="1">_xll.GetPrice("FP-LBR-0517","Actual","Low",_LATESTvarPubDate)</f>
        <v>500</v>
      </c>
      <c r="N112" s="107">
        <f t="array" aca="1" ref="N112" ca="1">_xll.GetPrice("FP-LBR-0527","Actual","Low",_LATESTvarPubDate)</f>
        <v>523</v>
      </c>
      <c r="O112" s="107">
        <f t="array" aca="1" ref="O112" ca="1">_xll.GetPrice("FP-LBR-1214","Actual","Low",_LATESTvarPubDate)</f>
        <v>495</v>
      </c>
      <c r="P112" s="107">
        <f t="array" aca="1" ref="P112" ca="1">_xll.GetPrice("FP-LBR-1220","Actual","Low",_LATESTvarPubDate)</f>
        <v>505</v>
      </c>
      <c r="Q112" s="107">
        <f t="array" aca="1" ref="Q112" ca="1">_xll.GetPrice("FP-LBR-1226","Actual","Low",_LATESTvarPubDate)</f>
        <v>600</v>
      </c>
      <c r="R112" s="107">
        <f t="array" aca="1" ref="R112" ca="1">_xll.GetPrice("FP-LBR-1232","Actual","Low",_LATESTvarPubDate)</f>
        <v>590</v>
      </c>
      <c r="T112" s="73"/>
      <c r="U112" s="73"/>
      <c r="V112" s="73"/>
      <c r="W112" s="73"/>
      <c r="X112" s="73"/>
      <c r="Y112" s="73"/>
      <c r="Z112" s="73"/>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Q112" s="95"/>
    </row>
    <row r="113" spans="1:69" s="71" customFormat="1" x14ac:dyDescent="0.2">
      <c r="A113" s="105" t="s">
        <v>41</v>
      </c>
      <c r="B113" s="107">
        <f t="array" aca="1" ref="B113" ca="1">_xll.GetPrice("FP-LBR-0152","Actual","Low",_LATESTvarPubDate)</f>
        <v>400</v>
      </c>
      <c r="C113" s="107">
        <f t="array" aca="1" ref="C113" ca="1">_xll.GetPrice("FP-LBR-0245","Actual","Low",_LATESTvarPubDate)</f>
        <v>430</v>
      </c>
      <c r="D113" s="107">
        <f t="array" aca="1" ref="D113" ca="1">_xll.GetPrice("FP-LBR-0261","Actual","Low",_LATESTvarPubDate)</f>
        <v>425</v>
      </c>
      <c r="E113" s="107">
        <f t="array" aca="1" ref="E113" ca="1">_xll.GetPrice("FP-LBR-0165","Actual","Low",_LATESTvarPubDate)</f>
        <v>640</v>
      </c>
      <c r="F113" s="107">
        <f t="array" aca="1" ref="F113" ca="1">_xll.GetPrice("FP-LBR-0232","Actual","Low",_LATESTvarPubDate)</f>
        <v>638</v>
      </c>
      <c r="G113" s="107">
        <f t="array" aca="1" ref="G113" ca="1">_xll.GetPrice("FP-LBR-0271","Actual","Low",_LATESTvarPubDate)</f>
        <v>622</v>
      </c>
      <c r="H113" s="106" t="s">
        <v>37</v>
      </c>
      <c r="I113" s="107">
        <f t="array" aca="1" ref="I113" ca="1">_xll.GetPrice("FP-LBR-0307","Actual","Low",_LATESTvarPubDate)</f>
        <v>289</v>
      </c>
      <c r="J113" s="107">
        <f t="array" aca="1" ref="J113" ca="1">_xll.GetPrice("FP-LBR-1999","Actual","Low",_LATESTvarPubDate)</f>
        <v>285</v>
      </c>
      <c r="K113" s="107">
        <f t="array" aca="1" ref="K113" ca="1">_xll.GetPrice("FP-LBR-1983","Actual","Low",_LATESTvarPubDate)</f>
        <v>340</v>
      </c>
      <c r="L113" s="109">
        <f t="array" aca="1" ref="L113" ca="1">_xll.GetPrice("FP-LBR-0406","Actual","Low",_LATESTvarPubDate)</f>
        <v>443</v>
      </c>
      <c r="M113" s="107">
        <f t="array" aca="1" ref="M113" ca="1">_xll.GetPrice("FP-LBR-0518","Actual","Low",_LATESTvarPubDate)</f>
        <v>569</v>
      </c>
      <c r="N113" s="107">
        <f t="array" aca="1" ref="N113" ca="1">_xll.GetPrice("FP-LBR-0528","Actual","Low",_LATESTvarPubDate)</f>
        <v>593</v>
      </c>
      <c r="O113" s="107">
        <f t="array" aca="1" ref="O113" ca="1">_xll.GetPrice("FP-LBR-1215","Actual","Low",_LATESTvarPubDate)</f>
        <v>575</v>
      </c>
      <c r="P113" s="107">
        <f t="array" aca="1" ref="P113" ca="1">_xll.GetPrice("FP-LBR-1221","Actual","Low",_LATESTvarPubDate)</f>
        <v>590</v>
      </c>
      <c r="Q113" s="107">
        <f t="array" aca="1" ref="Q113" ca="1">_xll.GetPrice("FP-LBR-1227","Actual","Low",_LATESTvarPubDate)</f>
        <v>730</v>
      </c>
      <c r="R113" s="107">
        <f t="array" aca="1" ref="R113" ca="1">_xll.GetPrice("FP-LBR-1233","Actual","Low",_LATESTvarPubDate)</f>
        <v>745</v>
      </c>
      <c r="T113" s="73"/>
      <c r="U113" s="73"/>
      <c r="V113" s="73"/>
      <c r="W113" s="73"/>
      <c r="X113" s="73"/>
      <c r="Y113" s="73"/>
      <c r="Z113" s="73"/>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Q113" s="95"/>
    </row>
    <row r="114" spans="1:69" s="71" customFormat="1" x14ac:dyDescent="0.2">
      <c r="A114" s="105" t="s">
        <v>42</v>
      </c>
      <c r="B114" s="107">
        <f t="array" aca="1" ref="B114" ca="1">_xll.GetPrice("FP-LBR-0153","Actual","Low",_LATESTvarPubDate)</f>
        <v>405</v>
      </c>
      <c r="C114" s="107">
        <f t="array" aca="1" ref="C114" ca="1">_xll.GetPrice("FP-LBR-0246","Actual","Low",_LATESTvarPubDate)</f>
        <v>410</v>
      </c>
      <c r="D114" s="107">
        <f t="array" aca="1" ref="D114" ca="1">_xll.GetPrice("FP-LBR-0262","Actual","Low",_LATESTvarPubDate)</f>
        <v>420</v>
      </c>
      <c r="E114" s="107">
        <f t="array" aca="1" ref="E114" ca="1">_xll.GetPrice("FP-LBR-0166","Actual","Low",_LATESTvarPubDate)</f>
        <v>560</v>
      </c>
      <c r="F114" s="107">
        <f t="array" aca="1" ref="F114" ca="1">_xll.GetPrice("FP-LBR-0233","Actual","Low",_LATESTvarPubDate)</f>
        <v>565</v>
      </c>
      <c r="G114" s="107">
        <f t="array" aca="1" ref="G114" ca="1">_xll.GetPrice("FP-LBR-0272","Actual","Low",_LATESTvarPubDate)</f>
        <v>610</v>
      </c>
      <c r="H114" s="106" t="s">
        <v>37</v>
      </c>
      <c r="I114" s="107">
        <f t="array" aca="1" ref="I114" ca="1">_xll.GetPrice("FP-LBR-0308","Actual","Low",_LATESTvarPubDate)</f>
        <v>339</v>
      </c>
      <c r="J114" s="107">
        <f t="array" aca="1" ref="J114" ca="1">_xll.GetPrice("FP-LBR-2000","Actual","Low",_LATESTvarPubDate)</f>
        <v>335</v>
      </c>
      <c r="K114" s="107">
        <f t="array" aca="1" ref="K114" ca="1">_xll.GetPrice("FP-LBR-1984","Actual","Low",_LATESTvarPubDate)</f>
        <v>350</v>
      </c>
      <c r="L114" s="109">
        <f t="array" aca="1" ref="L114" ca="1">_xll.GetPrice("FP-LBR-0407","Actual","Low",_LATESTvarPubDate)</f>
        <v>585</v>
      </c>
      <c r="M114" s="107">
        <f t="array" aca="1" ref="M114" ca="1">_xll.GetPrice("FP-LBR-0519","Actual","Low",_LATESTvarPubDate)</f>
        <v>717</v>
      </c>
      <c r="N114" s="107">
        <f t="array" aca="1" ref="N114" ca="1">_xll.GetPrice("FP-LBR-0529","Actual","Low",_LATESTvarPubDate)</f>
        <v>739</v>
      </c>
      <c r="O114" s="106" t="s">
        <v>37</v>
      </c>
      <c r="P114" s="106" t="s">
        <v>37</v>
      </c>
      <c r="Q114" s="106" t="s">
        <v>37</v>
      </c>
      <c r="R114" s="106" t="s">
        <v>37</v>
      </c>
      <c r="T114" s="73"/>
      <c r="U114" s="73"/>
      <c r="V114" s="73"/>
      <c r="W114" s="73"/>
      <c r="X114" s="73"/>
      <c r="Y114" s="73"/>
      <c r="Z114" s="73"/>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Q114" s="95"/>
    </row>
    <row r="115" spans="1:69" s="71" customFormat="1" x14ac:dyDescent="0.2">
      <c r="A115" s="105" t="s">
        <v>43</v>
      </c>
      <c r="B115" s="107">
        <f t="array" aca="1" ref="B115" ca="1">_xll.GetPrice("FP-LBR-0154","Actual","Low",_LATESTvarPubDate)</f>
        <v>320</v>
      </c>
      <c r="C115" s="107">
        <f t="array" aca="1" ref="C115" ca="1">_xll.GetPrice("FP-LBR-0247","Actual","Low",_LATESTvarPubDate)</f>
        <v>340</v>
      </c>
      <c r="D115" s="107">
        <f t="array" aca="1" ref="D115" ca="1">_xll.GetPrice("FP-LBR-0263","Actual","Low",_LATESTvarPubDate)</f>
        <v>340</v>
      </c>
      <c r="E115" s="107">
        <f t="array" aca="1" ref="E115" ca="1">_xll.GetPrice("FP-LBR-0167","Actual","Low",_LATESTvarPubDate)</f>
        <v>340</v>
      </c>
      <c r="F115" s="107">
        <f t="array" aca="1" ref="F115" ca="1">_xll.GetPrice("FP-LBR-0234","Actual","Low",_LATESTvarPubDate)</f>
        <v>345</v>
      </c>
      <c r="G115" s="108" t="s">
        <v>37</v>
      </c>
      <c r="H115" s="107">
        <f t="array" aca="1" ref="H115" ca="1">_xll.GetPrice("FP-LBR-0256","Actual","Low",_LATESTvarPubDate)</f>
        <v>385</v>
      </c>
      <c r="I115" s="107">
        <f t="array" aca="1" ref="I115" ca="1">_xll.GetPrice("FP-LBR-0309","Actual","Low",_LATESTvarPubDate)</f>
        <v>302</v>
      </c>
      <c r="J115" s="107">
        <f t="array" aca="1" ref="J115" ca="1">_xll.GetPrice("FP-LBR-2006","Actual","Low",_LATESTvarPubDate)</f>
        <v>275</v>
      </c>
      <c r="K115" s="107">
        <f t="array" aca="1" ref="K115" ca="1">_xll.GetPrice("FP-LBR-1986","Actual","Low",_LATESTvarPubDate)</f>
        <v>310</v>
      </c>
      <c r="L115" s="109">
        <f t="array" aca="1" ref="L115" ca="1">_xll.GetPrice("FP-LBR-0408","Actual","Low",_LATESTvarPubDate)</f>
        <v>330</v>
      </c>
      <c r="M115" s="107">
        <f t="array" aca="1" ref="M115" ca="1">_xll.GetPrice("FP-LBR-0520","Actual","Low",_LATESTvarPubDate)</f>
        <v>442</v>
      </c>
      <c r="N115" s="107">
        <f t="array" aca="1" ref="N115" ca="1">_xll.GetPrice("FP-LBR-0530","Actual","Low",_LATESTvarPubDate)</f>
        <v>465</v>
      </c>
      <c r="O115" s="107">
        <f t="array" aca="1" ref="O115" ca="1">_xll.GetPrice("FP-LBR-1216","Actual","Low",_LATESTvarPubDate)</f>
        <v>405</v>
      </c>
      <c r="P115" s="107">
        <f t="array" aca="1" ref="P115" ca="1">_xll.GetPrice("FP-LBR-1222","Actual","Low",_LATESTvarPubDate)</f>
        <v>405</v>
      </c>
      <c r="Q115" s="107">
        <f t="array" aca="1" ref="Q115" ca="1">_xll.GetPrice("FP-LBR-1228","Actual","Low",_LATESTvarPubDate)</f>
        <v>455</v>
      </c>
      <c r="R115" s="107">
        <f t="array" aca="1" ref="R115" ca="1">_xll.GetPrice("FP-LBR-1234","Actual","Low",_LATESTvarPubDate)</f>
        <v>445</v>
      </c>
      <c r="U115" s="73"/>
      <c r="V115" s="73"/>
      <c r="W115" s="73"/>
      <c r="X115" s="73"/>
      <c r="Y115" s="73"/>
      <c r="Z115" s="73"/>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Q115" s="95"/>
    </row>
    <row r="116" spans="1:69" s="71" customFormat="1" x14ac:dyDescent="0.2">
      <c r="A116" s="105" t="s">
        <v>44</v>
      </c>
      <c r="B116" s="107">
        <f t="array" aca="1" ref="B116" ca="1">_xll.GetPrice("FP-LBR-0155","Actual","Low",_LATESTvarPubDate)</f>
        <v>215</v>
      </c>
      <c r="C116" s="107">
        <f t="array" aca="1" ref="C116" ca="1">_xll.GetPrice("FP-LBR-0248","Actual","Low",_LATESTvarPubDate)</f>
        <v>285</v>
      </c>
      <c r="D116" s="107">
        <f t="array" aca="1" ref="D116" ca="1">_xll.GetPrice("FP-LBR-0264","Actual","Low",_LATESTvarPubDate)</f>
        <v>265</v>
      </c>
      <c r="E116" s="107">
        <f t="array" aca="1" ref="E116" ca="1">_xll.GetPrice("FP-LBR-0168","Actual","Low",_LATESTvarPubDate)</f>
        <v>300</v>
      </c>
      <c r="F116" s="107">
        <f t="array" aca="1" ref="F116" ca="1">_xll.GetPrice("FP-LBR-0235","Actual","Low",_LATESTvarPubDate)</f>
        <v>285</v>
      </c>
      <c r="G116" s="108" t="s">
        <v>37</v>
      </c>
      <c r="H116" s="107">
        <f t="array" aca="1" ref="H116" ca="1">_xll.GetPrice("FP-LBR-0257","Actual","Low",_LATESTvarPubDate)</f>
        <v>275</v>
      </c>
      <c r="I116" s="107">
        <f t="array" aca="1" ref="I116" ca="1">_xll.GetPrice("FP-LBR-0310","Actual","Low",_LATESTvarPubDate)</f>
        <v>216</v>
      </c>
      <c r="J116" s="107">
        <f t="array" aca="1" ref="J116" ca="1">_xll.GetPrice("FP-LBR-2007","Actual","Low",_LATESTvarPubDate)</f>
        <v>210</v>
      </c>
      <c r="K116" s="107">
        <f t="array" aca="1" ref="K116" ca="1">_xll.GetPrice("FP-LBR-1987","Actual","Low",_LATESTvarPubDate)</f>
        <v>225</v>
      </c>
      <c r="L116" s="109">
        <f t="array" aca="1" ref="L116" ca="1">_xll.GetPrice("FP-LBR-0409","Actual","Low",_LATESTvarPubDate)</f>
        <v>240</v>
      </c>
      <c r="M116" s="107">
        <f t="array" aca="1" ref="M116" ca="1">_xll.GetPrice("FP-LBR-0521","Actual","Low",_LATESTvarPubDate)</f>
        <v>356</v>
      </c>
      <c r="N116" s="107">
        <f t="array" aca="1" ref="N116" ca="1">_xll.GetPrice("FP-LBR-0531","Actual","Low",_LATESTvarPubDate)</f>
        <v>380</v>
      </c>
      <c r="O116" s="107">
        <f t="array" aca="1" ref="O116" ca="1">_xll.GetPrice("FP-LBR-1217","Actual","Low",_LATESTvarPubDate)</f>
        <v>335</v>
      </c>
      <c r="P116" s="107">
        <f t="array" aca="1" ref="P116" ca="1">_xll.GetPrice("FP-LBR-1223","Actual","Low",_LATESTvarPubDate)</f>
        <v>360</v>
      </c>
      <c r="Q116" s="107">
        <f t="array" aca="1" ref="Q116" ca="1">_xll.GetPrice("FP-LBR-1229","Actual","Low",_LATESTvarPubDate)</f>
        <v>425</v>
      </c>
      <c r="R116" s="107">
        <f t="array" aca="1" ref="R116" ca="1">_xll.GetPrice("FP-LBR-1235","Actual","Low",_LATESTvarPubDate)</f>
        <v>410</v>
      </c>
      <c r="T116" s="73"/>
      <c r="V116" s="73"/>
      <c r="W116" s="73"/>
      <c r="X116" s="73"/>
      <c r="Y116" s="73"/>
      <c r="Z116" s="73"/>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Q116" s="95"/>
    </row>
    <row r="117" spans="1:69" s="71" customFormat="1" x14ac:dyDescent="0.2">
      <c r="A117" s="105" t="s">
        <v>40</v>
      </c>
      <c r="B117" s="107">
        <f t="array" aca="1" ref="B117" ca="1">_xll.GetPrice("FP-LBR-0156","Actual","Low",_LATESTvarPubDate)</f>
        <v>160</v>
      </c>
      <c r="C117" s="107">
        <f t="array" aca="1" ref="C117" ca="1">_xll.GetPrice("FP-LBR-0249","Actual","Low",_LATESTvarPubDate)</f>
        <v>205</v>
      </c>
      <c r="D117" s="107">
        <f t="array" aca="1" ref="D117" ca="1">_xll.GetPrice("FP-LBR-0265","Actual","Low",_LATESTvarPubDate)</f>
        <v>215</v>
      </c>
      <c r="E117" s="107">
        <f t="array" aca="1" ref="E117" ca="1">_xll.GetPrice("FP-LBR-0169","Actual","Low",_LATESTvarPubDate)</f>
        <v>205</v>
      </c>
      <c r="F117" s="107">
        <f t="array" aca="1" ref="F117" ca="1">_xll.GetPrice("FP-LBR-0236","Actual","Low",_LATESTvarPubDate)</f>
        <v>205</v>
      </c>
      <c r="G117" s="108" t="s">
        <v>37</v>
      </c>
      <c r="H117" s="106" t="s">
        <v>37</v>
      </c>
      <c r="I117" s="107">
        <f t="array" aca="1" ref="I117" ca="1">_xll.GetPrice("FP-LBR-0311","Actual","Low",_LATESTvarPubDate)</f>
        <v>225</v>
      </c>
      <c r="J117" s="107">
        <f t="array" aca="1" ref="J117" ca="1">_xll.GetPrice("FP-LBR-2008","Actual","Low",_LATESTvarPubDate)</f>
        <v>240</v>
      </c>
      <c r="K117" s="107">
        <f t="array" aca="1" ref="K117" ca="1">_xll.GetPrice("FP-LBR-1988","Actual","Low",_LATESTvarPubDate)</f>
        <v>240</v>
      </c>
      <c r="L117" s="109">
        <f t="array" aca="1" ref="L117" ca="1">_xll.GetPrice("FP-LBR-0410","Actual","Low",_LATESTvarPubDate)</f>
        <v>260</v>
      </c>
      <c r="M117" s="107">
        <f t="array" aca="1" ref="M117" ca="1">_xll.GetPrice("FP-LBR-0522","Actual","Low",_LATESTvarPubDate)</f>
        <v>372</v>
      </c>
      <c r="N117" s="107">
        <f t="array" aca="1" ref="N117" ca="1">_xll.GetPrice("FP-LBR-0532","Actual","Low",_LATESTvarPubDate)</f>
        <v>395</v>
      </c>
      <c r="O117" s="106" t="s">
        <v>37</v>
      </c>
      <c r="P117" s="106" t="s">
        <v>37</v>
      </c>
      <c r="Q117" s="106" t="s">
        <v>37</v>
      </c>
      <c r="R117" s="106" t="s">
        <v>37</v>
      </c>
      <c r="T117" s="73"/>
      <c r="U117" s="73"/>
      <c r="V117" s="73"/>
      <c r="W117" s="73"/>
      <c r="X117" s="73"/>
      <c r="Y117" s="73"/>
      <c r="Z117" s="73"/>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Q117" s="95"/>
    </row>
    <row r="118" spans="1:69" s="71" customFormat="1" x14ac:dyDescent="0.2">
      <c r="A118" s="105" t="s">
        <v>41</v>
      </c>
      <c r="B118" s="107">
        <f t="array" aca="1" ref="B118" ca="1">_xll.GetPrice("FP-LBR-0157","Actual","Low",_LATESTvarPubDate)</f>
        <v>160</v>
      </c>
      <c r="C118" s="107">
        <f t="array" aca="1" ref="C118" ca="1">_xll.GetPrice("FP-LBR-0250","Actual","Low",_LATESTvarPubDate)</f>
        <v>205</v>
      </c>
      <c r="D118" s="107">
        <f t="array" aca="1" ref="D118" ca="1">_xll.GetPrice("FP-LBR-0266","Actual","Low",_LATESTvarPubDate)</f>
        <v>215</v>
      </c>
      <c r="E118" s="107">
        <f t="array" aca="1" ref="E118" ca="1">_xll.GetPrice("FP-LBR-0170","Actual","Low",_LATESTvarPubDate)</f>
        <v>205</v>
      </c>
      <c r="F118" s="107">
        <f t="array" aca="1" ref="F118" ca="1">_xll.GetPrice("FP-LBR-0237","Actual","Low",_LATESTvarPubDate)</f>
        <v>205</v>
      </c>
      <c r="G118" s="108" t="s">
        <v>37</v>
      </c>
      <c r="H118" s="106" t="s">
        <v>37</v>
      </c>
      <c r="I118" s="107">
        <f t="array" aca="1" ref="I118" ca="1">_xll.GetPrice("FP-LBR-0312","Actual","Low",_LATESTvarPubDate)</f>
        <v>215</v>
      </c>
      <c r="J118" s="107">
        <f t="array" aca="1" ref="J118" ca="1">_xll.GetPrice("FP-LBR-2009","Actual","Low",_LATESTvarPubDate)</f>
        <v>235</v>
      </c>
      <c r="K118" s="107">
        <f t="array" aca="1" ref="K118" ca="1">_xll.GetPrice("FP-LBR-1989","Actual","Low",_LATESTvarPubDate)</f>
        <v>250</v>
      </c>
      <c r="L118" s="109">
        <f t="array" aca="1" ref="L118" ca="1">_xll.GetPrice("FP-LBR-0411","Actual","Low",_LATESTvarPubDate)</f>
        <v>265</v>
      </c>
      <c r="M118" s="107">
        <f t="array" aca="1" ref="M118" ca="1">_xll.GetPrice("FP-LBR-0523","Actual","Low",_LATESTvarPubDate)</f>
        <v>391</v>
      </c>
      <c r="N118" s="107">
        <f t="array" aca="1" ref="N118" ca="1">_xll.GetPrice("FP-LBR-0533","Actual","Low",_LATESTvarPubDate)</f>
        <v>415</v>
      </c>
      <c r="O118" s="106" t="s">
        <v>37</v>
      </c>
      <c r="P118" s="106" t="s">
        <v>37</v>
      </c>
      <c r="Q118" s="106" t="s">
        <v>37</v>
      </c>
      <c r="R118" s="106" t="s">
        <v>37</v>
      </c>
      <c r="T118" s="73"/>
      <c r="U118" s="73"/>
      <c r="V118" s="73"/>
      <c r="W118" s="73"/>
      <c r="X118" s="73"/>
      <c r="Y118" s="73"/>
      <c r="Z118" s="73"/>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Q118" s="95"/>
    </row>
    <row r="119" spans="1:69" s="71" customFormat="1" x14ac:dyDescent="0.2">
      <c r="A119" s="105" t="s">
        <v>42</v>
      </c>
      <c r="B119" s="107">
        <f t="array" aca="1" ref="B119" ca="1">_xll.GetPrice("FP-LBR-0158","Actual","Low",_LATESTvarPubDate)</f>
        <v>165</v>
      </c>
      <c r="C119" s="107">
        <f t="array" aca="1" ref="C119" ca="1">_xll.GetPrice("FP-LBR-0251","Actual","Low",_LATESTvarPubDate)</f>
        <v>205</v>
      </c>
      <c r="D119" s="107">
        <f t="array" aca="1" ref="D119" ca="1">_xll.GetPrice("FP-LBR-0267","Actual","Low",_LATESTvarPubDate)</f>
        <v>215</v>
      </c>
      <c r="E119" s="107">
        <f t="array" aca="1" ref="E119" ca="1">_xll.GetPrice("FP-LBR-0171","Actual","Low",_LATESTvarPubDate)</f>
        <v>215</v>
      </c>
      <c r="F119" s="107">
        <f t="array" aca="1" ref="F119" ca="1">_xll.GetPrice("FP-LBR-0238","Actual","Low",_LATESTvarPubDate)</f>
        <v>205</v>
      </c>
      <c r="G119" s="108" t="s">
        <v>37</v>
      </c>
      <c r="H119" s="106" t="s">
        <v>37</v>
      </c>
      <c r="I119" s="107">
        <f t="array" aca="1" ref="I119" ca="1">_xll.GetPrice("FP-LBR-0313","Actual","Low",_LATESTvarPubDate)</f>
        <v>240</v>
      </c>
      <c r="J119" s="107">
        <f t="array" aca="1" ref="J119" ca="1">_xll.GetPrice("FP-LBR-2010","Actual","Low",_LATESTvarPubDate)</f>
        <v>255</v>
      </c>
      <c r="K119" s="107">
        <f t="array" aca="1" ref="K119" ca="1">_xll.GetPrice("FP-LBR-1990","Actual","Low",_LATESTvarPubDate)</f>
        <v>265</v>
      </c>
      <c r="L119" s="109">
        <f t="array" aca="1" ref="L119" ca="1">_xll.GetPrice("FP-LBR-0412","Actual","Low",_LATESTvarPubDate)</f>
        <v>260</v>
      </c>
      <c r="M119" s="107">
        <f t="array" aca="1" ref="M119" ca="1">_xll.GetPrice("FP-LBR-0524","Actual","Low",_LATESTvarPubDate)</f>
        <v>392</v>
      </c>
      <c r="N119" s="107">
        <f t="array" aca="1" ref="N119" ca="1">_xll.GetPrice("FP-LBR-0534","Actual","Low",_LATESTvarPubDate)</f>
        <v>414</v>
      </c>
      <c r="O119" s="106" t="s">
        <v>37</v>
      </c>
      <c r="P119" s="106" t="s">
        <v>37</v>
      </c>
      <c r="Q119" s="106" t="s">
        <v>37</v>
      </c>
      <c r="R119" s="106" t="s">
        <v>37</v>
      </c>
      <c r="T119" s="73"/>
      <c r="U119" s="73"/>
      <c r="V119" s="73"/>
      <c r="W119" s="73"/>
      <c r="X119" s="73"/>
      <c r="Y119" s="73"/>
      <c r="Z119" s="73"/>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Q119" s="95"/>
    </row>
    <row r="120" spans="1:69" s="71" customFormat="1" x14ac:dyDescent="0.2">
      <c r="A120" s="110" t="s">
        <v>45</v>
      </c>
      <c r="D120" s="107">
        <f t="array" aca="1" ref="D120" ca="1">_xll.GetPrice("FP-LBR-0901","Actual","Low",_LATESTvarPubDate)</f>
        <v>10</v>
      </c>
      <c r="E120" s="107">
        <f t="array" aca="1" ref="E120" ca="1">_xll.GetPrice("FP-LBR-0901","Actual","High",_LATESTvarPubDate)</f>
        <v>15</v>
      </c>
      <c r="T120" s="73"/>
      <c r="U120" s="73"/>
      <c r="V120" s="73"/>
      <c r="W120" s="73"/>
      <c r="X120" s="73"/>
      <c r="Y120" s="73"/>
      <c r="Z120" s="73"/>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Q120" s="95"/>
    </row>
    <row r="121" spans="1:69" s="71" customFormat="1" x14ac:dyDescent="0.2">
      <c r="A121" s="111" t="s">
        <v>46</v>
      </c>
      <c r="D121" s="107">
        <f t="array" aca="1" ref="D121" ca="1">_xll.GetPrice("FP-LBR-0432","Actual","Low",_LATESTvarPubDate)</f>
        <v>855</v>
      </c>
      <c r="S121" s="73"/>
      <c r="T121" s="73"/>
      <c r="U121" s="73"/>
      <c r="V121" s="73"/>
      <c r="W121" s="73"/>
      <c r="X121" s="73"/>
      <c r="Y121" s="73"/>
      <c r="Z121" s="73"/>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O121" s="95"/>
      <c r="BP121" s="95"/>
      <c r="BQ121" s="95"/>
    </row>
    <row r="122" spans="1:69" s="71" customFormat="1" x14ac:dyDescent="0.2">
      <c r="A122" s="111" t="s">
        <v>359</v>
      </c>
      <c r="D122" s="107" cm="1">
        <f t="array" aca="1" ref="D122" ca="1">_xll.GetPrice("FP-LBR-2237","Actual","Low",_LATESTvarPubDate)</f>
        <v>665</v>
      </c>
      <c r="S122" s="73"/>
      <c r="T122" s="73"/>
      <c r="U122" s="73"/>
      <c r="V122" s="73"/>
      <c r="W122" s="73"/>
      <c r="X122" s="73"/>
      <c r="Y122" s="73"/>
      <c r="Z122" s="73"/>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O122" s="95"/>
      <c r="BP122" s="95"/>
      <c r="BQ122" s="95"/>
    </row>
    <row r="123" spans="1:69" s="71" customFormat="1" x14ac:dyDescent="0.2">
      <c r="A123" s="111" t="s">
        <v>358</v>
      </c>
      <c r="D123" s="107" t="str" cm="1">
        <f t="array" aca="1" ref="D123" ca="1">_xll.GetPrice("FP-LBR-2250","Actual","Low",_LATESTvarPubDate)</f>
        <v>#N/A No price available for Actual</v>
      </c>
      <c r="R123" s="73"/>
      <c r="S123" s="73"/>
      <c r="T123" s="73"/>
      <c r="U123" s="73"/>
      <c r="V123" s="73"/>
      <c r="W123" s="73"/>
      <c r="X123" s="73"/>
      <c r="Y123" s="73"/>
      <c r="Z123" s="73"/>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O123" s="95"/>
      <c r="BP123" s="95"/>
      <c r="BQ123" s="95"/>
    </row>
    <row r="124" spans="1:69" s="71" customFormat="1" x14ac:dyDescent="0.2">
      <c r="R124" s="73"/>
      <c r="S124" s="73"/>
      <c r="T124" s="73"/>
      <c r="U124" s="73"/>
      <c r="V124" s="73"/>
      <c r="W124" s="73"/>
      <c r="X124" s="73"/>
      <c r="Y124" s="73"/>
      <c r="Z124" s="73"/>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O124" s="95"/>
      <c r="BP124" s="95"/>
      <c r="BQ124" s="95"/>
    </row>
    <row r="125" spans="1:69" s="71" customFormat="1" x14ac:dyDescent="0.2">
      <c r="A125" s="96" t="s">
        <v>47</v>
      </c>
      <c r="B125" s="73"/>
      <c r="C125" s="73"/>
      <c r="D125" s="73"/>
      <c r="E125" s="73"/>
      <c r="F125" s="73"/>
      <c r="G125" s="73"/>
      <c r="H125" s="96" t="s">
        <v>48</v>
      </c>
      <c r="I125" s="103"/>
      <c r="J125" s="103"/>
      <c r="K125" s="103"/>
      <c r="L125" s="103"/>
      <c r="P125" s="73"/>
      <c r="R125" s="73"/>
      <c r="S125" s="73"/>
      <c r="T125" s="73"/>
      <c r="U125" s="73"/>
      <c r="V125" s="73"/>
      <c r="W125" s="73"/>
      <c r="X125" s="73"/>
      <c r="Y125" s="73"/>
      <c r="Z125" s="73"/>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O125" s="95"/>
      <c r="BP125" s="95"/>
      <c r="BQ125" s="95"/>
    </row>
    <row r="126" spans="1:69" s="71" customFormat="1" x14ac:dyDescent="0.2">
      <c r="A126" s="73"/>
      <c r="B126" s="98" t="s">
        <v>49</v>
      </c>
      <c r="C126" s="73"/>
      <c r="D126" s="73"/>
      <c r="E126" s="98" t="s">
        <v>16</v>
      </c>
      <c r="H126" s="103"/>
      <c r="I126" s="99" t="s">
        <v>50</v>
      </c>
      <c r="J126" s="100"/>
      <c r="K126" s="99" t="s">
        <v>51</v>
      </c>
      <c r="L126" s="100"/>
      <c r="N126" s="101" t="s">
        <v>52</v>
      </c>
      <c r="O126" s="74"/>
      <c r="R126" s="73"/>
      <c r="S126" s="73"/>
      <c r="T126" s="73"/>
      <c r="U126" s="73"/>
      <c r="V126" s="73"/>
      <c r="W126" s="73"/>
      <c r="X126" s="73"/>
      <c r="Y126" s="73"/>
      <c r="Z126" s="73"/>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O126" s="95"/>
      <c r="BP126" s="95"/>
      <c r="BQ126" s="95"/>
    </row>
    <row r="127" spans="1:69" s="71" customFormat="1" x14ac:dyDescent="0.2">
      <c r="A127" s="104" t="s">
        <v>18</v>
      </c>
      <c r="B127" s="98" t="s">
        <v>53</v>
      </c>
      <c r="C127" s="98" t="s">
        <v>21</v>
      </c>
      <c r="D127" s="98" t="s">
        <v>54</v>
      </c>
      <c r="E127" s="98" t="s">
        <v>55</v>
      </c>
      <c r="H127" s="105" t="s">
        <v>56</v>
      </c>
      <c r="I127" s="98" t="s">
        <v>57</v>
      </c>
      <c r="J127" s="98" t="s">
        <v>58</v>
      </c>
      <c r="K127" s="98" t="s">
        <v>59</v>
      </c>
      <c r="L127" s="98" t="s">
        <v>60</v>
      </c>
      <c r="N127" s="74"/>
      <c r="O127" s="101" t="s">
        <v>20</v>
      </c>
      <c r="R127" s="73"/>
      <c r="S127" s="73"/>
      <c r="T127" s="73"/>
      <c r="U127" s="73"/>
      <c r="V127" s="73"/>
      <c r="W127" s="73"/>
      <c r="X127" s="73"/>
      <c r="Y127" s="73"/>
      <c r="Z127" s="73"/>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O127" s="95"/>
      <c r="BP127" s="95"/>
      <c r="BQ127" s="95"/>
    </row>
    <row r="128" spans="1:69" s="71" customFormat="1" x14ac:dyDescent="0.2">
      <c r="A128" s="105" t="s">
        <v>36</v>
      </c>
      <c r="B128" s="107">
        <f t="array" aca="1" ref="B128" ca="1">_xll.GetPrice("FP-LBR-1317","Actual","Low",_LATESTvarPubDate)</f>
        <v>445</v>
      </c>
      <c r="C128" s="107">
        <f t="array" aca="1" ref="C128" ca="1">_xll.GetPrice("FP-LBR-1323","Actual","Low",_LATESTvarPubDate)</f>
        <v>455</v>
      </c>
      <c r="D128" s="107">
        <f t="array" aca="1" ref="D128" ca="1">_xll.GetPrice("FP-LBR-1206","Actual","Low",_LATESTvarPubDate)</f>
        <v>610</v>
      </c>
      <c r="E128" s="107">
        <f t="array" aca="1" ref="E128" ca="1">_xll.GetPrice("FP-LBR-1824","Actual","Low",_LATESTvarPubDate)</f>
        <v>1390</v>
      </c>
      <c r="H128" s="105" t="s">
        <v>61</v>
      </c>
      <c r="I128" s="107">
        <f t="array" aca="1" ref="I128" ca="1">_xll.GetPrice("FP-LBR-0424","Actual","Low",_LATESTvarPubDate)</f>
        <v>690</v>
      </c>
      <c r="J128" s="107">
        <f t="array" aca="1" ref="J128" ca="1">_xll.GetPrice("FP-LBR-0428","Actual","Low",_LATESTvarPubDate)</f>
        <v>715</v>
      </c>
      <c r="K128" s="107">
        <f t="array" aca="1" ref="K128" ca="1">_xll.GetPrice("FP-LBR-1236","Actual","Low",_LATESTvarPubDate)</f>
        <v>625</v>
      </c>
      <c r="L128" s="107">
        <f t="array" aca="1" ref="L128" ca="1">_xll.GetPrice("FP-LBR-1239","Actual","Low",_LATESTvarPubDate)</f>
        <v>625</v>
      </c>
      <c r="N128" s="105" t="s">
        <v>62</v>
      </c>
      <c r="O128" s="107">
        <f t="array" aca="1" ref="O128" ca="1">_xll.GetPrice("FP-LBR-0274","Actual","Low",_LATESTvarPubDate)</f>
        <v>630</v>
      </c>
      <c r="R128" s="73"/>
      <c r="S128" s="73"/>
      <c r="T128" s="73"/>
      <c r="U128" s="73"/>
      <c r="V128" s="73"/>
      <c r="W128" s="73"/>
      <c r="X128" s="73"/>
      <c r="Y128" s="73"/>
      <c r="Z128" s="73"/>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O128" s="95"/>
      <c r="BP128" s="95"/>
      <c r="BQ128" s="95"/>
    </row>
    <row r="129" spans="1:69" s="71" customFormat="1" x14ac:dyDescent="0.2">
      <c r="A129" s="105" t="s">
        <v>38</v>
      </c>
      <c r="B129" s="107">
        <f t="array" aca="1" ref="B129" ca="1">_xll.GetPrice("FP-LBR-1318","Actual","Low",_LATESTvarPubDate)</f>
        <v>460</v>
      </c>
      <c r="C129" s="107">
        <f t="array" aca="1" ref="C129" ca="1">_xll.GetPrice("FP-LBR-1324","Actual","Low",_LATESTvarPubDate)</f>
        <v>505</v>
      </c>
      <c r="D129" s="107">
        <f t="array" aca="1" ref="D129" ca="1">_xll.GetPrice("FP-LBR-1207","Actual","Low",_LATESTvarPubDate)</f>
        <v>625</v>
      </c>
      <c r="E129" s="106" t="s">
        <v>37</v>
      </c>
      <c r="H129" s="105" t="s">
        <v>63</v>
      </c>
      <c r="I129" s="107">
        <f t="array" aca="1" ref="I129" ca="1">_xll.GetPrice("FP-LBR-0425","Actual","Low",_LATESTvarPubDate)</f>
        <v>665</v>
      </c>
      <c r="J129" s="107">
        <f t="array" aca="1" ref="J129" ca="1">_xll.GetPrice("FP-LBR-0429","Actual","Low",_LATESTvarPubDate)</f>
        <v>690</v>
      </c>
      <c r="K129" s="107">
        <f t="array" aca="1" ref="K129" ca="1">_xll.GetPrice("FP-LBR-1237","Actual","Low",_LATESTvarPubDate)</f>
        <v>595</v>
      </c>
      <c r="L129" s="107">
        <f t="array" aca="1" ref="L129" ca="1">_xll.GetPrice("FP-LBR-1240","Actual","Low",_LATESTvarPubDate)</f>
        <v>615</v>
      </c>
      <c r="N129" s="105" t="s">
        <v>64</v>
      </c>
      <c r="O129" s="107">
        <f t="array" aca="1" ref="O129" ca="1">_xll.GetPrice("FP-LBR-0273","Actual","Low",_LATESTvarPubDate)</f>
        <v>590</v>
      </c>
      <c r="R129" s="73"/>
      <c r="S129" s="73"/>
      <c r="T129" s="73"/>
      <c r="V129" s="73"/>
      <c r="W129" s="73"/>
      <c r="X129" s="73"/>
      <c r="Y129" s="73"/>
      <c r="Z129" s="73"/>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O129" s="95"/>
      <c r="BP129" s="95"/>
      <c r="BQ129" s="95"/>
    </row>
    <row r="130" spans="1:69" s="71" customFormat="1" x14ac:dyDescent="0.2">
      <c r="A130" s="105" t="s">
        <v>65</v>
      </c>
      <c r="B130" s="107">
        <f t="array" aca="1" ref="B130" ca="1">_xll.GetPrice("FP-LBR-1319","Actual","Low",_LATESTvarPubDate)</f>
        <v>395</v>
      </c>
      <c r="C130" s="107">
        <f t="array" aca="1" ref="C130" ca="1">_xll.GetPrice("FP-LBR-1325","Actual","Low",_LATESTvarPubDate)</f>
        <v>455</v>
      </c>
      <c r="D130" s="107">
        <f t="array" aca="1" ref="D130" ca="1">_xll.GetPrice("FP-LBR-1208","Actual","Low",_LATESTvarPubDate)</f>
        <v>570</v>
      </c>
      <c r="E130" s="107">
        <f t="array" aca="1" ref="E130" ca="1">_xll.GetPrice("FP-LBR-1825","Actual","Low",_LATESTvarPubDate)</f>
        <v>1435</v>
      </c>
      <c r="H130" s="105" t="s">
        <v>66</v>
      </c>
      <c r="I130" s="107">
        <f t="array" aca="1" ref="I130" ca="1">_xll.GetPrice("FP-LBR-0426","Actual","Low",_LATESTvarPubDate)</f>
        <v>620</v>
      </c>
      <c r="J130" s="107">
        <f t="array" aca="1" ref="J130" ca="1">_xll.GetPrice("FP-LBR-0430","Actual","Low",_LATESTvarPubDate)</f>
        <v>645</v>
      </c>
      <c r="K130" s="106" t="s">
        <v>37</v>
      </c>
      <c r="L130" s="106" t="s">
        <v>37</v>
      </c>
      <c r="N130" s="105" t="s">
        <v>67</v>
      </c>
      <c r="O130" s="107">
        <f t="array" aca="1" ref="O130" ca="1">_xll.GetPrice("FP-LBR-0276","Actual","Low",_LATESTvarPubDate)</f>
        <v>640</v>
      </c>
      <c r="R130" s="73"/>
      <c r="S130" s="73"/>
      <c r="T130" s="73"/>
      <c r="V130" s="73"/>
      <c r="W130" s="73"/>
      <c r="X130" s="73"/>
      <c r="Y130" s="73"/>
      <c r="Z130" s="73"/>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O130" s="95"/>
      <c r="BP130" s="95"/>
      <c r="BQ130" s="95"/>
    </row>
    <row r="131" spans="1:69" s="71" customFormat="1" x14ac:dyDescent="0.2">
      <c r="A131" s="105" t="s">
        <v>40</v>
      </c>
      <c r="B131" s="107">
        <f t="array" aca="1" ref="B131" ca="1">_xll.GetPrice("FP-LBR-1320","Actual","Low",_LATESTvarPubDate)</f>
        <v>410</v>
      </c>
      <c r="C131" s="107">
        <f t="array" aca="1" ref="C131" ca="1">_xll.GetPrice("FP-LBR-1326","Actual","Low",_LATESTvarPubDate)</f>
        <v>460</v>
      </c>
      <c r="D131" s="107">
        <f t="array" aca="1" ref="D131" ca="1">_xll.GetPrice("FP-LBR-1209","Actual","Low",_LATESTvarPubDate)</f>
        <v>585</v>
      </c>
      <c r="E131" s="107">
        <f t="array" aca="1" ref="E131" ca="1">_xll.GetPrice("FP-LBR-1826","Actual","Low",_LATESTvarPubDate)</f>
        <v>2165</v>
      </c>
      <c r="H131" s="105" t="s">
        <v>68</v>
      </c>
      <c r="I131" s="107">
        <f t="array" aca="1" ref="I131" ca="1">_xll.GetPrice("FP-LBR-0427","Actual","Low",_LATESTvarPubDate)</f>
        <v>540</v>
      </c>
      <c r="J131" s="107">
        <f t="array" aca="1" ref="J131" ca="1">_xll.GetPrice("FP-LBR-0431","Actual","Low",_LATESTvarPubDate)</f>
        <v>565</v>
      </c>
      <c r="K131" s="107">
        <f t="array" aca="1" ref="K131" ca="1">_xll.GetPrice("FP-LBR-1238","Actual","Low",_LATESTvarPubDate)</f>
        <v>535</v>
      </c>
      <c r="L131" s="107">
        <f t="array" aca="1" ref="L131" ca="1">_xll.GetPrice("FP-LBR-1241","Actual","Low",_LATESTvarPubDate)</f>
        <v>530</v>
      </c>
      <c r="N131" s="105" t="s">
        <v>69</v>
      </c>
      <c r="O131" s="107">
        <f t="array" aca="1" ref="O131" ca="1">_xll.GetPrice("FP-LBR-0275","Actual","Low",_LATESTvarPubDate)</f>
        <v>515</v>
      </c>
      <c r="R131" s="73"/>
      <c r="S131" s="73"/>
      <c r="T131" s="73"/>
      <c r="U131" s="73"/>
      <c r="V131" s="73"/>
      <c r="W131" s="73"/>
      <c r="X131" s="73"/>
      <c r="Y131" s="73"/>
      <c r="Z131" s="73"/>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O131" s="95"/>
      <c r="BP131" s="95"/>
      <c r="BQ131" s="95"/>
    </row>
    <row r="132" spans="1:69" s="71" customFormat="1" x14ac:dyDescent="0.2">
      <c r="A132" s="105" t="s">
        <v>41</v>
      </c>
      <c r="B132" s="107">
        <f t="array" aca="1" ref="B132" ca="1">_xll.GetPrice("FP-LBR-1321","Actual","Low",_LATESTvarPubDate)</f>
        <v>570</v>
      </c>
      <c r="C132" s="107">
        <f t="array" aca="1" ref="C132" ca="1">_xll.GetPrice("FP-LBR-1327","Actual","Low",_LATESTvarPubDate)</f>
        <v>585</v>
      </c>
      <c r="D132" s="107">
        <f t="array" aca="1" ref="D132" ca="1">_xll.GetPrice("FP-LBR-1210","Actual","Low",_LATESTvarPubDate)</f>
        <v>730</v>
      </c>
      <c r="E132" s="107">
        <f t="array" aca="1" ref="E132" ca="1">_xll.GetPrice("FP-LBR-1827","Actual","Low",_LATESTvarPubDate)</f>
        <v>2175</v>
      </c>
      <c r="Q132" s="98"/>
      <c r="R132" s="73"/>
      <c r="S132" s="73"/>
      <c r="T132" s="73"/>
      <c r="U132" s="73"/>
      <c r="V132" s="73"/>
      <c r="W132" s="73"/>
      <c r="X132" s="73"/>
      <c r="Y132" s="73"/>
      <c r="Z132" s="73"/>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O132" s="95"/>
      <c r="BP132" s="95"/>
      <c r="BQ132" s="95"/>
    </row>
    <row r="133" spans="1:69" s="71" customFormat="1" x14ac:dyDescent="0.2">
      <c r="A133" s="105" t="s">
        <v>42</v>
      </c>
      <c r="B133" s="107">
        <f t="array" aca="1" ref="B133" ca="1">_xll.GetPrice("FP-LBR-1322","Actual","Low",_LATESTvarPubDate)</f>
        <v>505</v>
      </c>
      <c r="C133" s="107">
        <f t="array" aca="1" ref="C133" ca="1">_xll.GetPrice("FP-LBR-1328","Actual","Low",_LATESTvarPubDate)</f>
        <v>530</v>
      </c>
      <c r="D133" s="107">
        <f t="array" aca="1" ref="D133" ca="1">_xll.GetPrice("FP-LBR-1211","Actual","Low",_LATESTvarPubDate)</f>
        <v>665</v>
      </c>
      <c r="E133" s="107">
        <f t="array" aca="1" ref="E133" ca="1">_xll.GetPrice("FP-LBR-1828","Actual","Low",_LATESTvarPubDate)</f>
        <v>2410</v>
      </c>
      <c r="H133" s="103" t="s">
        <v>70</v>
      </c>
      <c r="I133" s="103"/>
      <c r="J133" s="103"/>
      <c r="K133" s="74"/>
      <c r="L133" s="73"/>
      <c r="N133" s="112" t="s">
        <v>71</v>
      </c>
      <c r="O133" s="98" t="s">
        <v>72</v>
      </c>
      <c r="P133" s="101"/>
      <c r="Q133" s="98" t="s">
        <v>73</v>
      </c>
      <c r="R133" s="73"/>
      <c r="S133" s="73"/>
      <c r="T133" s="73"/>
      <c r="V133" s="73"/>
      <c r="W133" s="73"/>
      <c r="X133" s="73"/>
      <c r="Y133" s="73"/>
      <c r="Z133" s="73"/>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O133" s="95"/>
      <c r="BP133" s="95"/>
      <c r="BQ133" s="95"/>
    </row>
    <row r="134" spans="1:69" s="71" customFormat="1" x14ac:dyDescent="0.2">
      <c r="A134" s="105" t="s">
        <v>74</v>
      </c>
      <c r="B134" s="107">
        <f t="array" aca="1" ref="B134" ca="1">_xll.GetPrice("FP-LBR-1329","Actual","Low",_LATESTvarPubDate)</f>
        <v>275</v>
      </c>
      <c r="C134" s="106" t="s">
        <v>37</v>
      </c>
      <c r="D134" s="106" t="s">
        <v>37</v>
      </c>
      <c r="E134" s="107">
        <f t="array" aca="1" ref="E134" ca="1">_xll.GetPrice("FP-LBR-1829","Actual","Low",_LATESTvarPubDate)</f>
        <v>975</v>
      </c>
      <c r="H134" s="74"/>
      <c r="I134" s="101" t="s">
        <v>26</v>
      </c>
      <c r="J134" s="101" t="s">
        <v>75</v>
      </c>
      <c r="K134" s="101" t="s">
        <v>28</v>
      </c>
      <c r="L134" s="73"/>
      <c r="N134" s="98" t="s">
        <v>76</v>
      </c>
      <c r="O134" s="98" t="s">
        <v>76</v>
      </c>
      <c r="P134" s="101" t="s">
        <v>52</v>
      </c>
      <c r="Q134" s="101" t="s">
        <v>20</v>
      </c>
      <c r="R134" s="73"/>
      <c r="S134" s="73"/>
      <c r="T134" s="73"/>
      <c r="U134" s="73"/>
      <c r="V134" s="73"/>
      <c r="W134" s="73"/>
      <c r="X134" s="73"/>
      <c r="Y134" s="73"/>
      <c r="Z134" s="73"/>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O134" s="95"/>
      <c r="BP134" s="95"/>
      <c r="BQ134" s="95"/>
    </row>
    <row r="135" spans="1:69" s="71" customFormat="1" x14ac:dyDescent="0.2">
      <c r="A135" s="105" t="s">
        <v>44</v>
      </c>
      <c r="B135" s="107">
        <f t="array" aca="1" ref="B135" ca="1">_xll.GetPrice("FP-LBR-1330","Actual","Low",_LATESTvarPubDate)</f>
        <v>225</v>
      </c>
      <c r="C135" s="106" t="s">
        <v>37</v>
      </c>
      <c r="D135" s="106" t="s">
        <v>37</v>
      </c>
      <c r="E135" s="107">
        <f t="array" aca="1" ref="E135" ca="1">_xll.GetPrice("FP-LBR-1830","Actual","Low",_LATESTvarPubDate)</f>
        <v>1010</v>
      </c>
      <c r="H135" s="105" t="s">
        <v>77</v>
      </c>
      <c r="I135" s="107">
        <f t="array" aca="1" ref="I135" ca="1">_xll.GetPrice("FP-LBR-0314","Actual","Low",_LATESTvarPubDate)</f>
        <v>401</v>
      </c>
      <c r="J135" s="107">
        <f t="array" aca="1" ref="J135" ca="1">_xll.GetPrice("FP-LBR-2001","Actual","Low",_LATESTvarPubDate)</f>
        <v>405</v>
      </c>
      <c r="K135" s="107">
        <f t="array" aca="1" ref="K135" ca="1">_xll.GetPrice("FP-LBR-1985","Actual","Low",_LATESTvarPubDate)</f>
        <v>420</v>
      </c>
      <c r="M135" s="101" t="s">
        <v>78</v>
      </c>
      <c r="N135" s="107">
        <f t="array" aca="1" ref="N135" ca="1">_xll.GetPrice("FP-LBR-1316","Actual","Low",_LATESTvarPubDate)</f>
        <v>510</v>
      </c>
      <c r="O135" s="107">
        <f t="array" aca="1" ref="O135" ca="1">_xll.GetPrice("FP-LBR-0161","Actual","Low",_LATESTvarPubDate)</f>
        <v>600</v>
      </c>
      <c r="P135" s="107">
        <f t="array" aca="1" ref="P135" ca="1">_xll.GetPrice("FP-LBR-0277","Actual","Low",_LATESTvarPubDate)</f>
        <v>615</v>
      </c>
      <c r="Q135" s="106" t="s">
        <v>37</v>
      </c>
      <c r="R135" s="74"/>
      <c r="S135" s="73"/>
      <c r="T135" s="73"/>
      <c r="U135" s="73"/>
      <c r="V135" s="73"/>
      <c r="W135" s="73"/>
      <c r="X135" s="73"/>
      <c r="Y135" s="73"/>
      <c r="Z135" s="73"/>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O135" s="95"/>
      <c r="BP135" s="95"/>
      <c r="BQ135" s="95"/>
    </row>
    <row r="136" spans="1:69" s="71" customFormat="1" x14ac:dyDescent="0.2">
      <c r="A136" s="105" t="s">
        <v>40</v>
      </c>
      <c r="B136" s="107">
        <f t="array" aca="1" ref="B136" ca="1">_xll.GetPrice("FP-LBR-1331","Actual","Low",_LATESTvarPubDate)</f>
        <v>175</v>
      </c>
      <c r="C136" s="106" t="s">
        <v>37</v>
      </c>
      <c r="E136" s="106" t="s">
        <v>37</v>
      </c>
      <c r="H136" s="105" t="s">
        <v>39</v>
      </c>
      <c r="I136" s="107">
        <f t="array" aca="1" ref="I136" ca="1">_xll.GetPrice("FP-LBR-0315","Actual","Low",_LATESTvarPubDate)</f>
        <v>335</v>
      </c>
      <c r="J136" s="107">
        <f t="array" aca="1" ref="J136" ca="1">_xll.GetPrice("FP-LBR-2002","Actual","Low",_LATESTvarPubDate)</f>
        <v>335</v>
      </c>
      <c r="K136" s="106" t="s">
        <v>37</v>
      </c>
      <c r="M136" s="101" t="s">
        <v>79</v>
      </c>
      <c r="N136" s="106" t="s">
        <v>37</v>
      </c>
      <c r="O136" s="106" t="s">
        <v>37</v>
      </c>
      <c r="P136" s="106" t="s">
        <v>37</v>
      </c>
      <c r="Q136" s="107">
        <f t="array" aca="1" ref="Q136" ca="1">_xll.GetPrice("FP-LBR-0282","Actual","Low",_LATESTvarPubDate)</f>
        <v>585</v>
      </c>
      <c r="S136" s="73"/>
      <c r="T136" s="73"/>
      <c r="V136" s="73"/>
      <c r="W136" s="73"/>
      <c r="X136" s="73"/>
      <c r="Y136" s="73"/>
      <c r="Z136" s="73"/>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O136" s="95"/>
      <c r="BP136" s="95"/>
      <c r="BQ136" s="95"/>
    </row>
    <row r="137" spans="1:69" s="71" customFormat="1" x14ac:dyDescent="0.2">
      <c r="A137" s="105" t="s">
        <v>41</v>
      </c>
      <c r="B137" s="107">
        <f t="array" aca="1" ref="B137" ca="1">_xll.GetPrice("FP-LBR-1332","Actual","Low",_LATESTvarPubDate)</f>
        <v>175</v>
      </c>
      <c r="C137" s="106" t="s">
        <v>37</v>
      </c>
      <c r="D137" s="106" t="s">
        <v>37</v>
      </c>
      <c r="E137" s="106" t="s">
        <v>37</v>
      </c>
      <c r="H137" s="105" t="s">
        <v>40</v>
      </c>
      <c r="I137" s="107">
        <f t="array" aca="1" ref="I137" ca="1">_xll.GetPrice("FP-LBR-0316","Actual","Low",_LATESTvarPubDate)</f>
        <v>337</v>
      </c>
      <c r="J137" s="107">
        <f t="array" aca="1" ref="J137" ca="1">_xll.GetPrice("FP-LBR-2003","Actual","Low",_LATESTvarPubDate)</f>
        <v>340</v>
      </c>
      <c r="K137" s="106" t="s">
        <v>37</v>
      </c>
      <c r="M137" s="101" t="s">
        <v>80</v>
      </c>
      <c r="N137" s="108" t="s">
        <v>37</v>
      </c>
      <c r="O137" s="106" t="s">
        <v>37</v>
      </c>
      <c r="P137" s="107">
        <f t="array" aca="1" ref="P137" ca="1">_xll.GetPrice("FP-LBR-0278","Actual","Low",_LATESTvarPubDate)</f>
        <v>660</v>
      </c>
      <c r="Q137" s="107">
        <f t="array" aca="1" ref="Q137" ca="1">_xll.GetPrice("FP-LBR-0283","Actual","Low",_LATESTvarPubDate)</f>
        <v>595</v>
      </c>
      <c r="R137" s="74"/>
      <c r="S137" s="74"/>
      <c r="T137" s="73"/>
      <c r="V137" s="73"/>
      <c r="W137" s="73"/>
      <c r="X137" s="73"/>
      <c r="Y137" s="73"/>
      <c r="Z137" s="73"/>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O137" s="95"/>
      <c r="BP137" s="95"/>
      <c r="BQ137" s="95"/>
    </row>
    <row r="138" spans="1:69" s="71" customFormat="1" x14ac:dyDescent="0.2">
      <c r="A138" s="105" t="s">
        <v>42</v>
      </c>
      <c r="B138" s="107">
        <f t="array" aca="1" ref="B138" ca="1">_xll.GetPrice("FP-LBR-1333","Actual","Low",_LATESTvarPubDate)</f>
        <v>175</v>
      </c>
      <c r="C138" s="106" t="s">
        <v>37</v>
      </c>
      <c r="D138" s="106" t="s">
        <v>37</v>
      </c>
      <c r="E138" s="106" t="s">
        <v>37</v>
      </c>
      <c r="H138" s="105" t="s">
        <v>41</v>
      </c>
      <c r="I138" s="107">
        <f t="array" aca="1" ref="I138" ca="1">_xll.GetPrice("FP-LBR-0317","Actual","Low",_LATESTvarPubDate)</f>
        <v>390</v>
      </c>
      <c r="J138" s="107">
        <f t="array" aca="1" ref="J138" ca="1">_xll.GetPrice("FP-LBR-2004","Actual","Low",_LATESTvarPubDate)</f>
        <v>400</v>
      </c>
      <c r="K138" s="106" t="s">
        <v>37</v>
      </c>
      <c r="M138" s="101" t="s">
        <v>81</v>
      </c>
      <c r="N138" s="106" t="s">
        <v>37</v>
      </c>
      <c r="O138" s="106" t="s">
        <v>37</v>
      </c>
      <c r="P138" s="107">
        <f t="array" aca="1" ref="P138" ca="1">_xll.GetPrice("FP-LBR-0279","Actual","Low",_LATESTvarPubDate)</f>
        <v>790</v>
      </c>
      <c r="Q138" s="107">
        <f t="array" aca="1" ref="Q138" ca="1">_xll.GetPrice("FP-LBR-0284","Actual","Low",_LATESTvarPubDate)</f>
        <v>630</v>
      </c>
      <c r="R138" s="74"/>
      <c r="S138" s="74"/>
      <c r="T138" s="73"/>
      <c r="V138" s="73"/>
      <c r="W138" s="73"/>
      <c r="X138" s="73"/>
      <c r="Y138" s="73"/>
      <c r="Z138" s="73"/>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O138" s="95"/>
      <c r="BP138" s="95"/>
      <c r="BQ138" s="95"/>
    </row>
    <row r="139" spans="1:69" s="71" customFormat="1" x14ac:dyDescent="0.2">
      <c r="A139" s="110" t="s">
        <v>82</v>
      </c>
      <c r="C139" s="107">
        <f t="array" aca="1" ref="C139" ca="1">_xll.GetPrice("FP-LBR-1203","Actual","Low",_LATESTvarPubDate)</f>
        <v>60</v>
      </c>
      <c r="H139" s="105" t="s">
        <v>42</v>
      </c>
      <c r="I139" s="107">
        <f t="array" aca="1" ref="I139" ca="1">_xll.GetPrice("FP-LBR-0318","Actual","Low",_LATESTvarPubDate)</f>
        <v>394</v>
      </c>
      <c r="J139" s="107">
        <f t="array" aca="1" ref="J139" ca="1">_xll.GetPrice("FP-LBR-2005","Actual","Low",_LATESTvarPubDate)</f>
        <v>415</v>
      </c>
      <c r="K139" s="106" t="s">
        <v>37</v>
      </c>
      <c r="M139" s="101" t="s">
        <v>83</v>
      </c>
      <c r="N139" s="106" t="s">
        <v>37</v>
      </c>
      <c r="O139" s="106" t="s">
        <v>37</v>
      </c>
      <c r="P139" s="107">
        <f t="array" aca="1" ref="P139" ca="1">_xll.GetPrice("FP-LBR-0280","Actual","Low",_LATESTvarPubDate)</f>
        <v>790</v>
      </c>
      <c r="Q139" s="107">
        <f t="array" aca="1" ref="Q139" ca="1">_xll.GetPrice("FP-LBR-0285","Actual","Low",_LATESTvarPubDate)</f>
        <v>555</v>
      </c>
      <c r="R139" s="74"/>
      <c r="S139" s="73"/>
      <c r="T139" s="73"/>
      <c r="U139" s="73"/>
      <c r="V139" s="73"/>
      <c r="W139" s="73"/>
      <c r="X139" s="73"/>
      <c r="Y139" s="73"/>
      <c r="Z139" s="73"/>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O139" s="95"/>
      <c r="BP139" s="95"/>
      <c r="BQ139" s="95"/>
    </row>
    <row r="140" spans="1:69" s="71" customFormat="1" x14ac:dyDescent="0.2">
      <c r="F140" s="73"/>
      <c r="G140" s="73"/>
      <c r="H140" s="73"/>
      <c r="I140" s="73"/>
      <c r="J140" s="73"/>
      <c r="M140" s="101" t="s">
        <v>84</v>
      </c>
      <c r="N140" s="106" t="s">
        <v>37</v>
      </c>
      <c r="O140" s="106" t="s">
        <v>37</v>
      </c>
      <c r="P140" s="107">
        <f t="array" aca="1" ref="P140" ca="1">_xll.GetPrice("FP-LBR-0281","Actual","Low",_LATESTvarPubDate)</f>
        <v>795</v>
      </c>
      <c r="Q140" s="107">
        <f t="array" aca="1" ref="Q140" ca="1">_xll.GetPrice("FP-LBR-0286","Actual","Low",_LATESTvarPubDate)</f>
        <v>565</v>
      </c>
      <c r="R140" s="74"/>
      <c r="S140" s="73"/>
      <c r="T140" s="73"/>
      <c r="U140" s="73"/>
      <c r="V140" s="73"/>
      <c r="W140" s="73"/>
      <c r="X140" s="73"/>
      <c r="Y140" s="73"/>
      <c r="Z140" s="73"/>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O140" s="95"/>
      <c r="BP140" s="95"/>
      <c r="BQ140" s="95"/>
    </row>
    <row r="141" spans="1:69" s="71" customFormat="1" x14ac:dyDescent="0.2">
      <c r="F141" s="73"/>
      <c r="G141" s="73"/>
      <c r="H141" s="74"/>
      <c r="I141" s="74"/>
      <c r="J141" s="74"/>
      <c r="K141" s="74"/>
      <c r="R141" s="74"/>
      <c r="S141" s="73"/>
      <c r="T141" s="73"/>
      <c r="U141" s="73"/>
      <c r="V141" s="73"/>
      <c r="W141" s="73"/>
      <c r="X141" s="73"/>
      <c r="Y141" s="73"/>
      <c r="Z141" s="73"/>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O141" s="95"/>
      <c r="BP141" s="95"/>
      <c r="BQ141" s="95"/>
    </row>
    <row r="142" spans="1:69" s="71" customFormat="1" x14ac:dyDescent="0.2">
      <c r="F142" s="74"/>
      <c r="G142" s="74"/>
      <c r="H142" s="74"/>
      <c r="I142" s="74"/>
      <c r="J142" s="74"/>
      <c r="K142" s="74"/>
      <c r="P142" s="96" t="s">
        <v>85</v>
      </c>
      <c r="Q142" s="73"/>
      <c r="R142" s="74"/>
      <c r="S142" s="73"/>
      <c r="T142" s="73"/>
      <c r="U142" s="73"/>
      <c r="V142" s="73"/>
      <c r="W142" s="73"/>
      <c r="X142" s="73"/>
      <c r="Y142" s="73"/>
      <c r="Z142" s="73"/>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Q142" s="95"/>
    </row>
    <row r="143" spans="1:69" s="71" customFormat="1" x14ac:dyDescent="0.2">
      <c r="A143" s="96" t="s">
        <v>86</v>
      </c>
      <c r="H143" s="97" t="s">
        <v>10</v>
      </c>
      <c r="I143" s="73"/>
      <c r="J143" s="73"/>
      <c r="K143" s="73"/>
      <c r="L143" s="73"/>
      <c r="M143" s="73"/>
      <c r="Q143" s="98" t="s">
        <v>87</v>
      </c>
      <c r="R143" s="73"/>
      <c r="S143" s="73"/>
      <c r="T143" s="73"/>
      <c r="U143" s="73"/>
      <c r="V143" s="73"/>
      <c r="W143" s="73"/>
      <c r="X143" s="73"/>
      <c r="Y143" s="73"/>
      <c r="Z143" s="73"/>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O143" s="95"/>
      <c r="BP143" s="95"/>
      <c r="BQ143" s="95"/>
    </row>
    <row r="144" spans="1:69" s="71" customFormat="1" x14ac:dyDescent="0.2">
      <c r="B144" s="98" t="s">
        <v>11</v>
      </c>
      <c r="C144" s="101" t="s">
        <v>23</v>
      </c>
      <c r="D144" s="101" t="s">
        <v>13</v>
      </c>
      <c r="E144" s="101" t="s">
        <v>88</v>
      </c>
      <c r="F144" s="101"/>
      <c r="G144" s="101" t="s">
        <v>89</v>
      </c>
      <c r="H144" s="98" t="s">
        <v>16</v>
      </c>
      <c r="I144" s="103"/>
      <c r="J144" s="103"/>
      <c r="K144" s="101" t="s">
        <v>17</v>
      </c>
      <c r="L144" s="101"/>
      <c r="M144" s="103"/>
      <c r="P144" s="104" t="s">
        <v>90</v>
      </c>
      <c r="Q144" s="98" t="s">
        <v>53</v>
      </c>
      <c r="R144" s="100"/>
      <c r="S144" s="73"/>
      <c r="T144" s="73"/>
      <c r="U144" s="73"/>
      <c r="V144" s="73"/>
      <c r="W144" s="73"/>
      <c r="X144" s="73"/>
      <c r="Y144" s="73"/>
      <c r="Z144" s="73"/>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O144" s="95"/>
      <c r="BP144" s="95"/>
      <c r="BQ144" s="95"/>
    </row>
    <row r="145" spans="1:69" s="71" customFormat="1" x14ac:dyDescent="0.2">
      <c r="B145" s="101" t="s">
        <v>19</v>
      </c>
      <c r="C145" s="101" t="s">
        <v>19</v>
      </c>
      <c r="D145" s="101" t="s">
        <v>22</v>
      </c>
      <c r="E145" s="101" t="s">
        <v>91</v>
      </c>
      <c r="F145" s="101" t="s">
        <v>92</v>
      </c>
      <c r="G145" s="101" t="s">
        <v>93</v>
      </c>
      <c r="H145" s="98" t="s">
        <v>29</v>
      </c>
      <c r="I145" s="101" t="s">
        <v>30</v>
      </c>
      <c r="J145" s="101" t="s">
        <v>31</v>
      </c>
      <c r="K145" s="101" t="s">
        <v>32</v>
      </c>
      <c r="L145" s="101" t="s">
        <v>33</v>
      </c>
      <c r="M145" s="101" t="s">
        <v>34</v>
      </c>
      <c r="N145" s="98" t="s">
        <v>35</v>
      </c>
      <c r="P145" s="101" t="s">
        <v>94</v>
      </c>
      <c r="Q145" s="107">
        <f t="array" aca="1" ref="Q145" ca="1">_xll.GetPrice("FP-LBR-1393","Actual","Low",_LATESTvarPubDate)</f>
        <v>355</v>
      </c>
      <c r="R145" s="74"/>
      <c r="S145" s="73"/>
      <c r="T145" s="73"/>
      <c r="U145" s="73"/>
      <c r="V145" s="73"/>
      <c r="W145" s="73"/>
      <c r="X145" s="73"/>
      <c r="Y145" s="73"/>
      <c r="Z145" s="73"/>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M145" s="95"/>
      <c r="BN145" s="95"/>
      <c r="BO145" s="95"/>
      <c r="BP145" s="95"/>
      <c r="BQ145" s="95"/>
    </row>
    <row r="146" spans="1:69" s="71" customFormat="1" x14ac:dyDescent="0.2">
      <c r="A146" s="105" t="s">
        <v>95</v>
      </c>
      <c r="B146" s="106" t="s">
        <v>37</v>
      </c>
      <c r="C146" s="106" t="s">
        <v>37</v>
      </c>
      <c r="D146" s="106" t="s">
        <v>37</v>
      </c>
      <c r="E146" s="106" t="s">
        <v>37</v>
      </c>
      <c r="F146" s="106" t="s">
        <v>37</v>
      </c>
      <c r="G146" s="106" t="s">
        <v>37</v>
      </c>
      <c r="H146" s="109">
        <f t="array" aca="1" ref="H146" ca="1">_xll.GetPrice("FP-LBR-0413","Actual","Low",_LATESTvarPubDate)</f>
        <v>425</v>
      </c>
      <c r="I146" s="107">
        <f t="array" aca="1" ref="I146" ca="1">_xll.GetPrice("FP-LBR-0535","Actual","Low",_LATESTvarPubDate)</f>
        <v>537</v>
      </c>
      <c r="J146" s="107">
        <f t="array" aca="1" ref="J146" ca="1">_xll.GetPrice("FP-LBR-0545","Actual","Low",_LATESTvarPubDate)</f>
        <v>560</v>
      </c>
      <c r="K146" s="107">
        <f t="array" aca="1" ref="K146" ca="1">_xll.GetPrice("FP-LBR-1242","Actual","Low",_LATESTvarPubDate)</f>
        <v>500</v>
      </c>
      <c r="L146" s="107">
        <f t="array" aca="1" ref="L146" ca="1">_xll.GetPrice("FP-LBR-1252","Actual","Low",_LATESTvarPubDate)</f>
        <v>505</v>
      </c>
      <c r="M146" s="107">
        <f t="array" aca="1" ref="M146" ca="1">_xll.GetPrice("FP-LBR-1262","Actual","Low",_LATESTvarPubDate)</f>
        <v>580</v>
      </c>
      <c r="N146" s="107">
        <f t="array" aca="1" ref="N146" ca="1">_xll.GetPrice("FP-LBR-1268","Actual","Low",_LATESTvarPubDate)</f>
        <v>575</v>
      </c>
      <c r="P146" s="101" t="s">
        <v>96</v>
      </c>
      <c r="Q146" s="107">
        <f t="array" aca="1" ref="Q146" ca="1">_xll.GetPrice("FP-LBR-1394","Actual","Low",_LATESTvarPubDate)</f>
        <v>415</v>
      </c>
      <c r="R146" s="74"/>
      <c r="S146" s="73"/>
      <c r="T146" s="73"/>
      <c r="U146" s="73"/>
      <c r="V146" s="73"/>
      <c r="W146" s="73"/>
      <c r="X146" s="73"/>
      <c r="Y146" s="73"/>
      <c r="Z146" s="73"/>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M146" s="95"/>
      <c r="BN146" s="95"/>
      <c r="BO146" s="95"/>
      <c r="BP146" s="95"/>
      <c r="BQ146" s="95"/>
    </row>
    <row r="147" spans="1:69" s="71" customFormat="1" x14ac:dyDescent="0.2">
      <c r="A147" s="105" t="s">
        <v>97</v>
      </c>
      <c r="B147" s="106" t="s">
        <v>37</v>
      </c>
      <c r="C147" s="106" t="s">
        <v>37</v>
      </c>
      <c r="D147" s="106" t="s">
        <v>37</v>
      </c>
      <c r="E147" s="106" t="s">
        <v>37</v>
      </c>
      <c r="F147" s="106" t="s">
        <v>37</v>
      </c>
      <c r="G147" s="106" t="s">
        <v>37</v>
      </c>
      <c r="H147" s="106" t="s">
        <v>37</v>
      </c>
      <c r="I147" s="106" t="s">
        <v>37</v>
      </c>
      <c r="J147" s="106" t="s">
        <v>37</v>
      </c>
      <c r="K147" s="107">
        <f t="array" aca="1" ref="K147" ca="1">_xll.GetPrice("FP-LBR-1243","Actual","Low",_LATESTvarPubDate)</f>
        <v>420</v>
      </c>
      <c r="L147" s="107">
        <f t="array" aca="1" ref="L147" ca="1">_xll.GetPrice("FP-LBR-1253","Actual","Low",_LATESTvarPubDate)</f>
        <v>420</v>
      </c>
      <c r="M147" s="106" t="s">
        <v>37</v>
      </c>
      <c r="N147" s="106" t="s">
        <v>37</v>
      </c>
      <c r="P147" s="101" t="s">
        <v>98</v>
      </c>
      <c r="Q147" s="107">
        <f t="array" aca="1" ref="Q147" ca="1">_xll.GetPrice("FP-LBR-1395","Actual","Low",_LATESTvarPubDate)</f>
        <v>390</v>
      </c>
      <c r="R147" s="74"/>
      <c r="S147" s="73"/>
      <c r="T147" s="73"/>
      <c r="U147" s="73"/>
      <c r="V147" s="73"/>
      <c r="W147" s="73"/>
      <c r="X147" s="73"/>
      <c r="Y147" s="73"/>
      <c r="Z147" s="73"/>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M147" s="95"/>
      <c r="BN147" s="95"/>
      <c r="BO147" s="95"/>
      <c r="BP147" s="95"/>
      <c r="BQ147" s="95"/>
    </row>
    <row r="148" spans="1:69" s="71" customFormat="1" x14ac:dyDescent="0.2">
      <c r="A148" s="105" t="s">
        <v>99</v>
      </c>
      <c r="B148" s="106" t="s">
        <v>37</v>
      </c>
      <c r="C148" s="108" t="s">
        <v>37</v>
      </c>
      <c r="D148" s="108" t="s">
        <v>37</v>
      </c>
      <c r="E148" s="108" t="s">
        <v>37</v>
      </c>
      <c r="F148" s="108" t="s">
        <v>37</v>
      </c>
      <c r="G148" s="107">
        <f t="array" aca="1" ref="G148" ca="1">_xll.GetPrice("FP-LBR-0319","Actual","Low",_LATESTvarPubDate)</f>
        <v>385</v>
      </c>
      <c r="H148" s="109">
        <f t="array" aca="1" ref="H148" ca="1">_xll.GetPrice("FP-LBR-0414","Actual","Low",_LATESTvarPubDate)</f>
        <v>370</v>
      </c>
      <c r="I148" s="107">
        <f t="array" aca="1" ref="I148" ca="1">_xll.GetPrice("FP-LBR-0536","Actual","Low",_LATESTvarPubDate)</f>
        <v>482</v>
      </c>
      <c r="J148" s="107">
        <f t="array" aca="1" ref="J148" ca="1">_xll.GetPrice("FP-LBR-0546","Actual","Low",_LATESTvarPubDate)</f>
        <v>505</v>
      </c>
      <c r="K148" s="107">
        <f t="array" aca="1" ref="K148" ca="1">_xll.GetPrice("FP-LBR-1244","Actual","Low",_LATESTvarPubDate)</f>
        <v>510</v>
      </c>
      <c r="L148" s="107">
        <f t="array" aca="1" ref="L148" ca="1">_xll.GetPrice("FP-LBR-1254","Actual","Low",_LATESTvarPubDate)</f>
        <v>515</v>
      </c>
      <c r="M148" s="107">
        <f t="array" aca="1" ref="M148" ca="1">_xll.GetPrice("FP-LBR-1263","Actual","Low",_LATESTvarPubDate)</f>
        <v>595</v>
      </c>
      <c r="N148" s="107">
        <f t="array" aca="1" ref="N148" ca="1">_xll.GetPrice("FP-LBR-1269","Actual","Low",_LATESTvarPubDate)</f>
        <v>580</v>
      </c>
      <c r="P148" s="101" t="s">
        <v>100</v>
      </c>
      <c r="Q148" s="107">
        <f t="array" aca="1" ref="Q148" ca="1">_xll.GetPrice("FP-LBR-1396","Actual","Low",_LATESTvarPubDate)</f>
        <v>330</v>
      </c>
      <c r="S148" s="73"/>
      <c r="T148" s="73"/>
      <c r="U148" s="73"/>
      <c r="V148" s="73"/>
      <c r="W148" s="73"/>
      <c r="X148" s="73"/>
      <c r="Y148" s="73"/>
      <c r="Z148" s="73"/>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M148" s="95"/>
      <c r="BN148" s="95"/>
      <c r="BO148" s="95"/>
      <c r="BP148" s="95"/>
      <c r="BQ148" s="95"/>
    </row>
    <row r="149" spans="1:69" s="71" customFormat="1" x14ac:dyDescent="0.2">
      <c r="A149" s="105" t="s">
        <v>101</v>
      </c>
      <c r="B149" s="107">
        <f t="array" aca="1" ref="B149" ca="1">_xll.GetPrice("FP-LBR-0172","Actual","Low",_LATESTvarPubDate)</f>
        <v>415</v>
      </c>
      <c r="C149" s="107">
        <f t="array" aca="1" ref="C149" ca="1">_xll.GetPrice("FP-LBR-0291","Actual","Low",_LATESTvarPubDate)</f>
        <v>400</v>
      </c>
      <c r="D149" s="107">
        <f t="array" aca="1" ref="D149" ca="1">_xll.GetPrice("FP-LBR-0178","Actual","Low",_LATESTvarPubDate)</f>
        <v>425</v>
      </c>
      <c r="E149" s="107">
        <f t="array" aca="1" ref="E149" ca="1">_xll.GetPrice("FP-LBR-0287","Actual","Low",_LATESTvarPubDate)</f>
        <v>413</v>
      </c>
      <c r="F149" s="107">
        <f t="array" aca="1" ref="F149" ca="1">_xll.GetPrice("FP-LBR-0296","Actual","Low",_LATESTvarPubDate)</f>
        <v>410</v>
      </c>
      <c r="G149" s="108" t="s">
        <v>37</v>
      </c>
      <c r="H149" s="107">
        <f t="array" aca="1" ref="H149" ca="1">_xll.GetPrice("FP-LBR-0415","Actual","Low",_LATESTvarPubDate)</f>
        <v>395</v>
      </c>
      <c r="I149" s="107">
        <f t="array" aca="1" ref="I149" ca="1">_xll.GetPrice("FP-LBR-0537","Actual","Low",_LATESTvarPubDate)</f>
        <v>507</v>
      </c>
      <c r="J149" s="108" t="s">
        <v>37</v>
      </c>
      <c r="K149" s="108" t="s">
        <v>37</v>
      </c>
      <c r="L149" s="108" t="s">
        <v>37</v>
      </c>
      <c r="M149" s="108" t="s">
        <v>37</v>
      </c>
      <c r="N149" s="108" t="s">
        <v>37</v>
      </c>
      <c r="P149" s="101" t="s">
        <v>102</v>
      </c>
      <c r="Q149" s="107">
        <f t="array" aca="1" ref="Q149" ca="1">_xll.GetPrice("FP-LBR-1397","Actual","Low",_LATESTvarPubDate)</f>
        <v>420</v>
      </c>
      <c r="S149" s="73"/>
      <c r="T149" s="73"/>
      <c r="U149" s="73"/>
      <c r="V149" s="73"/>
      <c r="W149" s="73"/>
      <c r="X149" s="73"/>
      <c r="Y149" s="73"/>
      <c r="Z149" s="73"/>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M149" s="95"/>
      <c r="BN149" s="95"/>
      <c r="BO149" s="95"/>
      <c r="BP149" s="95"/>
      <c r="BQ149" s="95"/>
    </row>
    <row r="150" spans="1:69" s="71" customFormat="1" x14ac:dyDescent="0.2">
      <c r="A150" s="113" t="s">
        <v>103</v>
      </c>
      <c r="B150" s="108" t="s">
        <v>37</v>
      </c>
      <c r="C150" s="107">
        <f t="array" aca="1" ref="C150" ca="1">_xll.GetPrice("FP-LBR-0295","Actual","Low",_LATESTvarPubDate)</f>
        <v>540</v>
      </c>
      <c r="D150" s="107">
        <f t="array" aca="1" ref="D150" ca="1">_xll.GetPrice("FP-LBR-0179","Actual","Low",_LATESTvarPubDate)</f>
        <v>525</v>
      </c>
      <c r="E150" s="108" t="s">
        <v>37</v>
      </c>
      <c r="F150" s="108" t="s">
        <v>37</v>
      </c>
      <c r="G150" s="108" t="s">
        <v>37</v>
      </c>
      <c r="H150" s="107">
        <f t="array" aca="1" ref="H150" ca="1">_xll.GetPrice("FP-LBR-0416","Actual","Low",_LATESTvarPubDate)</f>
        <v>465</v>
      </c>
      <c r="I150" s="107">
        <f t="array" aca="1" ref="I150" ca="1">_xll.GetPrice("FP-LBR-0538","Actual","Low",_LATESTvarPubDate)</f>
        <v>577</v>
      </c>
      <c r="J150" s="107">
        <f t="array" aca="1" ref="J150" ca="1">_xll.GetPrice("FP-LBR-0547","Actual","Low",_LATESTvarPubDate)</f>
        <v>600</v>
      </c>
      <c r="K150" s="108" t="s">
        <v>37</v>
      </c>
      <c r="L150" s="108" t="s">
        <v>37</v>
      </c>
      <c r="M150" s="108" t="s">
        <v>37</v>
      </c>
      <c r="N150" s="108" t="s">
        <v>37</v>
      </c>
      <c r="P150" s="101" t="s">
        <v>104</v>
      </c>
      <c r="Q150" s="107">
        <f t="array" aca="1" ref="Q150" ca="1">_xll.GetPrice("FP-LBR-1398","Actual","Low",_LATESTvarPubDate)</f>
        <v>420</v>
      </c>
      <c r="S150" s="73"/>
      <c r="T150" s="73"/>
      <c r="U150" s="73"/>
      <c r="V150" s="73"/>
      <c r="W150" s="73"/>
      <c r="X150" s="73"/>
      <c r="Y150" s="73"/>
      <c r="Z150" s="73"/>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M150" s="95"/>
      <c r="BN150" s="95"/>
      <c r="BO150" s="95"/>
      <c r="BP150" s="95"/>
      <c r="BQ150" s="95"/>
    </row>
    <row r="151" spans="1:69" s="71" customFormat="1" x14ac:dyDescent="0.2">
      <c r="A151" s="105" t="s">
        <v>105</v>
      </c>
      <c r="B151" s="108" t="s">
        <v>37</v>
      </c>
      <c r="C151" s="108" t="s">
        <v>37</v>
      </c>
      <c r="D151" s="108" t="s">
        <v>37</v>
      </c>
      <c r="E151" s="108" t="s">
        <v>37</v>
      </c>
      <c r="F151" s="108" t="s">
        <v>37</v>
      </c>
      <c r="G151" s="106" t="s">
        <v>37</v>
      </c>
      <c r="H151" s="109">
        <f t="array" aca="1" ref="H151" ca="1">_xll.GetPrice("FP-LBR-0417","Actual","Low",_LATESTvarPubDate)</f>
        <v>455</v>
      </c>
      <c r="I151" s="107">
        <f t="array" aca="1" ref="I151" ca="1">_xll.GetPrice("FP-LBR-0539","Actual","Low",_LATESTvarPubDate)</f>
        <v>567</v>
      </c>
      <c r="J151" s="107">
        <f t="array" aca="1" ref="J151" ca="1">_xll.GetPrice("FP-LBR-0548","Actual","Low",_LATESTvarPubDate)</f>
        <v>590</v>
      </c>
      <c r="K151" s="107">
        <f t="array" aca="1" ref="K151" ca="1">_xll.GetPrice("FP-LBR-1245","Actual","Low",_LATESTvarPubDate)</f>
        <v>550</v>
      </c>
      <c r="L151" s="107">
        <f t="array" aca="1" ref="L151" ca="1">_xll.GetPrice("FP-LBR-1255","Actual","Low",_LATESTvarPubDate)</f>
        <v>565</v>
      </c>
      <c r="M151" s="107">
        <f t="array" aca="1" ref="M151" ca="1">_xll.GetPrice("FP-LBR-1264","Actual","Low",_LATESTvarPubDate)</f>
        <v>625</v>
      </c>
      <c r="N151" s="107">
        <f t="array" aca="1" ref="N151" ca="1">_xll.GetPrice("FP-LBR-1270","Actual","Low",_LATESTvarPubDate)</f>
        <v>630</v>
      </c>
      <c r="S151" s="73"/>
      <c r="T151" s="73"/>
      <c r="U151" s="73"/>
      <c r="V151" s="73"/>
      <c r="W151" s="73"/>
      <c r="X151" s="73"/>
      <c r="Y151" s="73"/>
      <c r="Z151" s="73"/>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M151" s="95"/>
      <c r="BN151" s="95"/>
      <c r="BO151" s="95"/>
      <c r="BP151" s="95"/>
      <c r="BQ151" s="95"/>
    </row>
    <row r="152" spans="1:69" s="71" customFormat="1" x14ac:dyDescent="0.2">
      <c r="A152" s="113" t="s">
        <v>106</v>
      </c>
      <c r="B152" s="107">
        <f t="array" aca="1" ref="B152" ca="1">_xll.GetPrice("FP-LBR-0173","Actual","Low",_LATESTvarPubDate)</f>
        <v>475</v>
      </c>
      <c r="C152" s="107">
        <f t="array" aca="1" ref="C152" ca="1">_xll.GetPrice("FP-LBR-0292","Actual","Low",_LATESTvarPubDate)</f>
        <v>485</v>
      </c>
      <c r="D152" s="107">
        <f t="array" aca="1" ref="D152" ca="1">_xll.GetPrice("FP-LBR-0180","Actual","Low",_LATESTvarPubDate)</f>
        <v>485</v>
      </c>
      <c r="E152" s="107">
        <f t="array" aca="1" ref="E152" ca="1">_xll.GetPrice("FP-LBR-0288","Actual","Low",_LATESTvarPubDate)</f>
        <v>488</v>
      </c>
      <c r="F152" s="107">
        <f t="array" aca="1" ref="F152" ca="1">_xll.GetPrice("FP-LBR-0297","Actual","Low",_LATESTvarPubDate)</f>
        <v>490</v>
      </c>
      <c r="G152" s="108" t="s">
        <v>37</v>
      </c>
      <c r="H152" s="109">
        <f t="array" aca="1" ref="H152" ca="1">_xll.GetPrice("FP-LBR-0418","Actual","Low",_LATESTvarPubDate)</f>
        <v>510</v>
      </c>
      <c r="I152" s="107">
        <f t="array" aca="1" ref="I152" ca="1">_xll.GetPrice("FP-LBR-0540","Actual","Low",_LATESTvarPubDate)</f>
        <v>622</v>
      </c>
      <c r="J152" s="108" t="s">
        <v>37</v>
      </c>
      <c r="K152" s="107">
        <f t="array" aca="1" ref="K152" ca="1">_xll.GetPrice("FP-LBR-1246","Actual","Low",_LATESTvarPubDate)</f>
        <v>565</v>
      </c>
      <c r="L152" s="107">
        <f t="array" aca="1" ref="L152" ca="1">_xll.GetPrice("FP-LBR-1256","Actual","Low",_LATESTvarPubDate)</f>
        <v>575</v>
      </c>
      <c r="M152" s="108" t="s">
        <v>37</v>
      </c>
      <c r="N152" s="108" t="s">
        <v>37</v>
      </c>
      <c r="P152" s="96" t="s">
        <v>107</v>
      </c>
      <c r="Q152" s="73"/>
      <c r="S152" s="73"/>
      <c r="T152" s="73"/>
      <c r="U152" s="73"/>
      <c r="V152" s="73"/>
      <c r="W152" s="73"/>
      <c r="X152" s="73"/>
      <c r="Y152" s="73"/>
      <c r="Z152" s="73"/>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M152" s="95"/>
      <c r="BN152" s="95"/>
      <c r="BO152" s="95"/>
      <c r="BP152" s="95"/>
      <c r="BQ152" s="95"/>
    </row>
    <row r="153" spans="1:69" s="71" customFormat="1" x14ac:dyDescent="0.2">
      <c r="A153" s="105" t="s">
        <v>108</v>
      </c>
      <c r="B153" s="108" t="s">
        <v>37</v>
      </c>
      <c r="C153" s="106" t="s">
        <v>37</v>
      </c>
      <c r="D153" s="108" t="s">
        <v>37</v>
      </c>
      <c r="E153" s="106" t="s">
        <v>37</v>
      </c>
      <c r="F153" s="106" t="s">
        <v>37</v>
      </c>
      <c r="G153" s="106" t="s">
        <v>37</v>
      </c>
      <c r="H153" s="106" t="s">
        <v>37</v>
      </c>
      <c r="I153" s="106" t="s">
        <v>37</v>
      </c>
      <c r="J153" s="106" t="s">
        <v>37</v>
      </c>
      <c r="K153" s="107">
        <f t="array" aca="1" ref="K153" ca="1">_xll.GetPrice("FP-LBR-1247","Actual","Low",_LATESTvarPubDate)</f>
        <v>450</v>
      </c>
      <c r="L153" s="107">
        <f t="array" aca="1" ref="L153" ca="1">_xll.GetPrice("FP-LBR-1257","Actual","Low",_LATESTvarPubDate)</f>
        <v>460</v>
      </c>
      <c r="M153" s="107">
        <f t="array" aca="1" ref="M153" ca="1">_xll.GetPrice("FP-LBR-1265","Actual","Low",_LATESTvarPubDate)</f>
        <v>515</v>
      </c>
      <c r="N153" s="107">
        <f t="array" aca="1" ref="N153" ca="1">_xll.GetPrice("FP-LBR-1271","Actual","Low",_LATESTvarPubDate)</f>
        <v>480</v>
      </c>
      <c r="P153" s="104" t="s">
        <v>92</v>
      </c>
      <c r="S153" s="73"/>
      <c r="T153" s="73"/>
      <c r="U153" s="73"/>
      <c r="V153" s="73"/>
      <c r="W153" s="73"/>
      <c r="X153" s="73"/>
      <c r="Y153" s="73"/>
      <c r="Z153" s="73"/>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M153" s="95"/>
      <c r="BN153" s="95"/>
      <c r="BO153" s="95"/>
      <c r="BP153" s="95"/>
      <c r="BQ153" s="95"/>
    </row>
    <row r="154" spans="1:69" s="71" customFormat="1" x14ac:dyDescent="0.2">
      <c r="A154" s="113" t="s">
        <v>109</v>
      </c>
      <c r="B154" s="107">
        <f t="array" aca="1" ref="B154" ca="1">_xll.GetPrice("FP-LBR-0174","Actual","Low",_LATESTvarPubDate)</f>
        <v>475</v>
      </c>
      <c r="C154" s="108" t="s">
        <v>37</v>
      </c>
      <c r="D154" s="107">
        <f t="array" aca="1" ref="D154" ca="1">_xll.GetPrice("FP-LBR-0181","Actual","Low",_LATESTvarPubDate)</f>
        <v>470</v>
      </c>
      <c r="E154" s="108" t="s">
        <v>37</v>
      </c>
      <c r="F154" s="108" t="s">
        <v>37</v>
      </c>
      <c r="G154" s="108" t="s">
        <v>37</v>
      </c>
      <c r="H154" s="108" t="s">
        <v>37</v>
      </c>
      <c r="I154" s="108" t="s">
        <v>37</v>
      </c>
      <c r="J154" s="108" t="s">
        <v>37</v>
      </c>
      <c r="K154" s="108" t="s">
        <v>37</v>
      </c>
      <c r="L154" s="108" t="s">
        <v>37</v>
      </c>
      <c r="M154" s="108" t="s">
        <v>37</v>
      </c>
      <c r="N154" s="108" t="s">
        <v>37</v>
      </c>
      <c r="P154" s="105" t="s">
        <v>110</v>
      </c>
      <c r="Q154" s="107">
        <f t="array" aca="1" ref="Q154" ca="1">_xll.GetPrice("FP-LBR-0302","Actual","Low",_LATESTvarPubDate)</f>
        <v>465</v>
      </c>
      <c r="S154" s="73"/>
      <c r="T154" s="73"/>
      <c r="U154" s="73"/>
      <c r="V154" s="73"/>
      <c r="W154" s="73"/>
      <c r="X154" s="73"/>
      <c r="Y154" s="73"/>
      <c r="Z154" s="73"/>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95"/>
      <c r="BB154" s="95"/>
      <c r="BC154" s="95"/>
      <c r="BD154" s="95"/>
      <c r="BE154" s="95"/>
      <c r="BF154" s="95"/>
      <c r="BG154" s="95"/>
      <c r="BH154" s="95"/>
      <c r="BI154" s="95"/>
      <c r="BJ154" s="95"/>
      <c r="BK154" s="95"/>
      <c r="BL154" s="95"/>
      <c r="BM154" s="95"/>
      <c r="BN154" s="95"/>
      <c r="BO154" s="95"/>
      <c r="BP154" s="95"/>
      <c r="BQ154" s="95"/>
    </row>
    <row r="155" spans="1:69" s="71" customFormat="1" x14ac:dyDescent="0.2">
      <c r="A155" s="105" t="s">
        <v>111</v>
      </c>
      <c r="B155" s="106" t="s">
        <v>37</v>
      </c>
      <c r="C155" s="106" t="s">
        <v>37</v>
      </c>
      <c r="D155" s="106" t="s">
        <v>37</v>
      </c>
      <c r="E155" s="106" t="s">
        <v>37</v>
      </c>
      <c r="F155" s="106" t="s">
        <v>37</v>
      </c>
      <c r="G155" s="106" t="s">
        <v>37</v>
      </c>
      <c r="H155" s="106" t="s">
        <v>37</v>
      </c>
      <c r="I155" s="106" t="s">
        <v>37</v>
      </c>
      <c r="J155" s="106" t="s">
        <v>37</v>
      </c>
      <c r="K155" s="107">
        <f t="array" aca="1" ref="K155" ca="1">_xll.GetPrice("FP-LBR-1248","Actual","Low",_LATESTvarPubDate)</f>
        <v>435</v>
      </c>
      <c r="L155" s="107">
        <f t="array" aca="1" ref="L155" ca="1">_xll.GetPrice("FP-LBR-1258","Actual","Low",_LATESTvarPubDate)</f>
        <v>445</v>
      </c>
      <c r="M155" s="106" t="s">
        <v>37</v>
      </c>
      <c r="N155" s="106" t="s">
        <v>37</v>
      </c>
      <c r="P155" s="105" t="s">
        <v>112</v>
      </c>
      <c r="Q155" s="107">
        <f t="array" aca="1" ref="Q155" ca="1">_xll.GetPrice("FP-LBR-0303","Actual","Low",_LATESTvarPubDate)</f>
        <v>465</v>
      </c>
      <c r="S155" s="73"/>
      <c r="T155" s="73"/>
      <c r="U155" s="73"/>
      <c r="V155" s="73"/>
      <c r="W155" s="73"/>
      <c r="X155" s="73"/>
      <c r="Y155" s="73"/>
      <c r="Z155" s="73"/>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95"/>
      <c r="BB155" s="95"/>
      <c r="BC155" s="95"/>
      <c r="BD155" s="95"/>
      <c r="BE155" s="95"/>
      <c r="BF155" s="95"/>
      <c r="BG155" s="95"/>
      <c r="BH155" s="95"/>
      <c r="BI155" s="95"/>
      <c r="BJ155" s="95"/>
      <c r="BK155" s="95"/>
      <c r="BL155" s="95"/>
      <c r="BM155" s="95"/>
      <c r="BN155" s="95"/>
      <c r="BO155" s="95"/>
      <c r="BP155" s="95"/>
      <c r="BQ155" s="95"/>
    </row>
    <row r="156" spans="1:69" s="71" customFormat="1" x14ac:dyDescent="0.2">
      <c r="A156" s="105" t="s">
        <v>113</v>
      </c>
      <c r="B156" s="108" t="s">
        <v>37</v>
      </c>
      <c r="C156" s="108" t="s">
        <v>37</v>
      </c>
      <c r="D156" s="108" t="s">
        <v>37</v>
      </c>
      <c r="E156" s="108" t="s">
        <v>37</v>
      </c>
      <c r="F156" s="108" t="s">
        <v>37</v>
      </c>
      <c r="G156" s="106" t="s">
        <v>37</v>
      </c>
      <c r="H156" s="109">
        <f t="array" aca="1" ref="H156" ca="1">_xll.GetPrice("FP-LBR-0419","Actual","Low",_LATESTvarPubDate)</f>
        <v>390</v>
      </c>
      <c r="I156" s="107">
        <f t="array" aca="1" ref="I156" ca="1">_xll.GetPrice("FP-LBR-0541","Actual","Low",_LATESTvarPubDate)</f>
        <v>506</v>
      </c>
      <c r="J156" s="107">
        <f t="array" aca="1" ref="J156" ca="1">_xll.GetPrice("FP-LBR-0549","Actual","Low",_LATESTvarPubDate)</f>
        <v>530</v>
      </c>
      <c r="K156" s="107">
        <f t="array" aca="1" ref="K156" ca="1">_xll.GetPrice("FP-LBR-1249","Actual","Low",_LATESTvarPubDate)</f>
        <v>515</v>
      </c>
      <c r="L156" s="107">
        <f t="array" aca="1" ref="L156" ca="1">_xll.GetPrice("FP-LBR-1259","Actual","Low",_LATESTvarPubDate)</f>
        <v>515</v>
      </c>
      <c r="M156" s="107">
        <f t="array" aca="1" ref="M156" ca="1">_xll.GetPrice("FP-LBR-1266","Actual","Low",_LATESTvarPubDate)</f>
        <v>610</v>
      </c>
      <c r="N156" s="107">
        <f t="array" aca="1" ref="N156" ca="1">_xll.GetPrice("FP-LBR-1272","Actual","Low",_LATESTvarPubDate)</f>
        <v>590</v>
      </c>
      <c r="P156" s="105" t="s">
        <v>114</v>
      </c>
      <c r="Q156" s="107" cm="1">
        <f t="array" aca="1" ref="Q156" ca="1">_xll.GetPrice("FP-LBR-2228","Actual","Low",_LATESTvarPubDate)</f>
        <v>570</v>
      </c>
      <c r="S156" s="73"/>
      <c r="T156" s="73"/>
      <c r="U156" s="73"/>
      <c r="V156" s="73"/>
      <c r="W156" s="73"/>
      <c r="X156" s="73"/>
      <c r="Y156" s="73"/>
      <c r="Z156" s="73"/>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95"/>
      <c r="BB156" s="95"/>
      <c r="BC156" s="95"/>
      <c r="BD156" s="95"/>
      <c r="BE156" s="95"/>
      <c r="BF156" s="95"/>
      <c r="BG156" s="95"/>
      <c r="BH156" s="95"/>
      <c r="BI156" s="95"/>
      <c r="BJ156" s="95"/>
      <c r="BK156" s="95"/>
      <c r="BL156" s="95"/>
      <c r="BM156" s="95"/>
      <c r="BN156" s="95"/>
      <c r="BO156" s="95"/>
      <c r="BP156" s="95"/>
      <c r="BQ156" s="95"/>
    </row>
    <row r="157" spans="1:69" s="71" customFormat="1" x14ac:dyDescent="0.2">
      <c r="A157" s="113" t="s">
        <v>115</v>
      </c>
      <c r="B157" s="107">
        <f t="array" aca="1" ref="B157" ca="1">_xll.GetPrice("FP-LBR-0175","Actual","Low",_LATESTvarPubDate)</f>
        <v>420</v>
      </c>
      <c r="C157" s="107">
        <f t="array" aca="1" ref="C157" ca="1">_xll.GetPrice("FP-LBR-0293","Actual","Low",_LATESTvarPubDate)</f>
        <v>430</v>
      </c>
      <c r="D157" s="107">
        <f t="array" aca="1" ref="D157" ca="1">_xll.GetPrice("FP-LBR-0182","Actual","Low",_LATESTvarPubDate)</f>
        <v>440</v>
      </c>
      <c r="E157" s="107">
        <f t="array" aca="1" ref="E157" ca="1">_xll.GetPrice("FP-LBR-0289","Actual","Low",_LATESTvarPubDate)</f>
        <v>440</v>
      </c>
      <c r="F157" s="107">
        <f t="array" aca="1" ref="F157" ca="1">_xll.GetPrice("FP-LBR-0298","Actual","Low",_LATESTvarPubDate)</f>
        <v>440</v>
      </c>
      <c r="G157" s="108" t="s">
        <v>37</v>
      </c>
      <c r="H157" s="107">
        <f t="array" aca="1" ref="H157" ca="1">_xll.GetPrice("FP-LBR-0420","Actual","Low",_LATESTvarPubDate)</f>
        <v>455</v>
      </c>
      <c r="I157" s="107">
        <f t="array" aca="1" ref="I157" ca="1">_xll.GetPrice("FP-LBR-0542","Actual","Low",_LATESTvarPubDate)</f>
        <v>571</v>
      </c>
      <c r="J157" s="108" t="s">
        <v>37</v>
      </c>
      <c r="K157" s="108" t="s">
        <v>37</v>
      </c>
      <c r="L157" s="108" t="s">
        <v>37</v>
      </c>
      <c r="M157" s="108" t="s">
        <v>37</v>
      </c>
      <c r="N157" s="108" t="s">
        <v>37</v>
      </c>
      <c r="O157" s="74"/>
      <c r="P157" s="104" t="s">
        <v>52</v>
      </c>
      <c r="R157" s="73"/>
      <c r="S157" s="73"/>
      <c r="T157" s="73"/>
      <c r="U157" s="73"/>
      <c r="V157" s="73"/>
      <c r="W157" s="73"/>
      <c r="X157" s="73"/>
      <c r="Y157" s="73"/>
      <c r="Z157" s="73"/>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95"/>
      <c r="BB157" s="95"/>
      <c r="BC157" s="95"/>
      <c r="BD157" s="95"/>
      <c r="BE157" s="95"/>
      <c r="BF157" s="95"/>
      <c r="BG157" s="95"/>
      <c r="BH157" s="95"/>
      <c r="BI157" s="95"/>
      <c r="BJ157" s="95"/>
      <c r="BK157" s="95"/>
      <c r="BL157" s="95"/>
      <c r="BM157" s="95"/>
      <c r="BN157" s="95"/>
      <c r="BO157" s="95"/>
      <c r="BP157" s="95"/>
      <c r="BQ157" s="95"/>
    </row>
    <row r="158" spans="1:69" s="71" customFormat="1" x14ac:dyDescent="0.2">
      <c r="A158" s="105" t="s">
        <v>116</v>
      </c>
      <c r="B158" s="108" t="s">
        <v>37</v>
      </c>
      <c r="C158" s="108" t="s">
        <v>37</v>
      </c>
      <c r="D158" s="108" t="s">
        <v>37</v>
      </c>
      <c r="E158" s="108" t="s">
        <v>37</v>
      </c>
      <c r="F158" s="108" t="s">
        <v>37</v>
      </c>
      <c r="G158" s="106" t="s">
        <v>37</v>
      </c>
      <c r="H158" s="107">
        <f t="array" aca="1" ref="H158" ca="1">_xll.GetPrice("FP-LBR-0421","Actual","Low",_LATESTvarPubDate)</f>
        <v>433</v>
      </c>
      <c r="I158" s="107">
        <f t="array" aca="1" ref="I158" ca="1">_xll.GetPrice("FP-LBR-0543","Actual","Low",_LATESTvarPubDate)</f>
        <v>549</v>
      </c>
      <c r="J158" s="107">
        <f t="array" aca="1" ref="J158" ca="1">_xll.GetPrice("FP-LBR-0550","Actual","Low",_LATESTvarPubDate)</f>
        <v>573</v>
      </c>
      <c r="K158" s="107">
        <f t="array" aca="1" ref="K158" ca="1">_xll.GetPrice("FP-LBR-1250","Actual","Low",_LATESTvarPubDate)</f>
        <v>575</v>
      </c>
      <c r="L158" s="107">
        <f t="array" aca="1" ref="L158" ca="1">_xll.GetPrice("FP-LBR-1260","Actual","Low",_LATESTvarPubDate)</f>
        <v>575</v>
      </c>
      <c r="M158" s="107">
        <f t="array" aca="1" ref="M158" ca="1">_xll.GetPrice("FP-LBR-1267","Actual","Low",_LATESTvarPubDate)</f>
        <v>655</v>
      </c>
      <c r="N158" s="107">
        <f t="array" aca="1" ref="N158" ca="1">_xll.GetPrice("FP-LBR-1273","Actual","Low",_LATESTvarPubDate)</f>
        <v>640</v>
      </c>
      <c r="P158" s="105" t="s">
        <v>110</v>
      </c>
      <c r="Q158" s="107">
        <f t="array" aca="1" ref="Q158" ca="1">_xll.GetPrice("FP-LBR-0300","Actual","Low",_LATESTvarPubDate)</f>
        <v>465</v>
      </c>
      <c r="S158" s="73"/>
      <c r="T158" s="73"/>
      <c r="U158" s="73"/>
      <c r="V158" s="73"/>
      <c r="W158" s="73"/>
      <c r="X158" s="73"/>
      <c r="Y158" s="73"/>
      <c r="Z158" s="73"/>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95"/>
      <c r="BB158" s="95"/>
      <c r="BC158" s="95"/>
      <c r="BD158" s="95"/>
      <c r="BE158" s="95"/>
      <c r="BF158" s="95"/>
      <c r="BG158" s="95"/>
      <c r="BH158" s="95"/>
      <c r="BI158" s="95"/>
      <c r="BJ158" s="95"/>
      <c r="BK158" s="95"/>
      <c r="BL158" s="95"/>
      <c r="BM158" s="95"/>
      <c r="BN158" s="95"/>
      <c r="BO158" s="95"/>
      <c r="BP158" s="95"/>
      <c r="BQ158" s="95"/>
    </row>
    <row r="159" spans="1:69" s="71" customFormat="1" x14ac:dyDescent="0.2">
      <c r="A159" s="113" t="s">
        <v>117</v>
      </c>
      <c r="B159" s="107">
        <f t="array" aca="1" ref="B159" ca="1">_xll.GetPrice("FP-LBR-0176","Actual","Low",_LATESTvarPubDate)</f>
        <v>475</v>
      </c>
      <c r="C159" s="107">
        <f t="array" aca="1" ref="C159" ca="1">_xll.GetPrice("FP-LBR-0294","Actual","Low",_LATESTvarPubDate)</f>
        <v>500</v>
      </c>
      <c r="D159" s="107">
        <f t="array" aca="1" ref="D159" ca="1">_xll.GetPrice("FP-LBR-0183","Actual","Low",_LATESTvarPubDate)</f>
        <v>485</v>
      </c>
      <c r="E159" s="107">
        <f t="array" aca="1" ref="E159" ca="1">_xll.GetPrice("FP-LBR-0290","Actual","Low",_LATESTvarPubDate)</f>
        <v>505</v>
      </c>
      <c r="F159" s="107">
        <f t="array" aca="1" ref="F159" ca="1">_xll.GetPrice("FP-LBR-0299","Actual","Low",_LATESTvarPubDate)</f>
        <v>505</v>
      </c>
      <c r="G159" s="108" t="s">
        <v>37</v>
      </c>
      <c r="H159" s="107">
        <f t="array" aca="1" ref="H159" ca="1">_xll.GetPrice("FP-LBR-0422","Actual","Low",_LATESTvarPubDate)</f>
        <v>498</v>
      </c>
      <c r="I159" s="107">
        <f t="array" aca="1" ref="I159" ca="1">_xll.GetPrice("FP-LBR-0544","Actual","Low",_LATESTvarPubDate)</f>
        <v>614</v>
      </c>
      <c r="J159" s="108" t="s">
        <v>37</v>
      </c>
      <c r="K159" s="107">
        <f t="array" aca="1" ref="K159" ca="1">_xll.GetPrice("FP-LBR-1251","Actual","Low",_LATESTvarPubDate)</f>
        <v>585</v>
      </c>
      <c r="L159" s="107">
        <f t="array" aca="1" ref="L159" ca="1">_xll.GetPrice("FP-LBR-1261","Actual","Low",_LATESTvarPubDate)</f>
        <v>585</v>
      </c>
      <c r="M159" s="108" t="s">
        <v>37</v>
      </c>
      <c r="N159" s="108" t="s">
        <v>37</v>
      </c>
      <c r="O159" s="73"/>
      <c r="P159" s="105" t="s">
        <v>112</v>
      </c>
      <c r="Q159" s="107">
        <f t="array" aca="1" ref="Q159" ca="1">_xll.GetPrice("FP-LBR-0301","Actual","Low",_LATESTvarPubDate)</f>
        <v>465</v>
      </c>
      <c r="R159" s="73"/>
      <c r="S159" s="73"/>
      <c r="T159" s="73"/>
      <c r="U159" s="73"/>
      <c r="V159" s="73"/>
      <c r="W159" s="73"/>
      <c r="X159" s="73"/>
      <c r="Y159" s="73"/>
      <c r="Z159" s="73"/>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95"/>
      <c r="BB159" s="95"/>
      <c r="BC159" s="95"/>
      <c r="BD159" s="95"/>
      <c r="BE159" s="95"/>
      <c r="BF159" s="95"/>
      <c r="BG159" s="95"/>
      <c r="BH159" s="95"/>
      <c r="BI159" s="95"/>
      <c r="BJ159" s="95"/>
      <c r="BK159" s="95"/>
      <c r="BL159" s="95"/>
      <c r="BM159" s="95"/>
      <c r="BN159" s="95"/>
      <c r="BO159" s="95"/>
      <c r="BP159" s="95"/>
      <c r="BQ159" s="95"/>
    </row>
    <row r="160" spans="1:69" s="71" customFormat="1" x14ac:dyDescent="0.2">
      <c r="A160" s="113" t="s">
        <v>118</v>
      </c>
      <c r="B160" s="107">
        <f t="array" aca="1" ref="B160" ca="1">_xll.GetPrice("FP-LBR-0177","Actual","Low",_LATESTvarPubDate)</f>
        <v>470</v>
      </c>
      <c r="C160" s="108" t="s">
        <v>37</v>
      </c>
      <c r="D160" s="107">
        <f t="array" aca="1" ref="D160" ca="1">_xll.GetPrice("FP-LBR-0184","Actual","Low",_LATESTvarPubDate)</f>
        <v>485</v>
      </c>
      <c r="E160" s="108" t="s">
        <v>37</v>
      </c>
      <c r="F160" s="108" t="s">
        <v>37</v>
      </c>
      <c r="G160" s="108" t="s">
        <v>37</v>
      </c>
      <c r="H160" s="108" t="s">
        <v>37</v>
      </c>
      <c r="I160" s="108" t="s">
        <v>37</v>
      </c>
      <c r="J160" s="108" t="s">
        <v>37</v>
      </c>
      <c r="K160" s="108" t="s">
        <v>37</v>
      </c>
      <c r="L160" s="108" t="s">
        <v>37</v>
      </c>
      <c r="M160" s="108" t="s">
        <v>37</v>
      </c>
      <c r="N160" s="108" t="s">
        <v>37</v>
      </c>
      <c r="O160" s="73"/>
      <c r="P160" s="105" t="s">
        <v>114</v>
      </c>
      <c r="Q160" s="107" cm="1">
        <f t="array" aca="1" ref="Q160" ca="1">_xll.GetPrice("FP-LBR-2229","Actual","Low",_LATESTvarPubDate)</f>
        <v>570</v>
      </c>
      <c r="R160" s="73"/>
      <c r="S160" s="73"/>
      <c r="T160" s="73"/>
      <c r="U160" s="73"/>
      <c r="V160" s="73"/>
      <c r="W160" s="73"/>
      <c r="X160" s="73"/>
      <c r="Y160" s="73"/>
      <c r="Z160" s="73"/>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95"/>
      <c r="BB160" s="95"/>
      <c r="BC160" s="95"/>
      <c r="BD160" s="95"/>
      <c r="BE160" s="95"/>
      <c r="BF160" s="95"/>
      <c r="BG160" s="95"/>
      <c r="BH160" s="95"/>
      <c r="BI160" s="95"/>
      <c r="BJ160" s="95"/>
      <c r="BK160" s="95"/>
      <c r="BL160" s="95"/>
      <c r="BM160" s="95"/>
      <c r="BN160" s="95"/>
      <c r="BO160" s="95"/>
      <c r="BP160" s="95"/>
      <c r="BQ160" s="95"/>
    </row>
    <row r="161" spans="1:69" s="71" customFormat="1" x14ac:dyDescent="0.2">
      <c r="A161" s="114" t="s">
        <v>119</v>
      </c>
      <c r="B161" s="107">
        <f t="array" aca="1" ref="B161" ca="1">_xll.GetPrice("FP-LBR-0899","Actual","Low",_LATESTvarPubDate)</f>
        <v>10</v>
      </c>
      <c r="C161" s="107">
        <f t="array" aca="1" ref="C161" ca="1">_xll.GetPrice("FP-LBR-0899","Actual","High",_LATESTvarPubDate)</f>
        <v>20</v>
      </c>
      <c r="P161" s="104" t="s">
        <v>120</v>
      </c>
      <c r="Q161" s="73"/>
      <c r="R161" s="73"/>
      <c r="S161" s="73"/>
      <c r="T161" s="73"/>
      <c r="U161" s="73"/>
      <c r="V161" s="73"/>
      <c r="W161" s="73"/>
      <c r="X161" s="73"/>
      <c r="Y161" s="73"/>
      <c r="Z161" s="73"/>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95"/>
      <c r="BB161" s="95"/>
      <c r="BC161" s="95"/>
      <c r="BD161" s="95"/>
      <c r="BE161" s="95"/>
      <c r="BF161" s="95"/>
      <c r="BG161" s="95"/>
      <c r="BH161" s="95"/>
      <c r="BI161" s="95"/>
      <c r="BJ161" s="95"/>
      <c r="BK161" s="95"/>
      <c r="BL161" s="95"/>
      <c r="BM161" s="95"/>
      <c r="BN161" s="95"/>
      <c r="BO161" s="95"/>
      <c r="BP161" s="95"/>
      <c r="BQ161" s="95"/>
    </row>
    <row r="162" spans="1:69" s="71" customFormat="1" x14ac:dyDescent="0.2">
      <c r="A162" s="114" t="s">
        <v>121</v>
      </c>
      <c r="C162" s="107">
        <f t="array" aca="1" ref="C162" ca="1">_xll.GetPrice("FP-LBR-0900","Actual","Low",_LATESTvarPubDate)</f>
        <v>15</v>
      </c>
      <c r="F162" s="74"/>
      <c r="G162" s="73"/>
      <c r="H162" s="73"/>
      <c r="I162" s="73"/>
      <c r="J162" s="73"/>
      <c r="K162" s="73"/>
      <c r="L162" s="73"/>
      <c r="M162" s="73"/>
      <c r="N162" s="73"/>
      <c r="P162" s="105" t="s">
        <v>110</v>
      </c>
      <c r="Q162" s="109">
        <f t="array" aca="1" ref="Q162" ca="1">_xll.GetPrice("FP-LBR-0423","Actual","Low",_LATESTvarPubDate)</f>
        <v>435</v>
      </c>
      <c r="R162" s="73"/>
      <c r="S162" s="73"/>
      <c r="T162" s="73"/>
      <c r="U162" s="73"/>
      <c r="V162" s="73"/>
      <c r="W162" s="73"/>
      <c r="X162" s="73"/>
      <c r="Y162" s="73"/>
      <c r="Z162" s="73"/>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95"/>
      <c r="BB162" s="95"/>
      <c r="BC162" s="95"/>
      <c r="BD162" s="95"/>
      <c r="BE162" s="95"/>
      <c r="BF162" s="95"/>
      <c r="BG162" s="95"/>
      <c r="BH162" s="95"/>
      <c r="BI162" s="95"/>
      <c r="BJ162" s="95"/>
      <c r="BK162" s="95"/>
      <c r="BL162" s="95"/>
      <c r="BM162" s="95"/>
      <c r="BN162" s="95"/>
      <c r="BO162" s="95"/>
      <c r="BP162" s="95"/>
      <c r="BQ162" s="95"/>
    </row>
    <row r="163" spans="1:69" s="71" customFormat="1" x14ac:dyDescent="0.2">
      <c r="F163" s="73"/>
      <c r="G163" s="73"/>
      <c r="H163" s="73"/>
      <c r="I163" s="73"/>
      <c r="J163" s="73"/>
      <c r="K163" s="73"/>
      <c r="L163" s="73"/>
      <c r="M163" s="73"/>
      <c r="N163" s="73"/>
      <c r="P163" s="105" t="s">
        <v>122</v>
      </c>
      <c r="Q163" s="107">
        <f t="array" aca="1" ref="Q163" ca="1">_xll.GetPrice("FP-LBR-0551","Actual","Low",_LATESTvarPubDate)</f>
        <v>547</v>
      </c>
      <c r="R163" s="73"/>
      <c r="S163" s="73"/>
      <c r="T163" s="73"/>
      <c r="U163" s="73"/>
      <c r="V163" s="73"/>
      <c r="W163" s="73"/>
      <c r="X163" s="73"/>
      <c r="Y163" s="73"/>
      <c r="Z163" s="73"/>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95"/>
      <c r="BB163" s="95"/>
      <c r="BC163" s="95"/>
      <c r="BD163" s="95"/>
      <c r="BE163" s="95"/>
      <c r="BF163" s="95"/>
      <c r="BG163" s="95"/>
      <c r="BH163" s="95"/>
      <c r="BI163" s="95"/>
      <c r="BJ163" s="95"/>
      <c r="BK163" s="95"/>
      <c r="BL163" s="95"/>
      <c r="BM163" s="95"/>
      <c r="BN163" s="95"/>
      <c r="BO163" s="95"/>
      <c r="BP163" s="95"/>
      <c r="BQ163" s="95"/>
    </row>
    <row r="164" spans="1:69" s="71" customFormat="1" x14ac:dyDescent="0.2">
      <c r="P164" s="105" t="s">
        <v>114</v>
      </c>
      <c r="Q164" s="107" cm="1">
        <f t="array" aca="1" ref="Q164" ca="1">_xll.GetPrice("FP-LBR-2230","Actual","Low",_LATESTvarPubDate)</f>
        <v>580</v>
      </c>
      <c r="S164" s="73"/>
      <c r="T164" s="73"/>
      <c r="U164" s="73"/>
      <c r="V164" s="73"/>
      <c r="W164" s="73"/>
      <c r="X164" s="73"/>
      <c r="Y164" s="73"/>
      <c r="Z164" s="73"/>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95"/>
      <c r="BB164" s="95"/>
      <c r="BC164" s="95"/>
      <c r="BD164" s="95"/>
      <c r="BE164" s="95"/>
      <c r="BF164" s="95"/>
      <c r="BG164" s="95"/>
      <c r="BH164" s="95"/>
      <c r="BI164" s="95"/>
      <c r="BJ164" s="95"/>
      <c r="BK164" s="95"/>
      <c r="BL164" s="95"/>
      <c r="BM164" s="95"/>
      <c r="BN164" s="95"/>
      <c r="BO164" s="95"/>
      <c r="BP164" s="95"/>
      <c r="BQ164" s="95"/>
    </row>
    <row r="165" spans="1:69" s="71" customForma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95"/>
      <c r="BB165" s="95"/>
      <c r="BC165" s="95"/>
      <c r="BD165" s="95"/>
      <c r="BE165" s="95"/>
      <c r="BF165" s="95"/>
      <c r="BG165" s="95"/>
      <c r="BH165" s="95"/>
      <c r="BI165" s="95"/>
      <c r="BJ165" s="95"/>
      <c r="BK165" s="95"/>
      <c r="BL165" s="95"/>
      <c r="BM165" s="95"/>
      <c r="BN165" s="95"/>
      <c r="BO165" s="95"/>
      <c r="BP165" s="95"/>
      <c r="BQ165" s="95"/>
    </row>
    <row r="166" spans="1:69" s="71" customForma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95"/>
      <c r="BB166" s="95"/>
      <c r="BC166" s="95"/>
      <c r="BD166" s="95"/>
      <c r="BE166" s="95"/>
      <c r="BF166" s="95"/>
      <c r="BG166" s="95"/>
      <c r="BH166" s="95"/>
      <c r="BI166" s="95"/>
      <c r="BJ166" s="95"/>
      <c r="BK166" s="95"/>
      <c r="BL166" s="95"/>
      <c r="BM166" s="95"/>
      <c r="BN166" s="95"/>
      <c r="BO166" s="95"/>
      <c r="BP166" s="95"/>
      <c r="BQ166" s="95"/>
    </row>
    <row r="167" spans="1:69" s="71" customForma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95"/>
      <c r="BB167" s="95"/>
      <c r="BC167" s="95"/>
      <c r="BD167" s="95"/>
      <c r="BE167" s="95"/>
      <c r="BF167" s="95"/>
      <c r="BG167" s="95"/>
      <c r="BH167" s="95"/>
      <c r="BI167" s="95"/>
      <c r="BJ167" s="95"/>
      <c r="BK167" s="95"/>
      <c r="BL167" s="95"/>
      <c r="BM167" s="95"/>
      <c r="BN167" s="95"/>
      <c r="BO167" s="95"/>
      <c r="BP167" s="95"/>
      <c r="BQ167" s="95"/>
    </row>
    <row r="168" spans="1:69" s="71" customForma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95"/>
      <c r="BB168" s="95"/>
      <c r="BC168" s="95"/>
      <c r="BD168" s="95"/>
      <c r="BE168" s="95"/>
      <c r="BF168" s="95"/>
      <c r="BG168" s="95"/>
      <c r="BH168" s="95"/>
      <c r="BI168" s="95"/>
      <c r="BJ168" s="95"/>
      <c r="BK168" s="95"/>
      <c r="BL168" s="95"/>
      <c r="BM168" s="95"/>
      <c r="BN168" s="95"/>
      <c r="BO168" s="95"/>
      <c r="BP168" s="95"/>
      <c r="BQ168" s="95"/>
    </row>
    <row r="169" spans="1:69" s="71" customForma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95"/>
      <c r="BB169" s="95"/>
      <c r="BC169" s="95"/>
      <c r="BD169" s="95"/>
      <c r="BE169" s="95"/>
      <c r="BF169" s="95"/>
      <c r="BG169" s="95"/>
      <c r="BH169" s="95"/>
      <c r="BI169" s="95"/>
      <c r="BJ169" s="95"/>
      <c r="BK169" s="95"/>
      <c r="BL169" s="95"/>
      <c r="BM169" s="95"/>
      <c r="BN169" s="95"/>
      <c r="BO169" s="95"/>
      <c r="BP169" s="95"/>
      <c r="BQ169" s="95"/>
    </row>
    <row r="170" spans="1:69" s="71" customForma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95"/>
      <c r="BB170" s="95"/>
      <c r="BC170" s="95"/>
      <c r="BD170" s="95"/>
      <c r="BE170" s="95"/>
      <c r="BF170" s="95"/>
      <c r="BG170" s="95"/>
      <c r="BH170" s="95"/>
      <c r="BI170" s="95"/>
      <c r="BJ170" s="95"/>
      <c r="BK170" s="95"/>
      <c r="BL170" s="95"/>
      <c r="BM170" s="95"/>
      <c r="BN170" s="95"/>
      <c r="BO170" s="95"/>
      <c r="BP170" s="95"/>
      <c r="BQ170" s="95"/>
    </row>
    <row r="171" spans="1:69" s="71" customForma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95"/>
      <c r="BB171" s="95"/>
      <c r="BC171" s="95"/>
      <c r="BD171" s="95"/>
      <c r="BE171" s="95"/>
      <c r="BF171" s="95"/>
      <c r="BG171" s="95"/>
      <c r="BH171" s="95"/>
      <c r="BI171" s="95"/>
      <c r="BJ171" s="95"/>
      <c r="BK171" s="95"/>
      <c r="BL171" s="95"/>
      <c r="BM171" s="95"/>
      <c r="BN171" s="95"/>
      <c r="BO171" s="95"/>
      <c r="BP171" s="95"/>
      <c r="BQ171" s="95"/>
    </row>
    <row r="172" spans="1:69" s="71" customForma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95"/>
      <c r="BB172" s="95"/>
      <c r="BC172" s="95"/>
      <c r="BD172" s="95"/>
      <c r="BE172" s="95"/>
      <c r="BF172" s="95"/>
      <c r="BG172" s="95"/>
      <c r="BH172" s="95"/>
      <c r="BI172" s="95"/>
      <c r="BJ172" s="95"/>
      <c r="BK172" s="95"/>
      <c r="BL172" s="95"/>
      <c r="BM172" s="95"/>
      <c r="BN172" s="95"/>
      <c r="BO172" s="95"/>
      <c r="BP172" s="95"/>
      <c r="BQ172" s="95"/>
    </row>
    <row r="173" spans="1:69" s="71" customForma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95"/>
      <c r="BB173" s="95"/>
      <c r="BC173" s="95"/>
      <c r="BD173" s="95"/>
      <c r="BE173" s="95"/>
      <c r="BF173" s="95"/>
      <c r="BG173" s="95"/>
      <c r="BH173" s="95"/>
      <c r="BI173" s="95"/>
      <c r="BJ173" s="95"/>
      <c r="BK173" s="95"/>
      <c r="BL173" s="95"/>
      <c r="BM173" s="95"/>
      <c r="BN173" s="95"/>
      <c r="BO173" s="95"/>
      <c r="BP173" s="95"/>
      <c r="BQ173" s="95"/>
    </row>
    <row r="174" spans="1:69" s="71" customForma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95"/>
      <c r="BB174" s="95"/>
      <c r="BC174" s="95"/>
      <c r="BD174" s="95"/>
      <c r="BE174" s="95"/>
      <c r="BF174" s="95"/>
      <c r="BG174" s="95"/>
      <c r="BH174" s="95"/>
      <c r="BI174" s="95"/>
      <c r="BJ174" s="95"/>
      <c r="BK174" s="95"/>
      <c r="BL174" s="95"/>
      <c r="BM174" s="95"/>
      <c r="BN174" s="95"/>
      <c r="BO174" s="95"/>
      <c r="BP174" s="95"/>
      <c r="BQ174" s="95"/>
    </row>
    <row r="175" spans="1:69" s="71" customForma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95"/>
      <c r="BB175" s="95"/>
      <c r="BC175" s="95"/>
      <c r="BD175" s="95"/>
      <c r="BE175" s="95"/>
      <c r="BF175" s="95"/>
      <c r="BG175" s="95"/>
      <c r="BH175" s="95"/>
      <c r="BI175" s="95"/>
      <c r="BJ175" s="95"/>
      <c r="BK175" s="95"/>
      <c r="BL175" s="95"/>
      <c r="BM175" s="95"/>
      <c r="BN175" s="95"/>
      <c r="BO175" s="95"/>
      <c r="BP175" s="95"/>
      <c r="BQ175" s="95"/>
    </row>
    <row r="176" spans="1:69" s="71" customForma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95"/>
      <c r="BB176" s="95"/>
      <c r="BC176" s="95"/>
      <c r="BD176" s="95"/>
      <c r="BE176" s="95"/>
      <c r="BF176" s="95"/>
      <c r="BG176" s="95"/>
      <c r="BH176" s="95"/>
      <c r="BI176" s="95"/>
      <c r="BJ176" s="95"/>
      <c r="BK176" s="95"/>
      <c r="BL176" s="95"/>
      <c r="BM176" s="95"/>
      <c r="BN176" s="95"/>
      <c r="BO176" s="95"/>
      <c r="BP176" s="95"/>
      <c r="BQ176" s="95"/>
    </row>
    <row r="177" spans="1:69" s="71" customForma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95"/>
      <c r="BB177" s="95"/>
      <c r="BC177" s="95"/>
      <c r="BD177" s="95"/>
      <c r="BE177" s="95"/>
      <c r="BF177" s="95"/>
      <c r="BG177" s="95"/>
      <c r="BH177" s="95"/>
      <c r="BI177" s="95"/>
      <c r="BJ177" s="95"/>
      <c r="BK177" s="95"/>
      <c r="BL177" s="95"/>
      <c r="BM177" s="95"/>
      <c r="BN177" s="95"/>
      <c r="BO177" s="95"/>
      <c r="BP177" s="95"/>
      <c r="BQ177" s="95"/>
    </row>
    <row r="178" spans="1:69" s="71" customForma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95"/>
      <c r="BB178" s="95"/>
      <c r="BC178" s="95"/>
      <c r="BD178" s="95"/>
      <c r="BE178" s="95"/>
      <c r="BF178" s="95"/>
      <c r="BG178" s="95"/>
      <c r="BH178" s="95"/>
      <c r="BI178" s="95"/>
      <c r="BJ178" s="95"/>
      <c r="BK178" s="95"/>
      <c r="BL178" s="95"/>
      <c r="BM178" s="95"/>
      <c r="BN178" s="95"/>
      <c r="BO178" s="95"/>
      <c r="BP178" s="95"/>
      <c r="BQ178" s="95"/>
    </row>
    <row r="179" spans="1:69" s="71" customForma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95"/>
      <c r="BB179" s="95"/>
      <c r="BC179" s="95"/>
      <c r="BD179" s="95"/>
      <c r="BE179" s="95"/>
      <c r="BF179" s="95"/>
      <c r="BG179" s="95"/>
      <c r="BH179" s="95"/>
      <c r="BI179" s="95"/>
      <c r="BJ179" s="95"/>
      <c r="BK179" s="95"/>
      <c r="BL179" s="95"/>
      <c r="BM179" s="95"/>
      <c r="BN179" s="95"/>
      <c r="BO179" s="95"/>
      <c r="BP179" s="95"/>
      <c r="BQ179" s="95"/>
    </row>
    <row r="180" spans="1:69" s="71" customForma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95"/>
      <c r="BB180" s="95"/>
      <c r="BC180" s="95"/>
      <c r="BD180" s="95"/>
      <c r="BE180" s="95"/>
      <c r="BF180" s="95"/>
      <c r="BG180" s="95"/>
      <c r="BH180" s="95"/>
      <c r="BI180" s="95"/>
      <c r="BJ180" s="95"/>
      <c r="BK180" s="95"/>
      <c r="BL180" s="95"/>
      <c r="BM180" s="95"/>
      <c r="BN180" s="95"/>
      <c r="BO180" s="95"/>
      <c r="BP180" s="95"/>
      <c r="BQ180" s="95"/>
    </row>
    <row r="181" spans="1:69" s="71" customForma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95"/>
      <c r="BB181" s="95"/>
      <c r="BC181" s="95"/>
      <c r="BD181" s="95"/>
      <c r="BE181" s="95"/>
      <c r="BF181" s="95"/>
      <c r="BG181" s="95"/>
      <c r="BH181" s="95"/>
      <c r="BI181" s="95"/>
      <c r="BJ181" s="95"/>
      <c r="BK181" s="95"/>
      <c r="BL181" s="95"/>
      <c r="BM181" s="95"/>
      <c r="BN181" s="95"/>
      <c r="BO181" s="95"/>
      <c r="BP181" s="95"/>
      <c r="BQ181" s="95"/>
    </row>
    <row r="182" spans="1:69" s="71" customForma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95"/>
      <c r="BB182" s="95"/>
      <c r="BC182" s="95"/>
      <c r="BD182" s="95"/>
      <c r="BE182" s="95"/>
      <c r="BF182" s="95"/>
      <c r="BG182" s="95"/>
      <c r="BH182" s="95"/>
      <c r="BI182" s="95"/>
      <c r="BJ182" s="95"/>
      <c r="BK182" s="95"/>
      <c r="BL182" s="95"/>
      <c r="BM182" s="95"/>
      <c r="BN182" s="95"/>
      <c r="BO182" s="95"/>
      <c r="BP182" s="95"/>
      <c r="BQ182" s="95"/>
    </row>
    <row r="183" spans="1:69" s="71" customForma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95"/>
      <c r="BB183" s="95"/>
      <c r="BC183" s="95"/>
      <c r="BD183" s="95"/>
      <c r="BE183" s="95"/>
      <c r="BF183" s="95"/>
      <c r="BG183" s="95"/>
      <c r="BH183" s="95"/>
      <c r="BI183" s="95"/>
      <c r="BJ183" s="95"/>
      <c r="BK183" s="95"/>
      <c r="BL183" s="95"/>
      <c r="BM183" s="95"/>
      <c r="BN183" s="95"/>
      <c r="BO183" s="95"/>
      <c r="BP183" s="95"/>
      <c r="BQ183" s="95"/>
    </row>
    <row r="184" spans="1:69" s="71" customForma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95"/>
      <c r="BB184" s="95"/>
      <c r="BC184" s="95"/>
      <c r="BD184" s="95"/>
      <c r="BE184" s="95"/>
      <c r="BF184" s="95"/>
      <c r="BG184" s="95"/>
      <c r="BH184" s="95"/>
      <c r="BI184" s="95"/>
      <c r="BJ184" s="95"/>
      <c r="BK184" s="95"/>
      <c r="BL184" s="95"/>
      <c r="BM184" s="95"/>
      <c r="BN184" s="95"/>
      <c r="BO184" s="95"/>
      <c r="BP184" s="95"/>
      <c r="BQ184" s="95"/>
    </row>
    <row r="185" spans="1:69" s="71" customForma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95"/>
      <c r="BB185" s="95"/>
      <c r="BC185" s="95"/>
      <c r="BD185" s="95"/>
      <c r="BE185" s="95"/>
      <c r="BF185" s="95"/>
      <c r="BG185" s="95"/>
      <c r="BH185" s="95"/>
      <c r="BI185" s="95"/>
      <c r="BJ185" s="95"/>
      <c r="BK185" s="95"/>
      <c r="BL185" s="95"/>
      <c r="BM185" s="95"/>
      <c r="BN185" s="95"/>
      <c r="BO185" s="95"/>
      <c r="BP185" s="95"/>
      <c r="BQ185" s="95"/>
    </row>
    <row r="186" spans="1:69" s="71" customFormat="1" x14ac:dyDescent="0.2">
      <c r="A186" s="73"/>
      <c r="B186" s="73"/>
      <c r="C186" s="73"/>
      <c r="D186" s="73"/>
      <c r="E186" s="73"/>
      <c r="F186" s="73"/>
      <c r="G186" s="73"/>
      <c r="H186" s="73"/>
      <c r="I186" s="73"/>
      <c r="J186" s="82"/>
      <c r="K186" s="73"/>
      <c r="L186" s="73"/>
      <c r="M186" s="73"/>
      <c r="N186" s="73"/>
      <c r="O186" s="73"/>
      <c r="P186" s="73"/>
      <c r="Q186" s="73"/>
      <c r="R186" s="73"/>
      <c r="S186" s="73"/>
      <c r="T186" s="73"/>
      <c r="U186" s="73"/>
      <c r="V186" s="73"/>
      <c r="W186" s="73"/>
      <c r="X186" s="73"/>
      <c r="Y186" s="73"/>
      <c r="Z186" s="73"/>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95"/>
      <c r="BB186" s="95"/>
      <c r="BC186" s="95"/>
      <c r="BD186" s="95"/>
      <c r="BE186" s="95"/>
      <c r="BF186" s="95"/>
      <c r="BG186" s="95"/>
      <c r="BH186" s="95"/>
      <c r="BI186" s="95"/>
      <c r="BJ186" s="95"/>
      <c r="BK186" s="95"/>
      <c r="BL186" s="95"/>
      <c r="BM186" s="95"/>
      <c r="BN186" s="95"/>
      <c r="BO186" s="95"/>
      <c r="BP186" s="95"/>
      <c r="BQ186" s="95"/>
    </row>
    <row r="187" spans="1:69" s="71" customForma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95"/>
      <c r="BB187" s="95"/>
      <c r="BC187" s="95"/>
      <c r="BD187" s="95"/>
      <c r="BE187" s="95"/>
      <c r="BF187" s="95"/>
      <c r="BG187" s="95"/>
      <c r="BH187" s="95"/>
      <c r="BI187" s="95"/>
      <c r="BJ187" s="95"/>
      <c r="BK187" s="95"/>
      <c r="BL187" s="95"/>
      <c r="BM187" s="95"/>
      <c r="BN187" s="95"/>
      <c r="BO187" s="95"/>
      <c r="BP187" s="95"/>
      <c r="BQ187" s="95"/>
    </row>
    <row r="188" spans="1:69" s="71" customForma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95"/>
      <c r="BB188" s="95"/>
      <c r="BC188" s="95"/>
      <c r="BD188" s="95"/>
      <c r="BE188" s="95"/>
      <c r="BF188" s="95"/>
      <c r="BG188" s="95"/>
      <c r="BH188" s="95"/>
      <c r="BI188" s="95"/>
      <c r="BK188" s="95"/>
      <c r="BL188" s="95"/>
      <c r="BM188" s="95"/>
      <c r="BN188" s="95"/>
      <c r="BO188" s="95"/>
      <c r="BP188" s="95"/>
      <c r="BQ188" s="95"/>
    </row>
    <row r="189" spans="1:69" s="71" customForma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95"/>
      <c r="BB189" s="95"/>
      <c r="BC189" s="95"/>
      <c r="BD189" s="95"/>
      <c r="BE189" s="95"/>
      <c r="BF189" s="95"/>
      <c r="BG189" s="95"/>
      <c r="BH189" s="95"/>
      <c r="BI189" s="95"/>
      <c r="BK189" s="95"/>
      <c r="BL189" s="95"/>
      <c r="BM189" s="95"/>
      <c r="BN189" s="95"/>
      <c r="BO189" s="95"/>
      <c r="BP189" s="95"/>
      <c r="BQ189" s="95"/>
    </row>
    <row r="190" spans="1:69" s="71" customForma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95"/>
      <c r="BB190" s="95"/>
      <c r="BC190" s="95"/>
      <c r="BD190" s="95"/>
      <c r="BE190" s="95"/>
      <c r="BF190" s="95"/>
      <c r="BG190" s="95"/>
      <c r="BH190" s="95"/>
      <c r="BI190" s="95"/>
      <c r="BK190" s="95"/>
      <c r="BL190" s="95"/>
      <c r="BM190" s="95"/>
      <c r="BN190" s="95"/>
      <c r="BO190" s="95"/>
      <c r="BP190" s="95"/>
      <c r="BQ190" s="95"/>
    </row>
    <row r="191" spans="1:69" s="71" customForma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95"/>
      <c r="BB191" s="95"/>
      <c r="BC191" s="95"/>
      <c r="BD191" s="95"/>
      <c r="BE191" s="95"/>
      <c r="BF191" s="95"/>
      <c r="BG191" s="95"/>
      <c r="BH191" s="95"/>
      <c r="BI191" s="95"/>
      <c r="BK191" s="95"/>
      <c r="BL191" s="95"/>
      <c r="BM191" s="95"/>
      <c r="BN191" s="95"/>
      <c r="BO191" s="95"/>
      <c r="BP191" s="95"/>
      <c r="BQ191" s="95"/>
    </row>
    <row r="192" spans="1:69" s="71" customForma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95"/>
      <c r="BB192" s="95"/>
      <c r="BC192" s="95"/>
      <c r="BD192" s="95"/>
      <c r="BE192" s="95"/>
      <c r="BF192" s="95"/>
      <c r="BG192" s="95"/>
      <c r="BH192" s="95"/>
      <c r="BI192" s="95"/>
      <c r="BK192" s="95"/>
      <c r="BL192" s="95"/>
      <c r="BM192" s="95"/>
      <c r="BN192" s="95"/>
      <c r="BO192" s="95"/>
      <c r="BP192" s="95"/>
      <c r="BQ192" s="95"/>
    </row>
    <row r="193" spans="1:69" s="71" customForma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95"/>
      <c r="BB193" s="95"/>
      <c r="BC193" s="95"/>
      <c r="BD193" s="95"/>
      <c r="BE193" s="95"/>
      <c r="BF193" s="95"/>
      <c r="BG193" s="95"/>
      <c r="BH193" s="95"/>
      <c r="BI193" s="95"/>
      <c r="BK193" s="95"/>
      <c r="BL193" s="95"/>
      <c r="BM193" s="95"/>
      <c r="BN193" s="95"/>
      <c r="BO193" s="95"/>
      <c r="BP193" s="95"/>
      <c r="BQ193" s="95"/>
    </row>
    <row r="194" spans="1:69" s="71" customForma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95"/>
      <c r="BB194" s="95"/>
      <c r="BC194" s="95"/>
      <c r="BD194" s="95"/>
      <c r="BE194" s="95"/>
      <c r="BF194" s="95"/>
      <c r="BG194" s="95"/>
      <c r="BH194" s="95"/>
      <c r="BI194" s="95"/>
      <c r="BK194" s="95"/>
      <c r="BL194" s="95"/>
      <c r="BM194" s="95"/>
      <c r="BN194" s="95"/>
      <c r="BO194" s="95"/>
      <c r="BP194" s="95"/>
      <c r="BQ194" s="95"/>
    </row>
    <row r="195" spans="1:69" s="71" customForma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95"/>
      <c r="BB195" s="95"/>
      <c r="BC195" s="95"/>
      <c r="BD195" s="95"/>
      <c r="BE195" s="95"/>
      <c r="BF195" s="95"/>
      <c r="BG195" s="95"/>
      <c r="BH195" s="95"/>
      <c r="BI195" s="95"/>
      <c r="BK195" s="95"/>
      <c r="BL195" s="95"/>
      <c r="BM195" s="95"/>
      <c r="BN195" s="95"/>
      <c r="BO195" s="95"/>
      <c r="BP195" s="95"/>
      <c r="BQ195" s="95"/>
    </row>
    <row r="196" spans="1:69" s="71" customForma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O196" s="95"/>
      <c r="BP196" s="95"/>
      <c r="BQ196" s="95"/>
    </row>
    <row r="197" spans="1:69" s="71" customForma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O197" s="95"/>
      <c r="BP197" s="95"/>
      <c r="BQ197" s="95"/>
    </row>
    <row r="198" spans="1:69" s="71" customForma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O198" s="95"/>
      <c r="BP198" s="95"/>
      <c r="BQ198" s="95"/>
    </row>
    <row r="199" spans="1:69" s="71" customForma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O199" s="95"/>
      <c r="BP199" s="95"/>
      <c r="BQ199" s="95"/>
    </row>
    <row r="200" spans="1:69" s="71" customForma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O200" s="95"/>
      <c r="BP200" s="95"/>
      <c r="BQ200" s="95"/>
    </row>
    <row r="201" spans="1:69" s="71" customFormat="1" ht="15" x14ac:dyDescent="0.2">
      <c r="A201" s="84">
        <f ca="1">_LATESTvarPubDate</f>
        <v>45848.653113425928</v>
      </c>
      <c r="B201" s="85" t="str">
        <f>$A$1</f>
        <v>RANDOM LENGTHS LUMBER REPORT</v>
      </c>
      <c r="C201" s="86"/>
      <c r="D201" s="86"/>
      <c r="E201" s="86"/>
      <c r="F201" s="86"/>
      <c r="G201" s="87"/>
      <c r="H201" s="88" t="s">
        <v>123</v>
      </c>
      <c r="I201" s="73"/>
      <c r="J201" s="73"/>
      <c r="K201" s="73"/>
      <c r="L201" s="73"/>
      <c r="M201" s="73"/>
      <c r="N201" s="73"/>
      <c r="O201" s="73"/>
      <c r="P201" s="73"/>
      <c r="Q201" s="73"/>
      <c r="R201" s="73"/>
      <c r="S201" s="90"/>
      <c r="T201" s="73"/>
      <c r="U201" s="73"/>
      <c r="V201" s="73"/>
      <c r="W201" s="73"/>
      <c r="X201" s="73"/>
      <c r="Y201" s="73"/>
      <c r="Z201" s="73"/>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O201" s="93"/>
      <c r="BP201" s="93"/>
      <c r="BQ201" s="93"/>
    </row>
    <row r="202" spans="1:69" s="71" customForma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O202" s="93"/>
      <c r="BP202" s="93"/>
      <c r="BQ202" s="93"/>
    </row>
    <row r="203" spans="1:69" s="71" customFormat="1" ht="15.75" x14ac:dyDescent="0.25">
      <c r="A203" s="94" t="s">
        <v>124</v>
      </c>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Q203" s="93"/>
    </row>
    <row r="204" spans="1:69" s="71" customFormat="1" x14ac:dyDescent="0.2">
      <c r="A204" s="96" t="s">
        <v>125</v>
      </c>
      <c r="B204" s="73"/>
      <c r="C204" s="73"/>
      <c r="D204" s="73"/>
      <c r="E204" s="73"/>
      <c r="F204" s="73"/>
      <c r="G204" s="73"/>
      <c r="H204" s="73"/>
      <c r="I204" s="73"/>
      <c r="J204" s="96" t="s">
        <v>126</v>
      </c>
      <c r="K204" s="73"/>
      <c r="L204" s="73"/>
      <c r="M204" s="73"/>
      <c r="N204" s="73"/>
      <c r="O204" s="73"/>
      <c r="P204" s="73"/>
      <c r="Q204" s="73"/>
      <c r="R204" s="73"/>
      <c r="S204" s="73"/>
      <c r="T204" s="73"/>
      <c r="U204" s="73"/>
      <c r="V204" s="73"/>
      <c r="W204" s="73"/>
      <c r="X204" s="73"/>
      <c r="Y204" s="73"/>
      <c r="Z204" s="73"/>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Q204" s="93"/>
    </row>
    <row r="205" spans="1:69" s="71" customFormat="1" x14ac:dyDescent="0.2">
      <c r="A205" s="73"/>
      <c r="B205" s="98" t="s">
        <v>127</v>
      </c>
      <c r="C205" s="98" t="s">
        <v>128</v>
      </c>
      <c r="D205" s="98" t="s">
        <v>129</v>
      </c>
      <c r="E205" s="98" t="s">
        <v>130</v>
      </c>
      <c r="F205" s="98" t="s">
        <v>131</v>
      </c>
      <c r="G205" s="98" t="s">
        <v>132</v>
      </c>
      <c r="H205" s="98" t="s">
        <v>133</v>
      </c>
      <c r="I205" s="73"/>
      <c r="J205" s="106"/>
      <c r="K205" s="98" t="s">
        <v>127</v>
      </c>
      <c r="L205" s="98" t="s">
        <v>128</v>
      </c>
      <c r="M205" s="98" t="s">
        <v>129</v>
      </c>
      <c r="N205" s="98" t="s">
        <v>130</v>
      </c>
      <c r="O205" s="98" t="s">
        <v>131</v>
      </c>
      <c r="P205" s="98" t="s">
        <v>132</v>
      </c>
      <c r="Q205" s="98" t="s">
        <v>133</v>
      </c>
      <c r="R205" s="98" t="s">
        <v>134</v>
      </c>
      <c r="S205" s="98" t="s">
        <v>135</v>
      </c>
      <c r="T205" s="73"/>
      <c r="U205" s="73"/>
      <c r="V205" s="73"/>
      <c r="W205" s="73"/>
      <c r="X205" s="73"/>
      <c r="Y205" s="73"/>
      <c r="Z205" s="73"/>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Q205" s="93"/>
    </row>
    <row r="206" spans="1:69" s="71" customFormat="1" x14ac:dyDescent="0.2">
      <c r="A206" s="105" t="s">
        <v>77</v>
      </c>
      <c r="B206" s="107">
        <f t="array" aca="1" ref="B206" ca="1">_xll.GetPrice("FP-LBR-0325","Actual","Low",_LATESTvarPubDate)</f>
        <v>415</v>
      </c>
      <c r="C206" s="107">
        <f t="array" aca="1" ref="C206" ca="1">_xll.GetPrice("FP-LBR-0326","Actual","Low",_LATESTvarPubDate)</f>
        <v>335</v>
      </c>
      <c r="D206" s="107">
        <f t="array" aca="1" ref="D206" ca="1">_xll.GetPrice("FP-LBR-0327","Actual","Low",_LATESTvarPubDate)</f>
        <v>345</v>
      </c>
      <c r="E206" s="107">
        <f t="array" aca="1" ref="E206" ca="1">_xll.GetPrice("FP-LBR-0328","Actual","Low",_LATESTvarPubDate)</f>
        <v>370</v>
      </c>
      <c r="F206" s="107">
        <f t="array" aca="1" ref="F206" ca="1">_xll.GetPrice("FP-LBR-0329","Actual","Low",_LATESTvarPubDate)</f>
        <v>490</v>
      </c>
      <c r="G206" s="107">
        <f t="array" aca="1" ref="G206" ca="1">_xll.GetPrice("FP-LBR-0330","Actual","Low",_LATESTvarPubDate)</f>
        <v>380</v>
      </c>
      <c r="H206" s="107">
        <f t="array" aca="1" ref="H206" ca="1">_xll.GetPrice("FP-LBR-0331","Actual","Low",_LATESTvarPubDate)</f>
        <v>395</v>
      </c>
      <c r="I206" s="73"/>
      <c r="J206" s="105" t="s">
        <v>77</v>
      </c>
      <c r="K206" s="107">
        <f t="array" aca="1" ref="K206" ca="1">_xll.GetPrice("FP-LBR-2129","Actual","Low",_LATESTvarPubDate)</f>
        <v>425</v>
      </c>
      <c r="L206" s="107">
        <f t="array" aca="1" ref="L206" ca="1">_xll.GetPrice("FP-LBR-2130","Actual","Low",_LATESTvarPubDate)</f>
        <v>375</v>
      </c>
      <c r="M206" s="107">
        <f t="array" aca="1" ref="M206" ca="1">_xll.GetPrice("FP-LBR-2131","Actual","Low",_LATESTvarPubDate)</f>
        <v>375</v>
      </c>
      <c r="N206" s="107">
        <f t="array" aca="1" ref="N206" ca="1">_xll.GetPrice("FP-LBR-2132","Actual","Low",_LATESTvarPubDate)</f>
        <v>395</v>
      </c>
      <c r="O206" s="107">
        <f t="array" aca="1" ref="O206" ca="1">_xll.GetPrice("FP-LBR-2133","Actual","Low",_LATESTvarPubDate)</f>
        <v>445</v>
      </c>
      <c r="P206" s="107">
        <f t="array" aca="1" ref="P206" ca="1">_xll.GetPrice("FP-LBR-2134","Actual","Low",_LATESTvarPubDate)</f>
        <v>400</v>
      </c>
      <c r="Q206" s="107">
        <f t="array" aca="1" ref="Q206" ca="1">_xll.GetPrice("FP-LBR-2135","Actual","Low",_LATESTvarPubDate)</f>
        <v>400</v>
      </c>
      <c r="R206" s="106" t="s">
        <v>37</v>
      </c>
      <c r="S206" s="106" t="s">
        <v>37</v>
      </c>
      <c r="T206" s="73"/>
      <c r="U206" s="73"/>
      <c r="V206" s="73"/>
      <c r="W206" s="73"/>
      <c r="X206" s="73"/>
      <c r="Y206" s="73"/>
      <c r="Z206" s="73"/>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Q206" s="93"/>
    </row>
    <row r="207" spans="1:69" s="71" customFormat="1" x14ac:dyDescent="0.2">
      <c r="A207" s="105" t="s">
        <v>39</v>
      </c>
      <c r="B207" s="107">
        <f t="array" aca="1" ref="B207" ca="1">_xll.GetPrice("FP-LBR-0332","Actual","Low",_LATESTvarPubDate)</f>
        <v>300</v>
      </c>
      <c r="C207" s="107">
        <f t="array" aca="1" ref="C207" ca="1">_xll.GetPrice("FP-LBR-0333","Actual","Low",_LATESTvarPubDate)</f>
        <v>300</v>
      </c>
      <c r="D207" s="107">
        <f t="array" aca="1" ref="D207" ca="1">_xll.GetPrice("FP-LBR-0334","Actual","Low",_LATESTvarPubDate)</f>
        <v>345</v>
      </c>
      <c r="E207" s="107">
        <f t="array" aca="1" ref="E207" ca="1">_xll.GetPrice("FP-LBR-0335","Actual","Low",_LATESTvarPubDate)</f>
        <v>340</v>
      </c>
      <c r="F207" s="107">
        <f t="array" aca="1" ref="F207" ca="1">_xll.GetPrice("FP-LBR-0336","Actual","Low",_LATESTvarPubDate)</f>
        <v>360</v>
      </c>
      <c r="G207" s="107">
        <f t="array" aca="1" ref="G207" ca="1">_xll.GetPrice("FP-LBR-0337","Actual","Low",_LATESTvarPubDate)</f>
        <v>310</v>
      </c>
      <c r="H207" s="107">
        <f t="array" aca="1" ref="H207" ca="1">_xll.GetPrice("FP-LBR-0338","Actual","Low",_LATESTvarPubDate)</f>
        <v>320</v>
      </c>
      <c r="I207" s="73"/>
      <c r="J207" s="105" t="s">
        <v>39</v>
      </c>
      <c r="K207" s="107">
        <f t="array" aca="1" ref="K207" ca="1">_xll.GetPrice("FP-LBR-2136","Actual","Low",_LATESTvarPubDate)</f>
        <v>310</v>
      </c>
      <c r="L207" s="107">
        <f t="array" aca="1" ref="L207" ca="1">_xll.GetPrice("FP-LBR-2137","Actual","Low",_LATESTvarPubDate)</f>
        <v>320</v>
      </c>
      <c r="M207" s="107">
        <f t="array" aca="1" ref="M207" ca="1">_xll.GetPrice("FP-LBR-2138","Actual","Low",_LATESTvarPubDate)</f>
        <v>340</v>
      </c>
      <c r="N207" s="107">
        <f t="array" aca="1" ref="N207" ca="1">_xll.GetPrice("FP-LBR-2139","Actual","Low",_LATESTvarPubDate)</f>
        <v>335</v>
      </c>
      <c r="O207" s="107">
        <f t="array" aca="1" ref="O207" ca="1">_xll.GetPrice("FP-LBR-2140","Actual","Low",_LATESTvarPubDate)</f>
        <v>340</v>
      </c>
      <c r="P207" s="107">
        <f t="array" aca="1" ref="P207" ca="1">_xll.GetPrice("FP-LBR-2141","Actual","Low",_LATESTvarPubDate)</f>
        <v>320</v>
      </c>
      <c r="Q207" s="107">
        <f t="array" aca="1" ref="Q207" ca="1">_xll.GetPrice("FP-LBR-2142","Actual","Low",_LATESTvarPubDate)</f>
        <v>345</v>
      </c>
      <c r="R207" s="106" t="s">
        <v>37</v>
      </c>
      <c r="S207" s="106" t="s">
        <v>37</v>
      </c>
      <c r="T207" s="73"/>
      <c r="U207" s="73"/>
      <c r="V207" s="73"/>
      <c r="W207" s="73"/>
      <c r="X207" s="73"/>
      <c r="Y207" s="73"/>
      <c r="Z207" s="73"/>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Q207" s="93"/>
    </row>
    <row r="208" spans="1:69" s="71" customFormat="1" x14ac:dyDescent="0.2">
      <c r="A208" s="105" t="s">
        <v>40</v>
      </c>
      <c r="B208" s="107">
        <f t="array" aca="1" ref="B208" ca="1">_xll.GetPrice("FP-LBR-0339","Actual","Low",_LATESTvarPubDate)</f>
        <v>335</v>
      </c>
      <c r="C208" s="107">
        <f t="array" aca="1" ref="C208" ca="1">_xll.GetPrice("FP-LBR-0340","Actual","Low",_LATESTvarPubDate)</f>
        <v>340</v>
      </c>
      <c r="D208" s="107">
        <f t="array" aca="1" ref="D208" ca="1">_xll.GetPrice("FP-LBR-0341","Actual","Low",_LATESTvarPubDate)</f>
        <v>350</v>
      </c>
      <c r="E208" s="107">
        <f t="array" aca="1" ref="E208" ca="1">_xll.GetPrice("FP-LBR-0342","Actual","Low",_LATESTvarPubDate)</f>
        <v>320</v>
      </c>
      <c r="F208" s="107">
        <f t="array" aca="1" ref="F208" ca="1">_xll.GetPrice("FP-LBR-0343","Actual","Low",_LATESTvarPubDate)</f>
        <v>350</v>
      </c>
      <c r="G208" s="107">
        <f t="array" aca="1" ref="G208" ca="1">_xll.GetPrice("FP-LBR-0344","Actual","Low",_LATESTvarPubDate)</f>
        <v>320</v>
      </c>
      <c r="H208" s="107">
        <f t="array" aca="1" ref="H208" ca="1">_xll.GetPrice("FP-LBR-0345","Actual","Low",_LATESTvarPubDate)</f>
        <v>340</v>
      </c>
      <c r="I208" s="73"/>
      <c r="J208" s="105" t="s">
        <v>40</v>
      </c>
      <c r="K208" s="107">
        <f t="array" aca="1" ref="K208" ca="1">_xll.GetPrice("FP-LBR-2143","Actual","Low",_LATESTvarPubDate)</f>
        <v>335</v>
      </c>
      <c r="L208" s="107">
        <f t="array" aca="1" ref="L208" ca="1">_xll.GetPrice("FP-LBR-2144","Actual","Low",_LATESTvarPubDate)</f>
        <v>345</v>
      </c>
      <c r="M208" s="107">
        <f t="array" aca="1" ref="M208" ca="1">_xll.GetPrice("FP-LBR-2145","Actual","Low",_LATESTvarPubDate)</f>
        <v>350</v>
      </c>
      <c r="N208" s="107">
        <f t="array" aca="1" ref="N208" ca="1">_xll.GetPrice("FP-LBR-2146","Actual","Low",_LATESTvarPubDate)</f>
        <v>335</v>
      </c>
      <c r="O208" s="107">
        <f t="array" aca="1" ref="O208" ca="1">_xll.GetPrice("FP-LBR-2147","Actual","Low",_LATESTvarPubDate)</f>
        <v>345</v>
      </c>
      <c r="P208" s="107">
        <f t="array" aca="1" ref="P208" ca="1">_xll.GetPrice("FP-LBR-2148","Actual","Low",_LATESTvarPubDate)</f>
        <v>335</v>
      </c>
      <c r="Q208" s="107">
        <f t="array" aca="1" ref="Q208" ca="1">_xll.GetPrice("FP-LBR-2149","Actual","Low",_LATESTvarPubDate)</f>
        <v>330</v>
      </c>
      <c r="R208" s="106" t="s">
        <v>37</v>
      </c>
      <c r="S208" s="106" t="s">
        <v>37</v>
      </c>
      <c r="T208" s="73"/>
      <c r="U208" s="73"/>
      <c r="V208" s="73"/>
      <c r="W208" s="73"/>
      <c r="X208" s="73"/>
      <c r="Y208" s="73"/>
      <c r="Z208" s="73"/>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Q208" s="93"/>
    </row>
    <row r="209" spans="1:69" s="71" customFormat="1" x14ac:dyDescent="0.2">
      <c r="A209" s="105" t="s">
        <v>41</v>
      </c>
      <c r="B209" s="107">
        <f t="array" aca="1" ref="B209" ca="1">_xll.GetPrice("FP-LBR-0346","Actual","Low",_LATESTvarPubDate)</f>
        <v>355</v>
      </c>
      <c r="C209" s="107">
        <f t="array" aca="1" ref="C209" ca="1">_xll.GetPrice("FP-LBR-0347","Actual","Low",_LATESTvarPubDate)</f>
        <v>410</v>
      </c>
      <c r="D209" s="107">
        <f t="array" aca="1" ref="D209" ca="1">_xll.GetPrice("FP-LBR-0348","Actual","Low",_LATESTvarPubDate)</f>
        <v>410</v>
      </c>
      <c r="E209" s="107">
        <f t="array" aca="1" ref="E209" ca="1">_xll.GetPrice("FP-LBR-0349","Actual","Low",_LATESTvarPubDate)</f>
        <v>355</v>
      </c>
      <c r="F209" s="107">
        <f t="array" aca="1" ref="F209" ca="1">_xll.GetPrice("FP-LBR-0350","Actual","Low",_LATESTvarPubDate)</f>
        <v>400</v>
      </c>
      <c r="G209" s="107">
        <f t="array" aca="1" ref="G209" ca="1">_xll.GetPrice("FP-LBR-0351","Actual","Low",_LATESTvarPubDate)</f>
        <v>305</v>
      </c>
      <c r="H209" s="107">
        <f t="array" aca="1" ref="H209" ca="1">_xll.GetPrice("FP-LBR-0352","Actual","Low",_LATESTvarPubDate)</f>
        <v>450</v>
      </c>
      <c r="I209" s="73"/>
      <c r="J209" s="105" t="s">
        <v>41</v>
      </c>
      <c r="K209" s="107">
        <f t="array" aca="1" ref="K209" ca="1">_xll.GetPrice("FP-LBR-2150","Actual","Low",_LATESTvarPubDate)</f>
        <v>365</v>
      </c>
      <c r="L209" s="107">
        <f t="array" aca="1" ref="L209" ca="1">_xll.GetPrice("FP-LBR-2151","Actual","Low",_LATESTvarPubDate)</f>
        <v>440</v>
      </c>
      <c r="M209" s="107">
        <f t="array" aca="1" ref="M209" ca="1">_xll.GetPrice("FP-LBR-2152","Actual","Low",_LATESTvarPubDate)</f>
        <v>420</v>
      </c>
      <c r="N209" s="107">
        <f t="array" aca="1" ref="N209" ca="1">_xll.GetPrice("FP-LBR-2153","Actual","Low",_LATESTvarPubDate)</f>
        <v>385</v>
      </c>
      <c r="O209" s="107">
        <f t="array" aca="1" ref="O209" ca="1">_xll.GetPrice("FP-LBR-2154","Actual","Low",_LATESTvarPubDate)</f>
        <v>385</v>
      </c>
      <c r="P209" s="107">
        <f t="array" aca="1" ref="P209" ca="1">_xll.GetPrice("FP-LBR-2155","Actual","Low",_LATESTvarPubDate)</f>
        <v>335</v>
      </c>
      <c r="Q209" s="107">
        <f t="array" aca="1" ref="Q209" ca="1">_xll.GetPrice("FP-LBR-2156","Actual","Low",_LATESTvarPubDate)</f>
        <v>435</v>
      </c>
      <c r="R209" s="106" t="s">
        <v>37</v>
      </c>
      <c r="S209" s="106" t="s">
        <v>37</v>
      </c>
      <c r="T209" s="73"/>
      <c r="U209" s="73"/>
      <c r="V209" s="73"/>
      <c r="W209" s="73"/>
      <c r="X209" s="73"/>
      <c r="Y209" s="73"/>
      <c r="Z209" s="73"/>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Q209" s="93"/>
    </row>
    <row r="210" spans="1:69" s="71" customFormat="1" x14ac:dyDescent="0.2">
      <c r="A210" s="105" t="s">
        <v>42</v>
      </c>
      <c r="B210" s="107">
        <f t="array" aca="1" ref="B210" ca="1">_xll.GetPrice("FP-LBR-0353","Actual","Low",_LATESTvarPubDate)</f>
        <v>440</v>
      </c>
      <c r="C210" s="107">
        <f t="array" aca="1" ref="C210" ca="1">_xll.GetPrice("FP-LBR-0354","Actual","Low",_LATESTvarPubDate)</f>
        <v>420</v>
      </c>
      <c r="D210" s="107">
        <f t="array" aca="1" ref="D210" ca="1">_xll.GetPrice("FP-LBR-0355","Actual","Low",_LATESTvarPubDate)</f>
        <v>335</v>
      </c>
      <c r="E210" s="107">
        <f t="array" aca="1" ref="E210" ca="1">_xll.GetPrice("FP-LBR-0356","Actual","Low",_LATESTvarPubDate)</f>
        <v>320</v>
      </c>
      <c r="F210" s="107">
        <f t="array" aca="1" ref="F210" ca="1">_xll.GetPrice("FP-LBR-0357","Actual","Low",_LATESTvarPubDate)</f>
        <v>395</v>
      </c>
      <c r="G210" s="107">
        <f t="array" aca="1" ref="G210" ca="1">_xll.GetPrice("FP-LBR-0358","Actual","Low",_LATESTvarPubDate)</f>
        <v>340</v>
      </c>
      <c r="H210" s="107">
        <f t="array" aca="1" ref="H210" ca="1">_xll.GetPrice("FP-LBR-0359","Actual","Low",_LATESTvarPubDate)</f>
        <v>620</v>
      </c>
      <c r="I210" s="73"/>
      <c r="J210" s="105" t="s">
        <v>42</v>
      </c>
      <c r="K210" s="107">
        <f t="array" aca="1" ref="K210" ca="1">_xll.GetPrice("FP-LBR-2157","Actual","Low",_LATESTvarPubDate)</f>
        <v>425</v>
      </c>
      <c r="L210" s="107">
        <f t="array" aca="1" ref="L210" ca="1">_xll.GetPrice("FP-LBR-2158","Actual","Low",_LATESTvarPubDate)</f>
        <v>450</v>
      </c>
      <c r="M210" s="107">
        <f t="array" aca="1" ref="M210" ca="1">_xll.GetPrice("FP-LBR-2159","Actual","Low",_LATESTvarPubDate)</f>
        <v>405</v>
      </c>
      <c r="N210" s="107">
        <f t="array" aca="1" ref="N210" ca="1">_xll.GetPrice("FP-LBR-2160","Actual","Low",_LATESTvarPubDate)</f>
        <v>320</v>
      </c>
      <c r="O210" s="107">
        <f t="array" aca="1" ref="O210" ca="1">_xll.GetPrice("FP-LBR-2161","Actual","Low",_LATESTvarPubDate)</f>
        <v>385</v>
      </c>
      <c r="P210" s="107">
        <f t="array" aca="1" ref="P210" ca="1">_xll.GetPrice("FP-LBR-2162","Actual","Low",_LATESTvarPubDate)</f>
        <v>405</v>
      </c>
      <c r="Q210" s="107">
        <f t="array" aca="1" ref="Q210" ca="1">_xll.GetPrice("FP-LBR-2163","Actual","Low",_LATESTvarPubDate)</f>
        <v>645</v>
      </c>
      <c r="R210" s="106" t="s">
        <v>37</v>
      </c>
      <c r="S210" s="106" t="s">
        <v>37</v>
      </c>
      <c r="T210" s="73"/>
      <c r="U210" s="73"/>
      <c r="V210" s="73"/>
      <c r="W210" s="73"/>
      <c r="X210" s="73"/>
      <c r="Y210" s="73"/>
      <c r="Z210" s="73"/>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Q210" s="93"/>
    </row>
    <row r="211" spans="1:69" s="71" customFormat="1" x14ac:dyDescent="0.2">
      <c r="A211" s="105" t="s">
        <v>136</v>
      </c>
      <c r="B211" s="107">
        <f t="array" aca="1" ref="B211" ca="1">_xll.GetPrice("FP-LBR-0360","Actual","Low",_LATESTvarPubDate)</f>
        <v>385</v>
      </c>
      <c r="C211" s="107">
        <f t="array" aca="1" ref="C211" ca="1">_xll.GetPrice("FP-LBR-0361","Actual","Low",_LATESTvarPubDate)</f>
        <v>300</v>
      </c>
      <c r="D211" s="107">
        <f t="array" aca="1" ref="D211" ca="1">_xll.GetPrice("FP-LBR-0362","Actual","Low",_LATESTvarPubDate)</f>
        <v>300</v>
      </c>
      <c r="E211" s="107">
        <f t="array" aca="1" ref="E211" ca="1">_xll.GetPrice("FP-LBR-0363","Actual","Low",_LATESTvarPubDate)</f>
        <v>335</v>
      </c>
      <c r="F211" s="107">
        <f t="array" aca="1" ref="F211" ca="1">_xll.GetPrice("FP-LBR-0364","Actual","Low",_LATESTvarPubDate)</f>
        <v>435</v>
      </c>
      <c r="G211" s="107">
        <f t="array" aca="1" ref="G211" ca="1">_xll.GetPrice("FP-LBR-0365","Actual","Low",_LATESTvarPubDate)</f>
        <v>325</v>
      </c>
      <c r="H211" s="107">
        <f t="array" aca="1" ref="H211" ca="1">_xll.GetPrice("FP-LBR-0366","Actual","Low",_LATESTvarPubDate)</f>
        <v>330</v>
      </c>
      <c r="I211" s="73"/>
      <c r="J211" s="105" t="s">
        <v>136</v>
      </c>
      <c r="K211" s="107">
        <f t="array" aca="1" ref="K211" ca="1">_xll.GetPrice("FP-LBR-2086","Actual","Low",_LATESTvarPubDate)</f>
        <v>370</v>
      </c>
      <c r="L211" s="107">
        <f t="array" aca="1" ref="L211" ca="1">_xll.GetPrice("FP-LBR-2087","Actual","Low",_LATESTvarPubDate)</f>
        <v>295</v>
      </c>
      <c r="M211" s="107">
        <f t="array" aca="1" ref="M211" ca="1">_xll.GetPrice("FP-LBR-2088","Actual","Low",_LATESTvarPubDate)</f>
        <v>295</v>
      </c>
      <c r="N211" s="107">
        <f t="array" aca="1" ref="N211" ca="1">_xll.GetPrice("FP-LBR-2089","Actual","Low",_LATESTvarPubDate)</f>
        <v>340</v>
      </c>
      <c r="O211" s="107">
        <f t="array" aca="1" ref="O211" ca="1">_xll.GetPrice("FP-LBR-2090","Actual","Low",_LATESTvarPubDate)</f>
        <v>375</v>
      </c>
      <c r="P211" s="107">
        <f t="array" aca="1" ref="P211" ca="1">_xll.GetPrice("FP-LBR-2091","Actual","Low",_LATESTvarPubDate)</f>
        <v>320</v>
      </c>
      <c r="Q211" s="107">
        <f t="array" aca="1" ref="Q211" ca="1">_xll.GetPrice("FP-LBR-2092","Actual","Low",_LATESTvarPubDate)</f>
        <v>330</v>
      </c>
      <c r="R211" s="106" t="s">
        <v>37</v>
      </c>
      <c r="S211" s="106" t="s">
        <v>37</v>
      </c>
      <c r="T211" s="73"/>
      <c r="U211" s="73"/>
      <c r="V211" s="73"/>
      <c r="W211" s="73"/>
      <c r="X211" s="73"/>
      <c r="Y211" s="73"/>
      <c r="Z211" s="73"/>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Q211" s="93"/>
    </row>
    <row r="212" spans="1:69" s="71" customFormat="1" x14ac:dyDescent="0.2">
      <c r="A212" s="105" t="s">
        <v>39</v>
      </c>
      <c r="B212" s="107">
        <f t="array" aca="1" ref="B212" ca="1">_xll.GetPrice("FP-LBR-0367","Actual","Low",_LATESTvarPubDate)</f>
        <v>280</v>
      </c>
      <c r="C212" s="107">
        <f t="array" aca="1" ref="C212" ca="1">_xll.GetPrice("FP-LBR-0368","Actual","Low",_LATESTvarPubDate)</f>
        <v>285</v>
      </c>
      <c r="D212" s="107">
        <f t="array" aca="1" ref="D212" ca="1">_xll.GetPrice("FP-LBR-0369","Actual","Low",_LATESTvarPubDate)</f>
        <v>315</v>
      </c>
      <c r="E212" s="107">
        <f t="array" aca="1" ref="E212" ca="1">_xll.GetPrice("FP-LBR-0370","Actual","Low",_LATESTvarPubDate)</f>
        <v>305</v>
      </c>
      <c r="F212" s="107">
        <f t="array" aca="1" ref="F212" ca="1">_xll.GetPrice("FP-LBR-0371","Actual","Low",_LATESTvarPubDate)</f>
        <v>315</v>
      </c>
      <c r="G212" s="107">
        <f t="array" aca="1" ref="G212" ca="1">_xll.GetPrice("FP-LBR-0372","Actual","Low",_LATESTvarPubDate)</f>
        <v>280</v>
      </c>
      <c r="H212" s="107">
        <f t="array" aca="1" ref="H212" ca="1">_xll.GetPrice("FP-LBR-0373","Actual","Low",_LATESTvarPubDate)</f>
        <v>270</v>
      </c>
      <c r="I212" s="73"/>
      <c r="J212" s="105" t="s">
        <v>39</v>
      </c>
      <c r="K212" s="107">
        <f t="array" aca="1" ref="K212" ca="1">_xll.GetPrice("FP-LBR-2093","Actual","Low",_LATESTvarPubDate)</f>
        <v>280</v>
      </c>
      <c r="L212" s="107">
        <f t="array" aca="1" ref="L212" ca="1">_xll.GetPrice("FP-LBR-2094","Actual","Low",_LATESTvarPubDate)</f>
        <v>290</v>
      </c>
      <c r="M212" s="107">
        <f t="array" aca="1" ref="M212" ca="1">_xll.GetPrice("FP-LBR-2095","Actual","Low",_LATESTvarPubDate)</f>
        <v>300</v>
      </c>
      <c r="N212" s="107">
        <f t="array" aca="1" ref="N212" ca="1">_xll.GetPrice("FP-LBR-2096","Actual","Low",_LATESTvarPubDate)</f>
        <v>295</v>
      </c>
      <c r="O212" s="107">
        <f t="array" aca="1" ref="O212" ca="1">_xll.GetPrice("FP-LBR-2097","Actual","Low",_LATESTvarPubDate)</f>
        <v>300</v>
      </c>
      <c r="P212" s="107">
        <f t="array" aca="1" ref="P212" ca="1">_xll.GetPrice("FP-LBR-2098","Actual","Low",_LATESTvarPubDate)</f>
        <v>295</v>
      </c>
      <c r="Q212" s="107">
        <f t="array" aca="1" ref="Q212" ca="1">_xll.GetPrice("FP-LBR-2099","Actual","Low",_LATESTvarPubDate)</f>
        <v>295</v>
      </c>
      <c r="R212" s="107">
        <f t="array" aca="1" ref="R212" ca="1">_xll.GetPrice("FP-LBR-2100","Actual","Low",_LATESTvarPubDate)</f>
        <v>745</v>
      </c>
      <c r="S212" s="107">
        <f t="array" aca="1" ref="S212" ca="1">_xll.GetPrice("FP-LBR-2101","Actual","Low",_LATESTvarPubDate)</f>
        <v>745</v>
      </c>
      <c r="T212" s="73"/>
      <c r="U212" s="73"/>
      <c r="V212" s="73"/>
      <c r="W212" s="73"/>
      <c r="X212" s="73"/>
      <c r="Y212" s="73"/>
      <c r="Z212" s="73"/>
      <c r="AA212" s="74"/>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Q212" s="93"/>
    </row>
    <row r="213" spans="1:69" s="71" customFormat="1" x14ac:dyDescent="0.2">
      <c r="A213" s="105" t="s">
        <v>40</v>
      </c>
      <c r="B213" s="107">
        <f t="array" aca="1" ref="B213" ca="1">_xll.GetPrice("FP-LBR-0374","Actual","Low",_LATESTvarPubDate)</f>
        <v>305</v>
      </c>
      <c r="C213" s="107">
        <f t="array" aca="1" ref="C213" ca="1">_xll.GetPrice("FP-LBR-0375","Actual","Low",_LATESTvarPubDate)</f>
        <v>285</v>
      </c>
      <c r="D213" s="107">
        <f t="array" aca="1" ref="D213" ca="1">_xll.GetPrice("FP-LBR-0376","Actual","Low",_LATESTvarPubDate)</f>
        <v>305</v>
      </c>
      <c r="E213" s="107">
        <f t="array" aca="1" ref="E213" ca="1">_xll.GetPrice("FP-LBR-0377","Actual","Low",_LATESTvarPubDate)</f>
        <v>305</v>
      </c>
      <c r="F213" s="107">
        <f t="array" aca="1" ref="F213" ca="1">_xll.GetPrice("FP-LBR-0378","Actual","Low",_LATESTvarPubDate)</f>
        <v>345</v>
      </c>
      <c r="G213" s="107">
        <f t="array" aca="1" ref="G213" ca="1">_xll.GetPrice("FP-LBR-0379","Actual","Low",_LATESTvarPubDate)</f>
        <v>295</v>
      </c>
      <c r="H213" s="107">
        <f t="array" aca="1" ref="H213" ca="1">_xll.GetPrice("FP-LBR-0380","Actual","Low",_LATESTvarPubDate)</f>
        <v>325</v>
      </c>
      <c r="I213" s="73"/>
      <c r="J213" s="105" t="s">
        <v>40</v>
      </c>
      <c r="K213" s="107">
        <f t="array" aca="1" ref="K213" ca="1">_xll.GetPrice("FP-LBR-2102","Actual","Low",_LATESTvarPubDate)</f>
        <v>285</v>
      </c>
      <c r="L213" s="107">
        <f t="array" aca="1" ref="L213" ca="1">_xll.GetPrice("FP-LBR-2103","Actual","Low",_LATESTvarPubDate)</f>
        <v>280</v>
      </c>
      <c r="M213" s="107">
        <f t="array" aca="1" ref="M213" ca="1">_xll.GetPrice("FP-LBR-2104","Actual","Low",_LATESTvarPubDate)</f>
        <v>285</v>
      </c>
      <c r="N213" s="107">
        <f t="array" aca="1" ref="N213" ca="1">_xll.GetPrice("FP-LBR-2105","Actual","Low",_LATESTvarPubDate)</f>
        <v>285</v>
      </c>
      <c r="O213" s="107">
        <f t="array" aca="1" ref="O213" ca="1">_xll.GetPrice("FP-LBR-2106","Actual","Low",_LATESTvarPubDate)</f>
        <v>310</v>
      </c>
      <c r="P213" s="107">
        <f t="array" aca="1" ref="P213" ca="1">_xll.GetPrice("FP-LBR-2107","Actual","Low",_LATESTvarPubDate)</f>
        <v>285</v>
      </c>
      <c r="Q213" s="107">
        <f t="array" aca="1" ref="Q213" ca="1">_xll.GetPrice("FP-LBR-2108","Actual","Low",_LATESTvarPubDate)</f>
        <v>290</v>
      </c>
      <c r="R213" s="107">
        <f t="array" aca="1" ref="R213" ca="1">_xll.GetPrice("FP-LBR-2109","Actual","Low",_LATESTvarPubDate)</f>
        <v>520</v>
      </c>
      <c r="S213" s="107">
        <f t="array" aca="1" ref="S213" ca="1">_xll.GetPrice("FP-LBR-2110","Actual","Low",_LATESTvarPubDate)</f>
        <v>640</v>
      </c>
      <c r="T213" s="73"/>
      <c r="U213" s="73"/>
      <c r="V213" s="73"/>
      <c r="W213" s="73"/>
      <c r="X213" s="73"/>
      <c r="Y213" s="73"/>
      <c r="Z213" s="73"/>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Q213" s="93"/>
    </row>
    <row r="214" spans="1:69" s="71" customFormat="1" x14ac:dyDescent="0.2">
      <c r="A214" s="105" t="s">
        <v>41</v>
      </c>
      <c r="B214" s="107">
        <f t="array" aca="1" ref="B214" ca="1">_xll.GetPrice("FP-LBR-0381","Actual","Low",_LATESTvarPubDate)</f>
        <v>285</v>
      </c>
      <c r="C214" s="107">
        <f t="array" aca="1" ref="C214" ca="1">_xll.GetPrice("FP-LBR-0382","Actual","Low",_LATESTvarPubDate)</f>
        <v>290</v>
      </c>
      <c r="D214" s="107">
        <f t="array" aca="1" ref="D214" ca="1">_xll.GetPrice("FP-LBR-0383","Actual","Low",_LATESTvarPubDate)</f>
        <v>290</v>
      </c>
      <c r="E214" s="107">
        <f t="array" aca="1" ref="E214" ca="1">_xll.GetPrice("FP-LBR-0384","Actual","Low",_LATESTvarPubDate)</f>
        <v>290</v>
      </c>
      <c r="F214" s="107">
        <f t="array" aca="1" ref="F214" ca="1">_xll.GetPrice("FP-LBR-0385","Actual","Low",_LATESTvarPubDate)</f>
        <v>310</v>
      </c>
      <c r="G214" s="107">
        <f t="array" aca="1" ref="G214" ca="1">_xll.GetPrice("FP-LBR-0386","Actual","Low",_LATESTvarPubDate)</f>
        <v>250</v>
      </c>
      <c r="H214" s="107">
        <f t="array" aca="1" ref="H214" ca="1">_xll.GetPrice("FP-LBR-0387","Actual","Low",_LATESTvarPubDate)</f>
        <v>275</v>
      </c>
      <c r="I214" s="73"/>
      <c r="J214" s="105" t="s">
        <v>41</v>
      </c>
      <c r="K214" s="107">
        <f t="array" aca="1" ref="K214" ca="1">_xll.GetPrice("FP-LBR-2111","Actual","Low",_LATESTvarPubDate)</f>
        <v>250</v>
      </c>
      <c r="L214" s="107">
        <f t="array" aca="1" ref="L214" ca="1">_xll.GetPrice("FP-LBR-2112","Actual","Low",_LATESTvarPubDate)</f>
        <v>300</v>
      </c>
      <c r="M214" s="107">
        <f t="array" aca="1" ref="M214" ca="1">_xll.GetPrice("FP-LBR-2113","Actual","Low",_LATESTvarPubDate)</f>
        <v>295</v>
      </c>
      <c r="N214" s="107">
        <f t="array" aca="1" ref="N214" ca="1">_xll.GetPrice("FP-LBR-2114","Actual","Low",_LATESTvarPubDate)</f>
        <v>300</v>
      </c>
      <c r="O214" s="107">
        <f t="array" aca="1" ref="O214" ca="1">_xll.GetPrice("FP-LBR-2115","Actual","Low",_LATESTvarPubDate)</f>
        <v>290</v>
      </c>
      <c r="P214" s="107">
        <f t="array" aca="1" ref="P214" ca="1">_xll.GetPrice("FP-LBR-2116","Actual","Low",_LATESTvarPubDate)</f>
        <v>260</v>
      </c>
      <c r="Q214" s="107">
        <f t="array" aca="1" ref="Q214" ca="1">_xll.GetPrice("FP-LBR-2117","Actual","Low",_LATESTvarPubDate)</f>
        <v>270</v>
      </c>
      <c r="R214" s="107">
        <f t="array" aca="1" ref="R214" ca="1">_xll.GetPrice("FP-LBR-2118","Actual","Low",_LATESTvarPubDate)</f>
        <v>370</v>
      </c>
      <c r="S214" s="107">
        <f t="array" aca="1" ref="S214" ca="1">_xll.GetPrice("FP-LBR-2119","Actual","Low",_LATESTvarPubDate)</f>
        <v>600</v>
      </c>
      <c r="T214" s="73"/>
      <c r="U214" s="73"/>
      <c r="V214" s="73"/>
      <c r="W214" s="73"/>
      <c r="X214" s="73"/>
      <c r="Y214" s="73"/>
      <c r="Z214" s="73"/>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Q214" s="93"/>
    </row>
    <row r="215" spans="1:69" s="71" customFormat="1" x14ac:dyDescent="0.2">
      <c r="A215" s="105" t="s">
        <v>42</v>
      </c>
      <c r="B215" s="107">
        <f t="array" aca="1" ref="B215" ca="1">_xll.GetPrice("FP-LBR-0388","Actual","Low",_LATESTvarPubDate)</f>
        <v>275</v>
      </c>
      <c r="C215" s="107">
        <f t="array" aca="1" ref="C215" ca="1">_xll.GetPrice("FP-LBR-0389","Actual","Low",_LATESTvarPubDate)</f>
        <v>310</v>
      </c>
      <c r="D215" s="107">
        <f t="array" aca="1" ref="D215" ca="1">_xll.GetPrice("FP-LBR-0390","Actual","Low",_LATESTvarPubDate)</f>
        <v>295</v>
      </c>
      <c r="E215" s="107">
        <f t="array" aca="1" ref="E215" ca="1">_xll.GetPrice("FP-LBR-0391","Actual","Low",_LATESTvarPubDate)</f>
        <v>300</v>
      </c>
      <c r="F215" s="107">
        <f t="array" aca="1" ref="F215" ca="1">_xll.GetPrice("FP-LBR-0392","Actual","Low",_LATESTvarPubDate)</f>
        <v>375</v>
      </c>
      <c r="G215" s="107">
        <f t="array" aca="1" ref="G215" ca="1">_xll.GetPrice("FP-LBR-0393","Actual","Low",_LATESTvarPubDate)</f>
        <v>315</v>
      </c>
      <c r="H215" s="107">
        <f t="array" aca="1" ref="H215" ca="1">_xll.GetPrice("FP-LBR-0394","Actual","Low",_LATESTvarPubDate)</f>
        <v>460</v>
      </c>
      <c r="I215" s="73"/>
      <c r="J215" s="105" t="s">
        <v>42</v>
      </c>
      <c r="K215" s="107">
        <f t="array" aca="1" ref="K215" ca="1">_xll.GetPrice("FP-LBR-2120","Actual","Low",_LATESTvarPubDate)</f>
        <v>275</v>
      </c>
      <c r="L215" s="107">
        <f t="array" aca="1" ref="L215" ca="1">_xll.GetPrice("FP-LBR-2121","Actual","Low",_LATESTvarPubDate)</f>
        <v>300</v>
      </c>
      <c r="M215" s="107">
        <f t="array" aca="1" ref="M215" ca="1">_xll.GetPrice("FP-LBR-2122","Actual","Low",_LATESTvarPubDate)</f>
        <v>330</v>
      </c>
      <c r="N215" s="107">
        <f t="array" aca="1" ref="N215" ca="1">_xll.GetPrice("FP-LBR-2123","Actual","Low",_LATESTvarPubDate)</f>
        <v>295</v>
      </c>
      <c r="O215" s="107">
        <f t="array" aca="1" ref="O215" ca="1">_xll.GetPrice("FP-LBR-2124","Actual","Low",_LATESTvarPubDate)</f>
        <v>350</v>
      </c>
      <c r="P215" s="107">
        <f t="array" aca="1" ref="P215" ca="1">_xll.GetPrice("FP-LBR-2125","Actual","Low",_LATESTvarPubDate)</f>
        <v>330</v>
      </c>
      <c r="Q215" s="107">
        <f t="array" aca="1" ref="Q215" ca="1">_xll.GetPrice("FP-LBR-2126","Actual","Low",_LATESTvarPubDate)</f>
        <v>450</v>
      </c>
      <c r="R215" s="107">
        <f t="array" aca="1" ref="R215" ca="1">_xll.GetPrice("FP-LBR-2127","Actual","Low",_LATESTvarPubDate)</f>
        <v>925</v>
      </c>
      <c r="S215" s="107">
        <f t="array" aca="1" ref="S215" ca="1">_xll.GetPrice("FP-LBR-2128","Actual","Low",_LATESTvarPubDate)</f>
        <v>935</v>
      </c>
      <c r="T215" s="73"/>
      <c r="U215" s="73"/>
      <c r="V215" s="73"/>
      <c r="W215" s="73"/>
      <c r="X215" s="73"/>
      <c r="Y215" s="73"/>
      <c r="Z215" s="73"/>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Q215" s="93"/>
    </row>
    <row r="216" spans="1:69" s="71" customFormat="1" x14ac:dyDescent="0.2">
      <c r="A216" s="105" t="s">
        <v>137</v>
      </c>
      <c r="B216" s="105" t="s">
        <v>39</v>
      </c>
      <c r="C216" s="107">
        <f t="array" aca="1" ref="C216" ca="1">_xll.GetPrice("FP-LBR-0395","Actual","Low",_LATESTvarPubDate)</f>
        <v>745</v>
      </c>
      <c r="D216" s="107">
        <f t="array" aca="1" ref="D216" ca="1">_xll.GetPrice("FP-LBR-0396","Actual","Low",_LATESTvarPubDate)</f>
        <v>735</v>
      </c>
      <c r="F216" s="105" t="s">
        <v>40</v>
      </c>
      <c r="G216" s="107">
        <f t="array" aca="1" ref="G216" ca="1">_xll.GetPrice("FP-LBR-0397","Actual","Low",_LATESTvarPubDate)</f>
        <v>525</v>
      </c>
      <c r="H216" s="107">
        <f t="array" aca="1" ref="H216" ca="1">_xll.GetPrice("FP-LBR-0398","Actual","Low",_LATESTvarPubDate)</f>
        <v>610</v>
      </c>
      <c r="I216" s="73"/>
      <c r="J216" s="73"/>
      <c r="K216" s="73"/>
      <c r="L216" s="73"/>
      <c r="M216" s="73"/>
      <c r="N216" s="73"/>
      <c r="O216" s="73"/>
      <c r="P216" s="73"/>
      <c r="Q216" s="73"/>
      <c r="R216" s="73"/>
      <c r="S216" s="73"/>
      <c r="T216" s="73"/>
      <c r="U216" s="73"/>
      <c r="V216" s="73"/>
      <c r="W216" s="73"/>
      <c r="X216" s="73"/>
      <c r="Y216" s="73"/>
      <c r="Z216" s="73"/>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Q216" s="93"/>
    </row>
    <row r="217" spans="1:69" s="71" customFormat="1" x14ac:dyDescent="0.2">
      <c r="A217" s="73"/>
      <c r="B217" s="105" t="s">
        <v>41</v>
      </c>
      <c r="C217" s="107">
        <f t="array" aca="1" ref="C217" ca="1">_xll.GetPrice("FP-LBR-0399","Actual","Low",_LATESTvarPubDate)</f>
        <v>365</v>
      </c>
      <c r="D217" s="107">
        <f t="array" aca="1" ref="D217" ca="1">_xll.GetPrice("FP-LBR-0400","Actual","Low",_LATESTvarPubDate)</f>
        <v>590</v>
      </c>
      <c r="F217" s="105" t="s">
        <v>42</v>
      </c>
      <c r="G217" s="107">
        <f t="array" aca="1" ref="G217" ca="1">_xll.GetPrice("FP-LBR-0401","Actual","Low",_LATESTvarPubDate)</f>
        <v>930</v>
      </c>
      <c r="H217" s="107">
        <f t="array" aca="1" ref="H217" ca="1">_xll.GetPrice("FP-LBR-0402","Actual","Low",_LATESTvarPubDate)</f>
        <v>950</v>
      </c>
      <c r="I217" s="73"/>
      <c r="J217" s="96" t="s">
        <v>138</v>
      </c>
      <c r="K217" s="73"/>
      <c r="L217" s="73"/>
      <c r="M217" s="73"/>
      <c r="N217" s="73"/>
      <c r="O217" s="73"/>
      <c r="P217" s="73"/>
      <c r="Q217" s="73"/>
      <c r="R217" s="73"/>
      <c r="S217" s="73"/>
      <c r="T217" s="73"/>
      <c r="U217" s="73"/>
      <c r="V217" s="73"/>
      <c r="W217" s="73"/>
      <c r="X217" s="73"/>
      <c r="Y217" s="73"/>
      <c r="Z217" s="73"/>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Q217" s="93"/>
    </row>
    <row r="218" spans="1:69" s="71" customFormat="1" x14ac:dyDescent="0.2">
      <c r="A218" s="73"/>
      <c r="B218" s="73"/>
      <c r="C218" s="73"/>
      <c r="D218" s="73"/>
      <c r="E218" s="73"/>
      <c r="F218" s="73"/>
      <c r="G218" s="73"/>
      <c r="H218" s="73"/>
      <c r="I218" s="73"/>
      <c r="J218" s="82"/>
      <c r="K218" s="98" t="s">
        <v>127</v>
      </c>
      <c r="L218" s="98" t="s">
        <v>128</v>
      </c>
      <c r="M218" s="98" t="s">
        <v>129</v>
      </c>
      <c r="N218" s="98" t="s">
        <v>130</v>
      </c>
      <c r="O218" s="98" t="s">
        <v>131</v>
      </c>
      <c r="P218" s="98" t="s">
        <v>132</v>
      </c>
      <c r="Q218" s="98" t="s">
        <v>133</v>
      </c>
      <c r="R218" s="98" t="s">
        <v>134</v>
      </c>
      <c r="S218" s="98" t="s">
        <v>135</v>
      </c>
      <c r="T218" s="73"/>
      <c r="U218" s="73"/>
      <c r="V218" s="73"/>
      <c r="W218" s="73"/>
      <c r="X218" s="73"/>
      <c r="Y218" s="73"/>
      <c r="Z218" s="73"/>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Q218" s="93"/>
    </row>
    <row r="219" spans="1:69" s="71" customFormat="1" x14ac:dyDescent="0.2">
      <c r="A219" s="96" t="s">
        <v>139</v>
      </c>
      <c r="B219" s="73"/>
      <c r="C219" s="73"/>
      <c r="D219" s="73"/>
      <c r="E219" s="73"/>
      <c r="F219" s="73"/>
      <c r="G219" s="73"/>
      <c r="H219" s="73"/>
      <c r="I219" s="73"/>
      <c r="J219" s="105" t="s">
        <v>140</v>
      </c>
      <c r="K219" s="107">
        <f t="array" aca="1" ref="K219" ca="1">_xll.GetPrice("FP-LBR-0185","Actual","Low",_LATESTvarPubDate)</f>
        <v>370</v>
      </c>
      <c r="L219" s="107">
        <f t="array" aca="1" ref="L219" ca="1">_xll.GetPrice("FP-LBR-0186","Actual","Low",_LATESTvarPubDate)</f>
        <v>460</v>
      </c>
      <c r="M219" s="107">
        <f t="array" aca="1" ref="M219" ca="1">_xll.GetPrice("FP-LBR-0187","Actual","Low",_LATESTvarPubDate)</f>
        <v>485</v>
      </c>
      <c r="N219" s="107">
        <f t="array" aca="1" ref="N219" ca="1">_xll.GetPrice("FP-LBR-0188","Actual","Low",_LATESTvarPubDate)</f>
        <v>510</v>
      </c>
      <c r="O219" s="107">
        <f t="array" aca="1" ref="O219" ca="1">_xll.GetPrice("FP-LBR-0189","Actual","Low",_LATESTvarPubDate)</f>
        <v>560</v>
      </c>
      <c r="P219" s="107">
        <f t="array" aca="1" ref="P219" ca="1">_xll.GetPrice("FP-LBR-0190","Actual","Low",_LATESTvarPubDate)</f>
        <v>520</v>
      </c>
      <c r="Q219" s="107">
        <f t="array" aca="1" ref="Q219" ca="1">_xll.GetPrice("FP-LBR-0191","Actual","Low",_LATESTvarPubDate)</f>
        <v>520</v>
      </c>
      <c r="R219" s="106" t="s">
        <v>37</v>
      </c>
      <c r="S219" s="106" t="s">
        <v>37</v>
      </c>
      <c r="T219" s="73"/>
      <c r="U219" s="73"/>
      <c r="V219" s="73"/>
      <c r="W219" s="73"/>
      <c r="X219" s="73"/>
      <c r="Y219" s="73"/>
      <c r="Z219" s="73"/>
      <c r="AA219" s="74"/>
      <c r="AB219" s="7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Q219" s="93"/>
    </row>
    <row r="220" spans="1:69" s="71" customFormat="1" x14ac:dyDescent="0.2">
      <c r="A220" s="73"/>
      <c r="B220" s="98" t="s">
        <v>127</v>
      </c>
      <c r="C220" s="98" t="s">
        <v>128</v>
      </c>
      <c r="D220" s="98" t="s">
        <v>129</v>
      </c>
      <c r="E220" s="98" t="s">
        <v>130</v>
      </c>
      <c r="F220" s="98" t="s">
        <v>131</v>
      </c>
      <c r="G220" s="98" t="s">
        <v>132</v>
      </c>
      <c r="H220" s="98" t="s">
        <v>133</v>
      </c>
      <c r="I220" s="73"/>
      <c r="J220" s="105" t="s">
        <v>141</v>
      </c>
      <c r="K220" s="107">
        <f t="array" aca="1" ref="K220" ca="1">_xll.GetPrice("FP-LBR-0192","Actual","Low",_LATESTvarPubDate)</f>
        <v>320</v>
      </c>
      <c r="L220" s="107">
        <f t="array" aca="1" ref="L220" ca="1">_xll.GetPrice("FP-LBR-0193","Actual","Low",_LATESTvarPubDate)</f>
        <v>440</v>
      </c>
      <c r="M220" s="107">
        <f t="array" aca="1" ref="M220" ca="1">_xll.GetPrice("FP-LBR-0194","Actual","Low",_LATESTvarPubDate)</f>
        <v>430</v>
      </c>
      <c r="N220" s="107">
        <f t="array" aca="1" ref="N220" ca="1">_xll.GetPrice("FP-LBR-0195","Actual","Low",_LATESTvarPubDate)</f>
        <v>440</v>
      </c>
      <c r="O220" s="107">
        <f t="array" aca="1" ref="O220" ca="1">_xll.GetPrice("FP-LBR-0196","Actual","Low",_LATESTvarPubDate)</f>
        <v>500</v>
      </c>
      <c r="P220" s="107">
        <f t="array" aca="1" ref="P220" ca="1">_xll.GetPrice("FP-LBR-0197","Actual","Low",_LATESTvarPubDate)</f>
        <v>485</v>
      </c>
      <c r="Q220" s="107">
        <f t="array" aca="1" ref="Q220" ca="1">_xll.GetPrice("FP-LBR-0198","Actual","Low",_LATESTvarPubDate)</f>
        <v>490</v>
      </c>
      <c r="R220" s="107">
        <f t="array" aca="1" ref="R220" ca="1">_xll.GetPrice("FP-LBR-0199","Actual","Low",_LATESTvarPubDate)</f>
        <v>740</v>
      </c>
      <c r="S220" s="107">
        <f t="array" aca="1" ref="S220" ca="1">_xll.GetPrice("FP-LBR-0200","Actual","Low",_LATESTvarPubDate)</f>
        <v>740</v>
      </c>
      <c r="T220" s="73"/>
      <c r="U220" s="73"/>
      <c r="V220" s="73"/>
      <c r="W220" s="73"/>
      <c r="X220" s="73"/>
      <c r="Y220" s="73"/>
      <c r="Z220" s="73"/>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Q220" s="93"/>
    </row>
    <row r="221" spans="1:69" s="71" customFormat="1" x14ac:dyDescent="0.2">
      <c r="A221" s="105" t="s">
        <v>77</v>
      </c>
      <c r="B221" s="107">
        <f t="array" aca="1" ref="B221" ca="1">_xll.GetPrice("FP-LBR-2051","Actual","Low",_LATESTvarPubDate)</f>
        <v>435</v>
      </c>
      <c r="C221" s="107">
        <f t="array" aca="1" ref="C221" ca="1">_xll.GetPrice("FP-LBR-2052","Actual","Low",_LATESTvarPubDate)</f>
        <v>390</v>
      </c>
      <c r="D221" s="107">
        <f t="array" aca="1" ref="D221" ca="1">_xll.GetPrice("FP-LBR-2053","Actual","Low",_LATESTvarPubDate)</f>
        <v>380</v>
      </c>
      <c r="E221" s="107">
        <f t="array" aca="1" ref="E221" ca="1">_xll.GetPrice("FP-LBR-2054","Actual","Low",_LATESTvarPubDate)</f>
        <v>420</v>
      </c>
      <c r="F221" s="107">
        <f t="array" aca="1" ref="F221" ca="1">_xll.GetPrice("FP-LBR-2055","Actual","Low",_LATESTvarPubDate)</f>
        <v>445</v>
      </c>
      <c r="G221" s="107">
        <f t="array" aca="1" ref="G221" ca="1">_xll.GetPrice("FP-LBR-2056","Actual","Low",_LATESTvarPubDate)</f>
        <v>420</v>
      </c>
      <c r="H221" s="107">
        <f t="array" aca="1" ref="H221" ca="1">_xll.GetPrice("FP-LBR-2057","Actual","Low",_LATESTvarPubDate)</f>
        <v>420</v>
      </c>
      <c r="I221" s="73"/>
      <c r="J221" s="105" t="s">
        <v>40</v>
      </c>
      <c r="K221" s="107">
        <f t="array" aca="1" ref="K221" ca="1">_xll.GetPrice("FP-LBR-0201","Actual","Low",_LATESTvarPubDate)</f>
        <v>280</v>
      </c>
      <c r="L221" s="107">
        <f t="array" aca="1" ref="L221" ca="1">_xll.GetPrice("FP-LBR-0202","Actual","Low",_LATESTvarPubDate)</f>
        <v>335</v>
      </c>
      <c r="M221" s="107">
        <f t="array" aca="1" ref="M221" ca="1">_xll.GetPrice("FP-LBR-0203","Actual","Low",_LATESTvarPubDate)</f>
        <v>370</v>
      </c>
      <c r="N221" s="107">
        <f t="array" aca="1" ref="N221" ca="1">_xll.GetPrice("FP-LBR-0204","Actual","Low",_LATESTvarPubDate)</f>
        <v>380</v>
      </c>
      <c r="O221" s="107">
        <f t="array" aca="1" ref="O221" ca="1">_xll.GetPrice("FP-LBR-0205","Actual","Low",_LATESTvarPubDate)</f>
        <v>440</v>
      </c>
      <c r="P221" s="107">
        <f t="array" aca="1" ref="P221" ca="1">_xll.GetPrice("FP-LBR-0206","Actual","Low",_LATESTvarPubDate)</f>
        <v>420</v>
      </c>
      <c r="Q221" s="107">
        <f t="array" aca="1" ref="Q221" ca="1">_xll.GetPrice("FP-LBR-0207","Actual","Low",_LATESTvarPubDate)</f>
        <v>420</v>
      </c>
      <c r="R221" s="107">
        <f t="array" aca="1" ref="R221" ca="1">_xll.GetPrice("FP-LBR-0208","Actual","Low",_LATESTvarPubDate)</f>
        <v>725</v>
      </c>
      <c r="S221" s="107">
        <f t="array" aca="1" ref="S221" ca="1">_xll.GetPrice("FP-LBR-0209","Actual","Low",_LATESTvarPubDate)</f>
        <v>725</v>
      </c>
      <c r="T221" s="73"/>
      <c r="U221" s="73"/>
      <c r="V221" s="73"/>
      <c r="W221" s="73"/>
      <c r="X221" s="73"/>
      <c r="Y221" s="73"/>
      <c r="Z221" s="73"/>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Q221" s="93"/>
    </row>
    <row r="222" spans="1:69" s="71" customFormat="1" x14ac:dyDescent="0.2">
      <c r="A222" s="105" t="s">
        <v>39</v>
      </c>
      <c r="B222" s="107">
        <f t="array" aca="1" ref="B222" ca="1">_xll.GetPrice("FP-LBR-2058","Actual","Low",_LATESTvarPubDate)</f>
        <v>345</v>
      </c>
      <c r="C222" s="107">
        <f t="array" aca="1" ref="C222" ca="1">_xll.GetPrice("FP-LBR-2059","Actual","Low",_LATESTvarPubDate)</f>
        <v>345</v>
      </c>
      <c r="D222" s="107">
        <f t="array" aca="1" ref="D222" ca="1">_xll.GetPrice("FP-LBR-2060","Actual","Low",_LATESTvarPubDate)</f>
        <v>380</v>
      </c>
      <c r="E222" s="107">
        <f t="array" aca="1" ref="E222" ca="1">_xll.GetPrice("FP-LBR-2061","Actual","Low",_LATESTvarPubDate)</f>
        <v>360</v>
      </c>
      <c r="F222" s="107">
        <f t="array" aca="1" ref="F222" ca="1">_xll.GetPrice("FP-LBR-2062","Actual","Low",_LATESTvarPubDate)</f>
        <v>350</v>
      </c>
      <c r="G222" s="107">
        <f t="array" aca="1" ref="G222" ca="1">_xll.GetPrice("FP-LBR-2063","Actual","Low",_LATESTvarPubDate)</f>
        <v>335</v>
      </c>
      <c r="H222" s="107">
        <f t="array" aca="1" ref="H222" ca="1">_xll.GetPrice("FP-LBR-2064","Actual","Low",_LATESTvarPubDate)</f>
        <v>375</v>
      </c>
      <c r="I222" s="73"/>
      <c r="J222" s="105" t="s">
        <v>41</v>
      </c>
      <c r="K222" s="107">
        <f t="array" aca="1" ref="K222" ca="1">_xll.GetPrice("FP-LBR-0210","Actual","Low",_LATESTvarPubDate)</f>
        <v>265</v>
      </c>
      <c r="L222" s="107">
        <f t="array" aca="1" ref="L222" ca="1">_xll.GetPrice("FP-LBR-0211","Actual","Low",_LATESTvarPubDate)</f>
        <v>355</v>
      </c>
      <c r="M222" s="107">
        <f t="array" aca="1" ref="M222" ca="1">_xll.GetPrice("FP-LBR-0212","Actual","Low",_LATESTvarPubDate)</f>
        <v>360</v>
      </c>
      <c r="N222" s="107">
        <f t="array" aca="1" ref="N222" ca="1">_xll.GetPrice("FP-LBR-0213","Actual","Low",_LATESTvarPubDate)</f>
        <v>425</v>
      </c>
      <c r="O222" s="107">
        <f t="array" aca="1" ref="O222" ca="1">_xll.GetPrice("FP-LBR-0214","Actual","Low",_LATESTvarPubDate)</f>
        <v>435</v>
      </c>
      <c r="P222" s="107">
        <f t="array" aca="1" ref="P222" ca="1">_xll.GetPrice("FP-LBR-0215","Actual","Low",_LATESTvarPubDate)</f>
        <v>420</v>
      </c>
      <c r="Q222" s="107">
        <f t="array" aca="1" ref="Q222" ca="1">_xll.GetPrice("FP-LBR-0216","Actual","Low",_LATESTvarPubDate)</f>
        <v>420</v>
      </c>
      <c r="R222" s="107">
        <f t="array" aca="1" ref="R222" ca="1">_xll.GetPrice("FP-LBR-0217","Actual","Low",_LATESTvarPubDate)</f>
        <v>710</v>
      </c>
      <c r="S222" s="107">
        <f t="array" aca="1" ref="S222" ca="1">_xll.GetPrice("FP-LBR-0218","Actual","Low",_LATESTvarPubDate)</f>
        <v>710</v>
      </c>
      <c r="T222" s="73"/>
      <c r="U222" s="73"/>
      <c r="V222" s="73"/>
      <c r="W222" s="73"/>
      <c r="X222" s="73"/>
      <c r="Y222" s="73"/>
      <c r="Z222" s="73"/>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Q222" s="93"/>
    </row>
    <row r="223" spans="1:69" s="71" customFormat="1" x14ac:dyDescent="0.2">
      <c r="A223" s="105" t="s">
        <v>40</v>
      </c>
      <c r="B223" s="107">
        <f t="array" aca="1" ref="B223" ca="1">_xll.GetPrice("FP-LBR-2065","Actual","Low",_LATESTvarPubDate)</f>
        <v>390</v>
      </c>
      <c r="C223" s="107">
        <f t="array" aca="1" ref="C223" ca="1">_xll.GetPrice("FP-LBR-2066","Actual","Low",_LATESTvarPubDate)</f>
        <v>350</v>
      </c>
      <c r="D223" s="107">
        <f t="array" aca="1" ref="D223" ca="1">_xll.GetPrice("FP-LBR-2067","Actual","Low",_LATESTvarPubDate)</f>
        <v>375</v>
      </c>
      <c r="E223" s="107">
        <f t="array" aca="1" ref="E223" ca="1">_xll.GetPrice("FP-LBR-2068","Actual","Low",_LATESTvarPubDate)</f>
        <v>340</v>
      </c>
      <c r="F223" s="107">
        <f t="array" aca="1" ref="F223" ca="1">_xll.GetPrice("FP-LBR-2069","Actual","Low",_LATESTvarPubDate)</f>
        <v>350</v>
      </c>
      <c r="G223" s="107">
        <f t="array" aca="1" ref="G223" ca="1">_xll.GetPrice("FP-LBR-2070","Actual","Low",_LATESTvarPubDate)</f>
        <v>350</v>
      </c>
      <c r="H223" s="107">
        <f t="array" aca="1" ref="H223" ca="1">_xll.GetPrice("FP-LBR-2071","Actual","Low",_LATESTvarPubDate)</f>
        <v>345</v>
      </c>
      <c r="I223" s="73"/>
      <c r="J223" s="105" t="s">
        <v>42</v>
      </c>
      <c r="K223" s="107">
        <f t="array" aca="1" ref="K223" ca="1">_xll.GetPrice("FP-LBR-0219","Actual","Low",_LATESTvarPubDate)</f>
        <v>280</v>
      </c>
      <c r="L223" s="107">
        <f t="array" aca="1" ref="L223" ca="1">_xll.GetPrice("FP-LBR-0220","Actual","Low",_LATESTvarPubDate)</f>
        <v>305</v>
      </c>
      <c r="M223" s="107">
        <f t="array" aca="1" ref="M223" ca="1">_xll.GetPrice("FP-LBR-0221","Actual","Low",_LATESTvarPubDate)</f>
        <v>385</v>
      </c>
      <c r="N223" s="107">
        <f t="array" aca="1" ref="N223" ca="1">_xll.GetPrice("FP-LBR-0222","Actual","Low",_LATESTvarPubDate)</f>
        <v>400</v>
      </c>
      <c r="O223" s="107">
        <f t="array" aca="1" ref="O223" ca="1">_xll.GetPrice("FP-LBR-0223","Actual","Low",_LATESTvarPubDate)</f>
        <v>470</v>
      </c>
      <c r="P223" s="107">
        <f t="array" aca="1" ref="P223" ca="1">_xll.GetPrice("FP-LBR-0224","Actual","Low",_LATESTvarPubDate)</f>
        <v>415</v>
      </c>
      <c r="Q223" s="107">
        <f t="array" aca="1" ref="Q223" ca="1">_xll.GetPrice("FP-LBR-0225","Actual","Low",_LATESTvarPubDate)</f>
        <v>415</v>
      </c>
      <c r="R223" s="107">
        <f t="array" aca="1" ref="R223" ca="1">_xll.GetPrice("FP-LBR-0226","Actual","Low",_LATESTvarPubDate)</f>
        <v>900</v>
      </c>
      <c r="S223" s="107">
        <f t="array" aca="1" ref="S223" ca="1">_xll.GetPrice("FP-LBR-0227","Actual","Low",_LATESTvarPubDate)</f>
        <v>900</v>
      </c>
      <c r="T223" s="73"/>
      <c r="U223" s="73"/>
      <c r="V223" s="73"/>
      <c r="W223" s="73"/>
      <c r="X223" s="73"/>
      <c r="Y223" s="73"/>
      <c r="Z223" s="73"/>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Q223" s="93"/>
    </row>
    <row r="224" spans="1:69" s="71" customFormat="1" x14ac:dyDescent="0.2">
      <c r="A224" s="105" t="s">
        <v>41</v>
      </c>
      <c r="B224" s="107">
        <f t="array" aca="1" ref="B224" ca="1">_xll.GetPrice("FP-LBR-2072","Actual","Low",_LATESTvarPubDate)</f>
        <v>350</v>
      </c>
      <c r="C224" s="107">
        <f t="array" aca="1" ref="C224" ca="1">_xll.GetPrice("FP-LBR-2073","Actual","Low",_LATESTvarPubDate)</f>
        <v>375</v>
      </c>
      <c r="D224" s="107">
        <f t="array" aca="1" ref="D224" ca="1">_xll.GetPrice("FP-LBR-2074","Actual","Low",_LATESTvarPubDate)</f>
        <v>410</v>
      </c>
      <c r="E224" s="107">
        <f t="array" aca="1" ref="E224" ca="1">_xll.GetPrice("FP-LBR-2075","Actual","Low",_LATESTvarPubDate)</f>
        <v>420</v>
      </c>
      <c r="F224" s="107">
        <f t="array" aca="1" ref="F224" ca="1">_xll.GetPrice("FP-LBR-2076","Actual","Low",_LATESTvarPubDate)</f>
        <v>400</v>
      </c>
      <c r="G224" s="107">
        <f t="array" aca="1" ref="G224" ca="1">_xll.GetPrice("FP-LBR-2077","Actual","Low",_LATESTvarPubDate)</f>
        <v>355</v>
      </c>
      <c r="H224" s="107">
        <f t="array" aca="1" ref="H224" ca="1">_xll.GetPrice("FP-LBR-2078","Actual","Low",_LATESTvarPubDate)</f>
        <v>415</v>
      </c>
      <c r="I224" s="73"/>
      <c r="J224" s="74"/>
      <c r="K224" s="74"/>
      <c r="L224" s="74"/>
      <c r="M224" s="74"/>
      <c r="N224" s="74"/>
      <c r="O224" s="74"/>
      <c r="P224" s="74"/>
      <c r="Q224" s="74"/>
      <c r="R224" s="74"/>
      <c r="S224" s="74"/>
      <c r="T224" s="73"/>
      <c r="U224" s="73"/>
      <c r="V224" s="73"/>
      <c r="W224" s="73"/>
      <c r="X224" s="73"/>
      <c r="Y224" s="73"/>
      <c r="Z224" s="73"/>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Q224" s="93"/>
    </row>
    <row r="225" spans="1:69" s="71" customFormat="1" x14ac:dyDescent="0.2">
      <c r="A225" s="105" t="s">
        <v>42</v>
      </c>
      <c r="B225" s="107">
        <f t="array" aca="1" ref="B225" ca="1">_xll.GetPrice("FP-LBR-2079","Actual","Low",_LATESTvarPubDate)</f>
        <v>450</v>
      </c>
      <c r="C225" s="107">
        <f t="array" aca="1" ref="C225" ca="1">_xll.GetPrice("FP-LBR-2080","Actual","Low",_LATESTvarPubDate)</f>
        <v>435</v>
      </c>
      <c r="D225" s="107">
        <f t="array" aca="1" ref="D225" ca="1">_xll.GetPrice("FP-LBR-2081","Actual","Low",_LATESTvarPubDate)</f>
        <v>430</v>
      </c>
      <c r="E225" s="107">
        <f t="array" aca="1" ref="E225" ca="1">_xll.GetPrice("FP-LBR-2082","Actual","Low",_LATESTvarPubDate)</f>
        <v>375</v>
      </c>
      <c r="F225" s="107">
        <f t="array" aca="1" ref="F225" ca="1">_xll.GetPrice("FP-LBR-2083","Actual","Low",_LATESTvarPubDate)</f>
        <v>430</v>
      </c>
      <c r="G225" s="107">
        <f t="array" aca="1" ref="G225" ca="1">_xll.GetPrice("FP-LBR-2084","Actual","Low",_LATESTvarPubDate)</f>
        <v>505</v>
      </c>
      <c r="H225" s="107">
        <f t="array" aca="1" ref="H225" ca="1">_xll.GetPrice("FP-LBR-2085","Actual","Low",_LATESTvarPubDate)</f>
        <v>795</v>
      </c>
      <c r="I225" s="73"/>
      <c r="J225" s="74"/>
      <c r="K225" s="74"/>
      <c r="L225" s="74"/>
      <c r="M225" s="74"/>
      <c r="N225" s="74"/>
      <c r="O225" s="74"/>
      <c r="P225" s="74"/>
      <c r="Q225" s="74"/>
      <c r="R225" s="74"/>
      <c r="S225" s="74"/>
      <c r="T225" s="73"/>
      <c r="U225" s="73"/>
      <c r="V225" s="73"/>
      <c r="W225" s="73"/>
      <c r="X225" s="73"/>
      <c r="Y225" s="73"/>
      <c r="Z225" s="73"/>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Q225" s="93"/>
    </row>
    <row r="226" spans="1:69" s="71" customFormat="1" x14ac:dyDescent="0.2">
      <c r="A226" s="105" t="s">
        <v>136</v>
      </c>
      <c r="B226" s="107">
        <f t="array" aca="1" ref="B226" ca="1">_xll.GetPrice("FP-LBR-2016","Actual","Low",_LATESTvarPubDate)</f>
        <v>390</v>
      </c>
      <c r="C226" s="107">
        <f t="array" aca="1" ref="C226" ca="1">_xll.GetPrice("FP-LBR-2017","Actual","Low",_LATESTvarPubDate)</f>
        <v>340</v>
      </c>
      <c r="D226" s="107">
        <f t="array" aca="1" ref="D226" ca="1">_xll.GetPrice("FP-LBR-2018","Actual","Low",_LATESTvarPubDate)</f>
        <v>345</v>
      </c>
      <c r="E226" s="107">
        <f t="array" aca="1" ref="E226" ca="1">_xll.GetPrice("FP-LBR-2019","Actual","Low",_LATESTvarPubDate)</f>
        <v>390</v>
      </c>
      <c r="F226" s="107">
        <f t="array" aca="1" ref="F226" ca="1">_xll.GetPrice("FP-LBR-2020","Actual","Low",_LATESTvarPubDate)</f>
        <v>415</v>
      </c>
      <c r="G226" s="107">
        <f t="array" aca="1" ref="G226" ca="1">_xll.GetPrice("FP-LBR-2021","Actual","Low",_LATESTvarPubDate)</f>
        <v>390</v>
      </c>
      <c r="H226" s="107">
        <f t="array" aca="1" ref="H226" ca="1">_xll.GetPrice("FP-LBR-2022","Actual","Low",_LATESTvarPubDate)</f>
        <v>400</v>
      </c>
      <c r="I226" s="73"/>
      <c r="J226" s="115" t="s">
        <v>142</v>
      </c>
      <c r="K226" s="73"/>
      <c r="L226" s="73"/>
      <c r="M226" s="73"/>
      <c r="N226" s="73"/>
      <c r="O226" s="73"/>
      <c r="P226" s="73"/>
      <c r="Q226" s="73"/>
      <c r="R226" s="73"/>
      <c r="S226" s="73"/>
      <c r="T226" s="73"/>
      <c r="U226" s="73"/>
      <c r="V226" s="73"/>
      <c r="W226" s="73"/>
      <c r="X226" s="73"/>
      <c r="Y226" s="73"/>
      <c r="Z226" s="73"/>
      <c r="AA226" s="74"/>
      <c r="AB226" s="7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Q226" s="93"/>
    </row>
    <row r="227" spans="1:69" s="71" customFormat="1" x14ac:dyDescent="0.2">
      <c r="A227" s="105" t="s">
        <v>39</v>
      </c>
      <c r="B227" s="107">
        <f t="array" aca="1" ref="B227" ca="1">_xll.GetPrice("FP-LBR-2023","Actual","Low",_LATESTvarPubDate)</f>
        <v>285</v>
      </c>
      <c r="C227" s="107">
        <f t="array" aca="1" ref="C227" ca="1">_xll.GetPrice("FP-LBR-2024","Actual","Low",_LATESTvarPubDate)</f>
        <v>310</v>
      </c>
      <c r="D227" s="107">
        <f t="array" aca="1" ref="D227" ca="1">_xll.GetPrice("FP-LBR-2025","Actual","Low",_LATESTvarPubDate)</f>
        <v>320</v>
      </c>
      <c r="E227" s="107">
        <f t="array" aca="1" ref="E227" ca="1">_xll.GetPrice("FP-LBR-2026","Actual","Low",_LATESTvarPubDate)</f>
        <v>320</v>
      </c>
      <c r="F227" s="107">
        <f t="array" aca="1" ref="F227" ca="1">_xll.GetPrice("FP-LBR-2027","Actual","Low",_LATESTvarPubDate)</f>
        <v>320</v>
      </c>
      <c r="G227" s="107">
        <f t="array" aca="1" ref="G227" ca="1">_xll.GetPrice("FP-LBR-2028","Actual","Low",_LATESTvarPubDate)</f>
        <v>320</v>
      </c>
      <c r="H227" s="107">
        <f t="array" aca="1" ref="H227" ca="1">_xll.GetPrice("FP-LBR-2029","Actual","Low",_LATESTvarPubDate)</f>
        <v>305</v>
      </c>
      <c r="I227" s="73"/>
      <c r="K227" s="98" t="s">
        <v>127</v>
      </c>
      <c r="L227" s="98" t="s">
        <v>128</v>
      </c>
      <c r="M227" s="98" t="s">
        <v>129</v>
      </c>
      <c r="N227" s="98" t="s">
        <v>130</v>
      </c>
      <c r="O227" s="98" t="s">
        <v>131</v>
      </c>
      <c r="P227" s="98" t="s">
        <v>132</v>
      </c>
      <c r="Q227" s="98" t="s">
        <v>133</v>
      </c>
      <c r="R227" s="98"/>
      <c r="S227" s="98"/>
      <c r="T227" s="73"/>
      <c r="U227" s="73"/>
      <c r="V227" s="73"/>
      <c r="W227" s="73"/>
      <c r="X227" s="73"/>
      <c r="Y227" s="73"/>
      <c r="Z227" s="73"/>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Q227" s="93"/>
    </row>
    <row r="228" spans="1:69" s="71" customFormat="1" x14ac:dyDescent="0.2">
      <c r="A228" s="105" t="s">
        <v>40</v>
      </c>
      <c r="B228" s="107">
        <f t="array" aca="1" ref="B228" ca="1">_xll.GetPrice("FP-LBR-2030","Actual","Low",_LATESTvarPubDate)</f>
        <v>315</v>
      </c>
      <c r="C228" s="107">
        <f t="array" aca="1" ref="C228" ca="1">_xll.GetPrice("FP-LBR-2031","Actual","Low",_LATESTvarPubDate)</f>
        <v>305</v>
      </c>
      <c r="D228" s="107">
        <f t="array" aca="1" ref="D228" ca="1">_xll.GetPrice("FP-LBR-2032","Actual","Low",_LATESTvarPubDate)</f>
        <v>320</v>
      </c>
      <c r="E228" s="107">
        <f t="array" aca="1" ref="E228" ca="1">_xll.GetPrice("FP-LBR-2033","Actual","Low",_LATESTvarPubDate)</f>
        <v>320</v>
      </c>
      <c r="F228" s="107">
        <f t="array" aca="1" ref="F228" ca="1">_xll.GetPrice("FP-LBR-2034","Actual","Low",_LATESTvarPubDate)</f>
        <v>325</v>
      </c>
      <c r="G228" s="107">
        <f t="array" aca="1" ref="G228" ca="1">_xll.GetPrice("FP-LBR-2035","Actual","Low",_LATESTvarPubDate)</f>
        <v>295</v>
      </c>
      <c r="H228" s="107">
        <f t="array" aca="1" ref="H228" ca="1">_xll.GetPrice("FP-LBR-2036","Actual","Low",_LATESTvarPubDate)</f>
        <v>300</v>
      </c>
      <c r="I228" s="73"/>
      <c r="J228" s="105" t="s">
        <v>140</v>
      </c>
      <c r="K228" s="109">
        <f t="array" aca="1" ref="K228" ca="1">_xll.GetPrice("FP-LBR-0438","Actual","Low",_LATESTvarPubDate)</f>
        <v>395</v>
      </c>
      <c r="L228" s="109">
        <f t="array" aca="1" ref="L228" ca="1">_xll.GetPrice("FP-LBR-0439","Actual","Low",_LATESTvarPubDate)</f>
        <v>373</v>
      </c>
      <c r="M228" s="109">
        <f t="array" aca="1" ref="M228" ca="1">_xll.GetPrice("FP-LBR-0440","Actual","Low",_LATESTvarPubDate)</f>
        <v>433</v>
      </c>
      <c r="N228" s="109">
        <f t="array" aca="1" ref="N228" ca="1">_xll.GetPrice("FP-LBR-0441","Actual","Low",_LATESTvarPubDate)</f>
        <v>463</v>
      </c>
      <c r="O228" s="109">
        <f t="array" aca="1" ref="O228" ca="1">_xll.GetPrice("FP-LBR-0442","Actual","Low",_LATESTvarPubDate)</f>
        <v>585</v>
      </c>
      <c r="P228" s="109">
        <f t="array" aca="1" ref="P228" ca="1">_xll.GetPrice("FP-LBR-0443","Actual","Low",_LATESTvarPubDate)</f>
        <v>515</v>
      </c>
      <c r="Q228" s="109">
        <f t="array" aca="1" ref="Q228" ca="1">_xll.GetPrice("FP-LBR-0444","Actual","Low",_LATESTvarPubDate)</f>
        <v>540</v>
      </c>
      <c r="R228" s="106"/>
      <c r="S228" s="106"/>
      <c r="T228" s="73"/>
      <c r="U228" s="73"/>
      <c r="V228" s="73"/>
      <c r="W228" s="73"/>
      <c r="X228" s="73"/>
      <c r="Y228" s="73"/>
      <c r="Z228" s="73"/>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Q228" s="93"/>
    </row>
    <row r="229" spans="1:69" s="71" customFormat="1" x14ac:dyDescent="0.2">
      <c r="A229" s="105" t="s">
        <v>41</v>
      </c>
      <c r="B229" s="107">
        <f t="array" aca="1" ref="B229" ca="1">_xll.GetPrice("FP-LBR-2037","Actual","Low",_LATESTvarPubDate)</f>
        <v>275</v>
      </c>
      <c r="C229" s="107">
        <f t="array" aca="1" ref="C229" ca="1">_xll.GetPrice("FP-LBR-2038","Actual","Low",_LATESTvarPubDate)</f>
        <v>325</v>
      </c>
      <c r="D229" s="107">
        <f t="array" aca="1" ref="D229" ca="1">_xll.GetPrice("FP-LBR-2039","Actual","Low",_LATESTvarPubDate)</f>
        <v>340</v>
      </c>
      <c r="E229" s="107">
        <f t="array" aca="1" ref="E229" ca="1">_xll.GetPrice("FP-LBR-2040","Actual","Low",_LATESTvarPubDate)</f>
        <v>360</v>
      </c>
      <c r="F229" s="107">
        <f t="array" aca="1" ref="F229" ca="1">_xll.GetPrice("FP-LBR-2041","Actual","Low",_LATESTvarPubDate)</f>
        <v>365</v>
      </c>
      <c r="G229" s="107">
        <f t="array" aca="1" ref="G229" ca="1">_xll.GetPrice("FP-LBR-2042","Actual","Low",_LATESTvarPubDate)</f>
        <v>290</v>
      </c>
      <c r="H229" s="107">
        <f t="array" aca="1" ref="H229" ca="1">_xll.GetPrice("FP-LBR-2043","Actual","Low",_LATESTvarPubDate)</f>
        <v>350</v>
      </c>
      <c r="I229" s="73"/>
      <c r="J229" s="105" t="s">
        <v>39</v>
      </c>
      <c r="K229" s="109">
        <f t="array" aca="1" ref="K229" ca="1">_xll.GetPrice("FP-LBR-0445","Actual","Low",_LATESTvarPubDate)</f>
        <v>370</v>
      </c>
      <c r="L229" s="109">
        <f t="array" aca="1" ref="L229" ca="1">_xll.GetPrice("FP-LBR-0446","Actual","Low",_LATESTvarPubDate)</f>
        <v>393</v>
      </c>
      <c r="M229" s="109">
        <f t="array" aca="1" ref="M229" ca="1">_xll.GetPrice("FP-LBR-0447","Actual","Low",_LATESTvarPubDate)</f>
        <v>393</v>
      </c>
      <c r="N229" s="109">
        <f t="array" aca="1" ref="N229" ca="1">_xll.GetPrice("FP-LBR-0448","Actual","Low",_LATESTvarPubDate)</f>
        <v>355</v>
      </c>
      <c r="O229" s="109">
        <f t="array" aca="1" ref="O229" ca="1">_xll.GetPrice("FP-LBR-0449","Actual","Low",_LATESTvarPubDate)</f>
        <v>443</v>
      </c>
      <c r="P229" s="109">
        <f t="array" aca="1" ref="P229" ca="1">_xll.GetPrice("FP-LBR-0450","Actual","Low",_LATESTvarPubDate)</f>
        <v>442</v>
      </c>
      <c r="Q229" s="109">
        <f t="array" aca="1" ref="Q229" ca="1">_xll.GetPrice("FP-LBR-0451","Actual","Low",_LATESTvarPubDate)</f>
        <v>450</v>
      </c>
      <c r="R229" s="106"/>
      <c r="S229" s="106"/>
      <c r="T229" s="73"/>
      <c r="U229" s="73"/>
      <c r="V229" s="73"/>
      <c r="W229" s="73"/>
      <c r="X229" s="73"/>
      <c r="Y229" s="73"/>
      <c r="Z229" s="73"/>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Q229" s="93"/>
    </row>
    <row r="230" spans="1:69" s="71" customFormat="1" x14ac:dyDescent="0.2">
      <c r="A230" s="105" t="s">
        <v>42</v>
      </c>
      <c r="B230" s="107">
        <f t="array" aca="1" ref="B230" ca="1">_xll.GetPrice("FP-LBR-2044","Actual","Low",_LATESTvarPubDate)</f>
        <v>310</v>
      </c>
      <c r="C230" s="107">
        <f t="array" aca="1" ref="C230" ca="1">_xll.GetPrice("FP-LBR-2045","Actual","Low",_LATESTvarPubDate)</f>
        <v>310</v>
      </c>
      <c r="D230" s="107">
        <f t="array" aca="1" ref="D230" ca="1">_xll.GetPrice("FP-LBR-2046","Actual","Low",_LATESTvarPubDate)</f>
        <v>355</v>
      </c>
      <c r="E230" s="107">
        <f t="array" aca="1" ref="E230" ca="1">_xll.GetPrice("FP-LBR-2047","Actual","Low",_LATESTvarPubDate)</f>
        <v>305</v>
      </c>
      <c r="F230" s="107">
        <f t="array" aca="1" ref="F230" ca="1">_xll.GetPrice("FP-LBR-2048","Actual","Low",_LATESTvarPubDate)</f>
        <v>360</v>
      </c>
      <c r="G230" s="107">
        <f t="array" aca="1" ref="G230" ca="1">_xll.GetPrice("FP-LBR-2049","Actual","Low",_LATESTvarPubDate)</f>
        <v>370</v>
      </c>
      <c r="H230" s="107">
        <f t="array" aca="1" ref="H230" ca="1">_xll.GetPrice("FP-LBR-2050","Actual","Low",_LATESTvarPubDate)</f>
        <v>480</v>
      </c>
      <c r="I230" s="73"/>
      <c r="J230" s="105" t="s">
        <v>40</v>
      </c>
      <c r="K230" s="109">
        <f t="array" aca="1" ref="K230" ca="1">_xll.GetPrice("FP-LBR-0452","Actual","Low",_LATESTvarPubDate)</f>
        <v>315</v>
      </c>
      <c r="L230" s="109">
        <f t="array" aca="1" ref="L230" ca="1">_xll.GetPrice("FP-LBR-0453","Actual","Low",_LATESTvarPubDate)</f>
        <v>410</v>
      </c>
      <c r="M230" s="109">
        <f t="array" aca="1" ref="M230" ca="1">_xll.GetPrice("FP-LBR-0454","Actual","Low",_LATESTvarPubDate)</f>
        <v>430</v>
      </c>
      <c r="N230" s="109">
        <f t="array" aca="1" ref="N230" ca="1">_xll.GetPrice("FP-LBR-0455","Actual","Low",_LATESTvarPubDate)</f>
        <v>315</v>
      </c>
      <c r="O230" s="109">
        <f t="array" aca="1" ref="O230" ca="1">_xll.GetPrice("FP-LBR-0456","Actual","Low",_LATESTvarPubDate)</f>
        <v>408</v>
      </c>
      <c r="P230" s="109">
        <f t="array" aca="1" ref="P230" ca="1">_xll.GetPrice("FP-LBR-0457","Actual","Low",_LATESTvarPubDate)</f>
        <v>415</v>
      </c>
      <c r="Q230" s="109">
        <f t="array" aca="1" ref="Q230" ca="1">_xll.GetPrice("FP-LBR-0458","Actual","Low",_LATESTvarPubDate)</f>
        <v>450</v>
      </c>
      <c r="T230" s="73"/>
      <c r="U230" s="73"/>
      <c r="V230" s="73"/>
      <c r="W230" s="73"/>
      <c r="X230" s="73"/>
      <c r="Y230" s="73"/>
      <c r="Z230" s="73"/>
      <c r="AA230" s="74"/>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Q230" s="93"/>
    </row>
    <row r="231" spans="1:69" s="71" customFormat="1" x14ac:dyDescent="0.2">
      <c r="G231" s="73"/>
      <c r="H231" s="73"/>
      <c r="I231" s="73"/>
      <c r="J231" s="105" t="s">
        <v>41</v>
      </c>
      <c r="K231" s="109">
        <f t="array" aca="1" ref="K231" ca="1">_xll.GetPrice("FP-LBR-0459","Actual","Low",_LATESTvarPubDate)</f>
        <v>338</v>
      </c>
      <c r="L231" s="109">
        <f t="array" aca="1" ref="L231" ca="1">_xll.GetPrice("FP-LBR-0460","Actual","Low",_LATESTvarPubDate)</f>
        <v>495</v>
      </c>
      <c r="M231" s="109">
        <f t="array" aca="1" ref="M231" ca="1">_xll.GetPrice("FP-LBR-0461","Actual","Low",_LATESTvarPubDate)</f>
        <v>535</v>
      </c>
      <c r="N231" s="109">
        <f t="array" aca="1" ref="N231" ca="1">_xll.GetPrice("FP-LBR-0462","Actual","Low",_LATESTvarPubDate)</f>
        <v>455</v>
      </c>
      <c r="O231" s="109">
        <f t="array" aca="1" ref="O231" ca="1">_xll.GetPrice("FP-LBR-0463","Actual","Low",_LATESTvarPubDate)</f>
        <v>388</v>
      </c>
      <c r="P231" s="109">
        <f t="array" aca="1" ref="P231" ca="1">_xll.GetPrice("FP-LBR-0464","Actual","Low",_LATESTvarPubDate)</f>
        <v>410</v>
      </c>
      <c r="Q231" s="109">
        <f t="array" aca="1" ref="Q231" ca="1">_xll.GetPrice("FP-LBR-0465","Actual","Low",_LATESTvarPubDate)</f>
        <v>430</v>
      </c>
      <c r="T231" s="73"/>
      <c r="U231" s="73"/>
      <c r="V231" s="73"/>
      <c r="W231" s="73"/>
      <c r="X231" s="73"/>
      <c r="Y231" s="73"/>
      <c r="Z231" s="73"/>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Q231" s="93"/>
    </row>
    <row r="232" spans="1:69" s="71" customFormat="1" x14ac:dyDescent="0.2">
      <c r="A232" s="74"/>
      <c r="B232" s="74"/>
      <c r="C232" s="74"/>
      <c r="D232" s="74"/>
      <c r="E232" s="74"/>
      <c r="F232" s="74"/>
      <c r="G232" s="73"/>
      <c r="J232" s="105" t="s">
        <v>42</v>
      </c>
      <c r="K232" s="109">
        <f t="array" aca="1" ref="K232" ca="1">_xll.GetPrice("FP-LBR-0466","Actual","Low",_LATESTvarPubDate)</f>
        <v>375</v>
      </c>
      <c r="L232" s="109">
        <f t="array" aca="1" ref="L232" ca="1">_xll.GetPrice("FP-LBR-0467","Actual","Low",_LATESTvarPubDate)</f>
        <v>465</v>
      </c>
      <c r="M232" s="109">
        <f t="array" aca="1" ref="M232" ca="1">_xll.GetPrice("FP-LBR-0468","Actual","Low",_LATESTvarPubDate)</f>
        <v>560</v>
      </c>
      <c r="N232" s="109">
        <f t="array" aca="1" ref="N232" ca="1">_xll.GetPrice("FP-LBR-0469","Actual","Low",_LATESTvarPubDate)</f>
        <v>460</v>
      </c>
      <c r="O232" s="109">
        <f t="array" aca="1" ref="O232" ca="1">_xll.GetPrice("FP-LBR-0470","Actual","Low",_LATESTvarPubDate)</f>
        <v>720</v>
      </c>
      <c r="P232" s="109">
        <f t="array" aca="1" ref="P232" ca="1">_xll.GetPrice("FP-LBR-0471","Actual","Low",_LATESTvarPubDate)</f>
        <v>560</v>
      </c>
      <c r="Q232" s="109">
        <f t="array" aca="1" ref="Q232" ca="1">_xll.GetPrice("FP-LBR-0472","Actual","Low",_LATESTvarPubDate)</f>
        <v>655</v>
      </c>
      <c r="T232" s="74"/>
      <c r="U232" s="74"/>
      <c r="V232" s="73"/>
      <c r="W232" s="73"/>
      <c r="X232" s="73"/>
      <c r="Y232" s="73"/>
      <c r="Z232" s="73"/>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Q232" s="93"/>
    </row>
    <row r="233" spans="1:69" s="71" customFormat="1" x14ac:dyDescent="0.2">
      <c r="A233" s="115" t="s">
        <v>143</v>
      </c>
      <c r="B233" s="73"/>
      <c r="C233" s="73"/>
      <c r="D233" s="73"/>
      <c r="E233" s="73"/>
      <c r="F233" s="73"/>
      <c r="G233" s="73"/>
      <c r="J233" s="74"/>
      <c r="K233" s="116" t="s">
        <v>144</v>
      </c>
      <c r="L233" s="116" t="s">
        <v>145</v>
      </c>
      <c r="M233" s="107">
        <f t="array" aca="1" ref="M233" ca="1">_xll.GetPrice("FP-LBR-0510","Actual","Low",_LATESTvarPubDate)</f>
        <v>112</v>
      </c>
      <c r="N233" s="116" t="s">
        <v>39</v>
      </c>
      <c r="O233" s="107">
        <f t="array" aca="1" ref="O233" ca="1">_xll.GetPrice("FP-LBR-0511","Actual","Low",_LATESTvarPubDate)</f>
        <v>116</v>
      </c>
      <c r="P233" s="116" t="s">
        <v>40</v>
      </c>
      <c r="Q233" s="107">
        <f t="array" aca="1" ref="Q233" ca="1">_xll.GetPrice("FP-LBR-0512","Actual","Low",_LATESTvarPubDate)</f>
        <v>112</v>
      </c>
      <c r="R233" s="116" t="s">
        <v>41</v>
      </c>
      <c r="S233" s="107">
        <f t="array" aca="1" ref="S233" ca="1">_xll.GetPrice("FP-LBR-0513","Actual","Low",_LATESTvarPubDate)</f>
        <v>126</v>
      </c>
      <c r="T233" s="116" t="s">
        <v>42</v>
      </c>
      <c r="U233" s="107">
        <f t="array" aca="1" ref="U233" ca="1">_xll.GetPrice("FP-LBR-0514","Actual","Low",_LATESTvarPubDate)</f>
        <v>132</v>
      </c>
      <c r="V233" s="73"/>
      <c r="W233" s="73"/>
      <c r="X233" s="73"/>
      <c r="Y233" s="73"/>
      <c r="Z233" s="73"/>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Q233" s="93"/>
    </row>
    <row r="234" spans="1:69" s="71" customFormat="1" x14ac:dyDescent="0.2">
      <c r="A234" s="105" t="s">
        <v>146</v>
      </c>
      <c r="B234" s="98" t="s">
        <v>127</v>
      </c>
      <c r="C234" s="98" t="s">
        <v>128</v>
      </c>
      <c r="D234" s="98" t="s">
        <v>129</v>
      </c>
      <c r="E234" s="98" t="s">
        <v>130</v>
      </c>
      <c r="F234" s="98" t="s">
        <v>131</v>
      </c>
      <c r="G234" s="73"/>
      <c r="V234" s="73"/>
      <c r="W234" s="73"/>
      <c r="X234" s="73"/>
      <c r="Y234" s="73"/>
      <c r="Z234" s="73"/>
      <c r="AA234" s="74"/>
      <c r="AB234" s="7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Q234" s="93"/>
    </row>
    <row r="235" spans="1:69" s="71" customFormat="1" x14ac:dyDescent="0.2">
      <c r="A235" s="105" t="s">
        <v>38</v>
      </c>
      <c r="B235" s="107">
        <f t="array" aca="1" ref="B235" ca="1">_xll.GetPrice("FP-LBR-1274","Actual","Low",_LATESTvarPubDate)</f>
        <v>520</v>
      </c>
      <c r="C235" s="107">
        <f t="array" aca="1" ref="C235" ca="1">_xll.GetPrice("FP-LBR-1275","Actual","Low",_LATESTvarPubDate)</f>
        <v>495</v>
      </c>
      <c r="D235" s="107">
        <f t="array" aca="1" ref="D235" ca="1">_xll.GetPrice("FP-LBR-1276","Actual","Low",_LATESTvarPubDate)</f>
        <v>520</v>
      </c>
      <c r="E235" s="107">
        <f t="array" aca="1" ref="E235" ca="1">_xll.GetPrice("FP-LBR-1277","Actual","Low",_LATESTvarPubDate)</f>
        <v>555</v>
      </c>
      <c r="F235" s="107">
        <f t="array" aca="1" ref="F235" ca="1">_xll.GetPrice("FP-LBR-1278","Actual","Low",_LATESTvarPubDate)</f>
        <v>660</v>
      </c>
      <c r="G235" s="73"/>
      <c r="J235" s="74"/>
      <c r="K235" s="74"/>
      <c r="L235" s="74"/>
      <c r="M235" s="74"/>
      <c r="N235" s="74"/>
      <c r="O235" s="74"/>
      <c r="P235" s="74"/>
      <c r="Q235" s="74"/>
      <c r="R235" s="74"/>
      <c r="S235" s="74"/>
      <c r="T235" s="74"/>
      <c r="U235" s="74"/>
      <c r="V235" s="73"/>
      <c r="W235" s="73"/>
      <c r="X235" s="73"/>
      <c r="Y235" s="73"/>
      <c r="Z235" s="73"/>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Q235" s="93"/>
    </row>
    <row r="236" spans="1:69" s="71" customFormat="1" x14ac:dyDescent="0.2">
      <c r="A236" s="105" t="s">
        <v>39</v>
      </c>
      <c r="B236" s="107">
        <f t="array" aca="1" ref="B236" ca="1">_xll.GetPrice("FP-LBR-1279","Actual","Low",_LATESTvarPubDate)</f>
        <v>530</v>
      </c>
      <c r="C236" s="107">
        <f t="array" aca="1" ref="C236" ca="1">_xll.GetPrice("FP-LBR-1280","Actual","Low",_LATESTvarPubDate)</f>
        <v>530</v>
      </c>
      <c r="D236" s="107">
        <f t="array" aca="1" ref="D236" ca="1">_xll.GetPrice("FP-LBR-1281","Actual","Low",_LATESTvarPubDate)</f>
        <v>510</v>
      </c>
      <c r="E236" s="107">
        <f t="array" aca="1" ref="E236" ca="1">_xll.GetPrice("FP-LBR-1282","Actual","Low",_LATESTvarPubDate)</f>
        <v>460</v>
      </c>
      <c r="F236" s="107">
        <f t="array" aca="1" ref="F236" ca="1">_xll.GetPrice("FP-LBR-1283","Actual","Low",_LATESTvarPubDate)</f>
        <v>530</v>
      </c>
      <c r="G236" s="73"/>
      <c r="J236" s="74"/>
      <c r="K236" s="74"/>
      <c r="L236" s="74"/>
      <c r="M236" s="74"/>
      <c r="N236" s="74"/>
      <c r="O236" s="74"/>
      <c r="P236" s="74"/>
      <c r="Q236" s="74"/>
      <c r="R236" s="74"/>
      <c r="S236" s="74"/>
      <c r="T236" s="74"/>
      <c r="U236" s="74"/>
      <c r="V236" s="73"/>
      <c r="W236" s="73"/>
      <c r="X236" s="73"/>
      <c r="Y236" s="73"/>
      <c r="Z236" s="73"/>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Q236" s="93"/>
    </row>
    <row r="237" spans="1:69" s="71" customFormat="1" x14ac:dyDescent="0.2">
      <c r="A237" s="105" t="s">
        <v>147</v>
      </c>
      <c r="B237" s="73"/>
      <c r="C237" s="73"/>
      <c r="D237" s="73"/>
      <c r="E237" s="73"/>
      <c r="F237" s="73"/>
      <c r="J237" s="96" t="s">
        <v>148</v>
      </c>
      <c r="K237" s="73"/>
      <c r="L237" s="73"/>
      <c r="M237" s="73"/>
      <c r="N237" s="73"/>
      <c r="O237" s="73"/>
      <c r="P237" s="73"/>
      <c r="Q237" s="73"/>
      <c r="R237" s="73"/>
      <c r="S237" s="73"/>
      <c r="T237" s="73"/>
      <c r="U237" s="73"/>
      <c r="V237" s="73"/>
      <c r="W237" s="73"/>
      <c r="X237" s="73"/>
      <c r="Y237" s="73"/>
      <c r="Z237" s="73"/>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Q237" s="93"/>
    </row>
    <row r="238" spans="1:69" s="71" customFormat="1" x14ac:dyDescent="0.2">
      <c r="A238" s="105" t="s">
        <v>38</v>
      </c>
      <c r="B238" s="107">
        <f t="array" aca="1" ref="B238" ca="1">_xll.GetPrice("FP-LBR-1284","Actual","Low",_LATESTvarPubDate)</f>
        <v>535</v>
      </c>
      <c r="C238" s="107">
        <f t="array" aca="1" ref="C238" ca="1">_xll.GetPrice("FP-LBR-1285","Actual","Low",_LATESTvarPubDate)</f>
        <v>520</v>
      </c>
      <c r="D238" s="107">
        <f t="array" aca="1" ref="D238" ca="1">_xll.GetPrice("FP-LBR-1286","Actual","Low",_LATESTvarPubDate)</f>
        <v>550</v>
      </c>
      <c r="E238" s="107">
        <f t="array" aca="1" ref="E238" ca="1">_xll.GetPrice("FP-LBR-1287","Actual","Low",_LATESTvarPubDate)</f>
        <v>575</v>
      </c>
      <c r="F238" s="107">
        <f t="array" aca="1" ref="F238" ca="1">_xll.GetPrice("FP-LBR-1288","Actual","Low",_LATESTvarPubDate)</f>
        <v>665</v>
      </c>
      <c r="J238" s="73"/>
      <c r="K238" s="98" t="s">
        <v>127</v>
      </c>
      <c r="L238" s="98" t="s">
        <v>128</v>
      </c>
      <c r="M238" s="98" t="s">
        <v>129</v>
      </c>
      <c r="N238" s="98" t="s">
        <v>130</v>
      </c>
      <c r="O238" s="98" t="s">
        <v>131</v>
      </c>
      <c r="P238" s="98" t="s">
        <v>132</v>
      </c>
      <c r="Q238" s="98" t="s">
        <v>133</v>
      </c>
      <c r="R238" s="98" t="s">
        <v>134</v>
      </c>
      <c r="S238" s="98" t="s">
        <v>135</v>
      </c>
      <c r="T238" s="98" t="s">
        <v>149</v>
      </c>
      <c r="U238" s="98" t="s">
        <v>150</v>
      </c>
      <c r="V238" s="73"/>
      <c r="W238" s="73"/>
      <c r="X238" s="73"/>
      <c r="Y238" s="73"/>
      <c r="Z238" s="73"/>
      <c r="AA238" s="74"/>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Q238" s="93"/>
    </row>
    <row r="239" spans="1:69" s="71" customFormat="1" x14ac:dyDescent="0.2">
      <c r="A239" s="105" t="s">
        <v>39</v>
      </c>
      <c r="B239" s="107">
        <f t="array" aca="1" ref="B239" ca="1">_xll.GetPrice("FP-LBR-1289","Actual","Low",_LATESTvarPubDate)</f>
        <v>535</v>
      </c>
      <c r="C239" s="107">
        <f t="array" aca="1" ref="C239" ca="1">_xll.GetPrice("FP-LBR-1290","Actual","Low",_LATESTvarPubDate)</f>
        <v>535</v>
      </c>
      <c r="D239" s="107">
        <f t="array" aca="1" ref="D239" ca="1">_xll.GetPrice("FP-LBR-1291","Actual","Low",_LATESTvarPubDate)</f>
        <v>520</v>
      </c>
      <c r="E239" s="107">
        <f t="array" aca="1" ref="E239" ca="1">_xll.GetPrice("FP-LBR-1292","Actual","Low",_LATESTvarPubDate)</f>
        <v>475</v>
      </c>
      <c r="F239" s="107">
        <f t="array" aca="1" ref="F239" ca="1">_xll.GetPrice("FP-LBR-1293","Actual","Low",_LATESTvarPubDate)</f>
        <v>510</v>
      </c>
      <c r="H239" s="98"/>
      <c r="J239" s="105" t="s">
        <v>36</v>
      </c>
      <c r="K239" s="107">
        <f t="array" aca="1" ref="K239" ca="1">_xll.GetPrice("FP-LBR-1338","Actual","Low",_LATESTvarPubDate)</f>
        <v>335</v>
      </c>
      <c r="L239" s="107">
        <f t="array" aca="1" ref="L239" ca="1">_xll.GetPrice("FP-LBR-1339","Actual","Low",_LATESTvarPubDate)</f>
        <v>405</v>
      </c>
      <c r="M239" s="107">
        <f t="array" aca="1" ref="M239" ca="1">_xll.GetPrice("FP-LBR-1340","Actual","Low",_LATESTvarPubDate)</f>
        <v>435</v>
      </c>
      <c r="N239" s="107">
        <f t="array" aca="1" ref="N239" ca="1">_xll.GetPrice("FP-LBR-1341","Actual","Low",_LATESTvarPubDate)</f>
        <v>450</v>
      </c>
      <c r="O239" s="107">
        <f t="array" aca="1" ref="O239" ca="1">_xll.GetPrice("FP-LBR-1342","Actual","Low",_LATESTvarPubDate)</f>
        <v>530</v>
      </c>
      <c r="P239" s="107">
        <f t="array" aca="1" ref="P239" ca="1">_xll.GetPrice("FP-LBR-1343","Actual","Low",_LATESTvarPubDate)</f>
        <v>485</v>
      </c>
      <c r="Q239" s="107">
        <f t="array" aca="1" ref="Q239" ca="1">_xll.GetPrice("FP-LBR-1344","Actual","Low",_LATESTvarPubDate)</f>
        <v>520</v>
      </c>
      <c r="R239" s="106" t="s">
        <v>37</v>
      </c>
      <c r="S239" s="106" t="s">
        <v>37</v>
      </c>
      <c r="T239" s="106" t="s">
        <v>37</v>
      </c>
      <c r="U239" s="106" t="s">
        <v>37</v>
      </c>
      <c r="V239" s="73"/>
      <c r="W239" s="73"/>
      <c r="X239" s="73"/>
      <c r="Y239" s="73"/>
      <c r="Z239" s="73"/>
      <c r="AA239" s="74"/>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Q239" s="93"/>
    </row>
    <row r="240" spans="1:69" s="71" customFormat="1" x14ac:dyDescent="0.2">
      <c r="A240" s="105" t="s">
        <v>151</v>
      </c>
      <c r="J240" s="105" t="s">
        <v>65</v>
      </c>
      <c r="K240" s="107">
        <f t="array" aca="1" ref="K240" ca="1">_xll.GetPrice("FP-LBR-1345","Actual","Low",_LATESTvarPubDate)</f>
        <v>280</v>
      </c>
      <c r="L240" s="107">
        <f t="array" aca="1" ref="L240" ca="1">_xll.GetPrice("FP-LBR-1346","Actual","Low",_LATESTvarPubDate)</f>
        <v>370</v>
      </c>
      <c r="M240" s="107">
        <f t="array" aca="1" ref="M240" ca="1">_xll.GetPrice("FP-LBR-1347","Actual","Low",_LATESTvarPubDate)</f>
        <v>360</v>
      </c>
      <c r="N240" s="107">
        <f t="array" aca="1" ref="N240" ca="1">_xll.GetPrice("FP-LBR-1348","Actual","Low",_LATESTvarPubDate)</f>
        <v>375</v>
      </c>
      <c r="O240" s="107">
        <f t="array" aca="1" ref="O240" ca="1">_xll.GetPrice("FP-LBR-1349","Actual","Low",_LATESTvarPubDate)</f>
        <v>500</v>
      </c>
      <c r="P240" s="107">
        <f t="array" aca="1" ref="P240" ca="1">_xll.GetPrice("FP-LBR-1350","Actual","Low",_LATESTvarPubDate)</f>
        <v>425</v>
      </c>
      <c r="Q240" s="107">
        <f t="array" aca="1" ref="Q240" ca="1">_xll.GetPrice("FP-LBR-1351","Actual","Low",_LATESTvarPubDate)</f>
        <v>495</v>
      </c>
      <c r="R240" s="107">
        <f t="array" aca="1" ref="R240" ca="1">_xll.GetPrice("FP-LBR-1352","Actual","Low",_LATESTvarPubDate)</f>
        <v>635</v>
      </c>
      <c r="S240" s="107">
        <f t="array" aca="1" ref="S240" ca="1">_xll.GetPrice("FP-LBR-1353","Actual","Low",_LATESTvarPubDate)</f>
        <v>630</v>
      </c>
      <c r="T240" s="107">
        <f t="array" aca="1" ref="T240" ca="1">_xll.GetPrice("FP-LBR-1354","Actual","Low",_LATESTvarPubDate)</f>
        <v>1485</v>
      </c>
      <c r="U240" s="107">
        <f t="array" aca="1" ref="U240" ca="1">_xll.GetPrice("FP-LBR-1355","Actual","Low",_LATESTvarPubDate)</f>
        <v>1525</v>
      </c>
      <c r="AA240" s="74"/>
      <c r="AB240" s="7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Q240" s="93"/>
    </row>
    <row r="241" spans="1:69" s="71" customFormat="1" x14ac:dyDescent="0.2">
      <c r="A241" s="105" t="s">
        <v>152</v>
      </c>
      <c r="B241" s="107">
        <f t="array" aca="1" ref="B241" ca="1">_xll.GetPrice("FP-LBR-1294","Actual","Low",_LATESTvarPubDate)</f>
        <v>595</v>
      </c>
      <c r="C241" s="107">
        <f t="array" aca="1" ref="C241" ca="1">_xll.GetPrice("FP-LBR-1295","Actual","Low",_LATESTvarPubDate)</f>
        <v>585</v>
      </c>
      <c r="D241" s="107">
        <f t="array" aca="1" ref="D241" ca="1">_xll.GetPrice("FP-LBR-1296","Actual","Low",_LATESTvarPubDate)</f>
        <v>575</v>
      </c>
      <c r="E241" s="107">
        <f t="array" aca="1" ref="E241" ca="1">_xll.GetPrice("FP-LBR-1297","Actual","Low",_LATESTvarPubDate)</f>
        <v>640</v>
      </c>
      <c r="F241" s="107">
        <f t="array" aca="1" ref="F241" ca="1">_xll.GetPrice("FP-LBR-1298","Actual","Low",_LATESTvarPubDate)</f>
        <v>650</v>
      </c>
      <c r="G241" s="74"/>
      <c r="H241" s="74"/>
      <c r="I241" s="74"/>
      <c r="J241" s="105" t="s">
        <v>40</v>
      </c>
      <c r="K241" s="107">
        <f t="array" aca="1" ref="K241" ca="1">_xll.GetPrice("FP-LBR-1358","Actual","Low",_LATESTvarPubDate)</f>
        <v>335</v>
      </c>
      <c r="L241" s="107">
        <f t="array" aca="1" ref="L241" ca="1">_xll.GetPrice("FP-LBR-1359","Actual","Low",_LATESTvarPubDate)</f>
        <v>330</v>
      </c>
      <c r="M241" s="107">
        <f t="array" aca="1" ref="M241" ca="1">_xll.GetPrice("FP-LBR-1360","Actual","Low",_LATESTvarPubDate)</f>
        <v>395</v>
      </c>
      <c r="N241" s="107">
        <f t="array" aca="1" ref="N241" ca="1">_xll.GetPrice("FP-LBR-1361","Actual","Low",_LATESTvarPubDate)</f>
        <v>395</v>
      </c>
      <c r="O241" s="107">
        <f t="array" aca="1" ref="O241" ca="1">_xll.GetPrice("FP-LBR-1362","Actual","Low",_LATESTvarPubDate)</f>
        <v>500</v>
      </c>
      <c r="P241" s="107">
        <f t="array" aca="1" ref="P241" ca="1">_xll.GetPrice("FP-LBR-1363","Actual","Low",_LATESTvarPubDate)</f>
        <v>420</v>
      </c>
      <c r="Q241" s="107">
        <f t="array" aca="1" ref="Q241" ca="1">_xll.GetPrice("FP-LBR-1364","Actual","Low",_LATESTvarPubDate)</f>
        <v>490</v>
      </c>
      <c r="R241" s="107">
        <f t="array" aca="1" ref="R241" ca="1">_xll.GetPrice("FP-LBR-1365","Actual","Low",_LATESTvarPubDate)</f>
        <v>690</v>
      </c>
      <c r="S241" s="107">
        <f t="array" aca="1" ref="S241" ca="1">_xll.GetPrice("FP-LBR-1366","Actual","Low",_LATESTvarPubDate)</f>
        <v>700</v>
      </c>
      <c r="T241" s="107">
        <f t="array" aca="1" ref="T241" ca="1">_xll.GetPrice("FP-LBR-1367","Actual","Low",_LATESTvarPubDate)</f>
        <v>1025</v>
      </c>
      <c r="U241" s="107">
        <f t="array" aca="1" ref="U241" ca="1">_xll.GetPrice("FP-LBR-1369","Actual","Low",_LATESTvarPubDate)</f>
        <v>1555</v>
      </c>
      <c r="AA241" s="74"/>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Q241" s="93"/>
    </row>
    <row r="242" spans="1:69" s="71" customFormat="1" x14ac:dyDescent="0.2">
      <c r="A242" s="139" t="s">
        <v>38</v>
      </c>
      <c r="B242" s="140" t="str" cm="1">
        <f t="array" aca="1" ref="B242" ca="1">_xll.GetPrice("FP-LBR-2251","Actual","Low",_LATESTvarPubDate)</f>
        <v>#N/A No price available for Actual</v>
      </c>
      <c r="C242" s="140" t="str" cm="1">
        <f t="array" aca="1" ref="C242" ca="1">_xll.GetPrice("FP-LBR-2252","Actual","Low",_LATESTvarPubDate)</f>
        <v>#N/A No price available for Actual</v>
      </c>
      <c r="D242" s="140" t="str" cm="1">
        <f t="array" aca="1" ref="D242" ca="1">_xll.GetPrice("FP-LBR-2253","Actual","Low",_LATESTvarPubDate)</f>
        <v>#N/A No price available for Actual</v>
      </c>
      <c r="E242" s="140" t="str" cm="1">
        <f t="array" aca="1" ref="E242" ca="1">_xll.GetPrice("FP-LBR-2254","Actual","Low",_LATESTvarPubDate)</f>
        <v>#N/A No price available for Actual</v>
      </c>
      <c r="F242" s="140" t="str" cm="1">
        <f t="array" aca="1" ref="F242" ca="1">_xll.GetPrice("FP-LBR-2255","Actual","Low",_LATESTvarPubDate)</f>
        <v>#N/A No price available for Actual</v>
      </c>
      <c r="G242" s="74"/>
      <c r="H242" s="74"/>
      <c r="I242" s="74"/>
      <c r="J242" s="105" t="s">
        <v>41</v>
      </c>
      <c r="K242" s="107">
        <f t="array" aca="1" ref="K242" ca="1">_xll.GetPrice("FP-LBR-1371","Actual","Low",_LATESTvarPubDate)</f>
        <v>310</v>
      </c>
      <c r="L242" s="107">
        <f t="array" aca="1" ref="L242" ca="1">_xll.GetPrice("FP-LBR-1372","Actual","Low",_LATESTvarPubDate)</f>
        <v>400</v>
      </c>
      <c r="M242" s="107">
        <f t="array" aca="1" ref="M242" ca="1">_xll.GetPrice("FP-LBR-1373","Actual","Low",_LATESTvarPubDate)</f>
        <v>525</v>
      </c>
      <c r="N242" s="107">
        <f t="array" aca="1" ref="N242" ca="1">_xll.GetPrice("FP-LBR-1374","Actual","Low",_LATESTvarPubDate)</f>
        <v>610</v>
      </c>
      <c r="O242" s="107">
        <f t="array" aca="1" ref="O242" ca="1">_xll.GetPrice("FP-LBR-1375","Actual","Low",_LATESTvarPubDate)</f>
        <v>625</v>
      </c>
      <c r="P242" s="107">
        <f t="array" aca="1" ref="P242" ca="1">_xll.GetPrice("FP-LBR-1376","Actual","Low",_LATESTvarPubDate)</f>
        <v>580</v>
      </c>
      <c r="Q242" s="107">
        <f t="array" aca="1" ref="Q242" ca="1">_xll.GetPrice("FP-LBR-1377","Actual","Low",_LATESTvarPubDate)</f>
        <v>580</v>
      </c>
      <c r="R242" s="107">
        <f t="array" aca="1" ref="R242" ca="1">_xll.GetPrice("FP-LBR-1378","Actual","Low",_LATESTvarPubDate)</f>
        <v>650</v>
      </c>
      <c r="S242" s="107">
        <f t="array" aca="1" ref="S242" ca="1">_xll.GetPrice("FP-LBR-1379","Actual","Low",_LATESTvarPubDate)</f>
        <v>640</v>
      </c>
      <c r="T242" s="107">
        <f t="array" aca="1" ref="T242" ca="1">_xll.GetPrice("FP-LBR-1381","Actual","Low",_LATESTvarPubDate)</f>
        <v>1090</v>
      </c>
      <c r="U242" s="107">
        <f t="array" aca="1" ref="U242" ca="1">_xll.GetPrice("FP-LBR-1382","Actual","Low",_LATESTvarPubDate)</f>
        <v>1525</v>
      </c>
      <c r="AA242" s="74"/>
      <c r="AB242" s="7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Q242" s="93"/>
    </row>
    <row r="243" spans="1:69" s="71" customFormat="1" x14ac:dyDescent="0.2">
      <c r="A243" s="139" t="s">
        <v>65</v>
      </c>
      <c r="B243" s="140" t="str" cm="1">
        <f t="array" aca="1" ref="B243" ca="1">_xll.GetPrice("FP-LBR-2256","Actual","Low",_LATESTvarPubDate)</f>
        <v>#N/A No price available for Actual</v>
      </c>
      <c r="C243" s="140" t="str" cm="1">
        <f t="array" aca="1" ref="C243" ca="1">_xll.GetPrice("FP-LBR-2257","Actual","Low",_LATESTvarPubDate)</f>
        <v>#N/A No price available for Actual</v>
      </c>
      <c r="D243" s="140" t="str" cm="1">
        <f t="array" aca="1" ref="D243" ca="1">_xll.GetPrice("FP-LBR-2258","Actual","Low",_LATESTvarPubDate)</f>
        <v>#N/A No price available for Actual</v>
      </c>
      <c r="E243" s="140" t="str" cm="1">
        <f t="array" aca="1" ref="E243" ca="1">_xll.GetPrice("FP-LBR-2259","Actual","Low",_LATESTvarPubDate)</f>
        <v>#N/A No price available for Actual</v>
      </c>
      <c r="F243" s="140" t="str" cm="1">
        <f t="array" aca="1" ref="F243" ca="1">_xll.GetPrice("FP-LBR-2260","Actual","Low",_LATESTvarPubDate)</f>
        <v>#N/A No price available for Actual</v>
      </c>
      <c r="G243" s="74"/>
      <c r="H243" s="74"/>
      <c r="I243" s="74"/>
      <c r="J243" s="105" t="s">
        <v>42</v>
      </c>
      <c r="K243" s="107">
        <f t="array" aca="1" ref="K243" ca="1">_xll.GetPrice("FP-LBR-1384","Actual","Low",_LATESTvarPubDate)</f>
        <v>280</v>
      </c>
      <c r="L243" s="107">
        <f t="array" aca="1" ref="L243" ca="1">_xll.GetPrice("FP-LBR-1385","Actual","Low",_LATESTvarPubDate)</f>
        <v>460</v>
      </c>
      <c r="M243" s="107">
        <f t="array" aca="1" ref="M243" ca="1">_xll.GetPrice("FP-LBR-1386","Actual","Low",_LATESTvarPubDate)</f>
        <v>500</v>
      </c>
      <c r="N243" s="107">
        <f t="array" aca="1" ref="N243" ca="1">_xll.GetPrice("FP-LBR-1387","Actual","Low",_LATESTvarPubDate)</f>
        <v>500</v>
      </c>
      <c r="O243" s="107">
        <f t="array" aca="1" ref="O243" ca="1">_xll.GetPrice("FP-LBR-1388","Actual","Low",_LATESTvarPubDate)</f>
        <v>610</v>
      </c>
      <c r="P243" s="107">
        <f t="array" aca="1" ref="P243" ca="1">_xll.GetPrice("FP-LBR-1389","Actual","Low",_LATESTvarPubDate)</f>
        <v>530</v>
      </c>
      <c r="Q243" s="107">
        <f t="array" aca="1" ref="Q243" ca="1">_xll.GetPrice("FP-LBR-1390","Actual","Low",_LATESTvarPubDate)</f>
        <v>710</v>
      </c>
      <c r="R243" s="107">
        <f t="array" aca="1" ref="R243" ca="1">_xll.GetPrice("FP-LBR-1391","Actual","Low",_LATESTvarPubDate)</f>
        <v>975</v>
      </c>
      <c r="S243" s="107">
        <f t="array" aca="1" ref="S243" ca="1">_xll.GetPrice("FP-LBR-1356","Actual","Low",_LATESTvarPubDate)</f>
        <v>965</v>
      </c>
      <c r="T243" s="107">
        <f t="array" aca="1" ref="T243" ca="1">_xll.GetPrice("FP-LBR-1368","Actual","Low",_LATESTvarPubDate)</f>
        <v>1865</v>
      </c>
      <c r="U243" s="107">
        <f t="array" aca="1" ref="U243" ca="1">_xll.GetPrice("FP-LBR-1380","Actual","Low",_LATESTvarPubDate)</f>
        <v>1890</v>
      </c>
      <c r="AA243" s="74"/>
      <c r="AB243" s="7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Q243" s="93"/>
    </row>
    <row r="244" spans="1:69" s="71" customFormat="1" x14ac:dyDescent="0.2">
      <c r="A244" s="74"/>
      <c r="B244" s="74"/>
      <c r="C244" s="74"/>
      <c r="D244" s="74"/>
      <c r="E244" s="74"/>
      <c r="F244" s="74"/>
      <c r="G244" s="74"/>
      <c r="H244" s="74"/>
      <c r="I244" s="74"/>
      <c r="J244" s="116" t="s">
        <v>153</v>
      </c>
      <c r="K244" s="116" t="s">
        <v>39</v>
      </c>
      <c r="L244" s="107">
        <f t="array" aca="1" ref="L244" ca="1">_xll.GetPrice("FP-LBR-1357","Actual","Low",_LATESTvarPubDate)</f>
        <v>635</v>
      </c>
      <c r="M244" s="116" t="s">
        <v>40</v>
      </c>
      <c r="N244" s="107">
        <f t="array" aca="1" ref="N244" ca="1">_xll.GetPrice("FP-LBR-1370","Actual","Low",_LATESTvarPubDate)</f>
        <v>695</v>
      </c>
      <c r="O244" s="116" t="s">
        <v>41</v>
      </c>
      <c r="P244" s="107">
        <f t="array" aca="1" ref="P244" ca="1">_xll.GetPrice("FP-LBR-1383","Actual","Low",_LATESTvarPubDate)</f>
        <v>645</v>
      </c>
      <c r="Q244" s="116" t="s">
        <v>42</v>
      </c>
      <c r="R244" s="107">
        <f t="array" aca="1" ref="R244" ca="1">_xll.GetPrice("FP-LBR-1392","Actual","Low",_LATESTvarPubDate)</f>
        <v>970</v>
      </c>
      <c r="S244" s="74"/>
      <c r="T244" s="74"/>
      <c r="U244" s="74"/>
      <c r="AA244" s="74"/>
      <c r="AB244" s="7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Q244" s="93"/>
    </row>
    <row r="245" spans="1:69" s="71" customFormat="1" x14ac:dyDescent="0.2">
      <c r="A245" s="96" t="s">
        <v>154</v>
      </c>
      <c r="B245" s="73"/>
      <c r="C245" s="73"/>
      <c r="D245" s="73"/>
      <c r="E245" s="73"/>
      <c r="F245" s="73"/>
      <c r="G245" s="73"/>
      <c r="H245" s="73"/>
      <c r="I245" s="73"/>
      <c r="J245" s="73"/>
      <c r="K245" s="73"/>
      <c r="L245" s="73"/>
      <c r="M245" s="73"/>
      <c r="N245" s="73"/>
      <c r="O245" s="73"/>
      <c r="P245" s="73"/>
      <c r="Q245" s="73"/>
      <c r="R245" s="73"/>
      <c r="S245" s="73"/>
      <c r="T245" s="73"/>
      <c r="U245" s="73"/>
      <c r="AA245" s="74"/>
      <c r="AB245" s="7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Q245" s="93"/>
    </row>
    <row r="246" spans="1:69" s="71" customFormat="1" x14ac:dyDescent="0.2">
      <c r="A246" s="73"/>
      <c r="B246" s="117" t="s">
        <v>155</v>
      </c>
      <c r="C246" s="73"/>
      <c r="D246" s="73"/>
      <c r="E246" s="73"/>
      <c r="F246" s="73"/>
      <c r="G246" s="117" t="s">
        <v>156</v>
      </c>
      <c r="H246" s="73"/>
      <c r="I246" s="73"/>
      <c r="J246" s="73"/>
      <c r="K246" s="117" t="s">
        <v>157</v>
      </c>
      <c r="L246" s="73"/>
      <c r="M246" s="73"/>
      <c r="N246" s="73"/>
      <c r="O246" s="73"/>
      <c r="P246" s="73"/>
      <c r="Q246" s="73"/>
      <c r="R246" s="73"/>
      <c r="S246" s="73"/>
      <c r="T246" s="73"/>
      <c r="U246" s="73"/>
      <c r="AA246" s="74"/>
      <c r="AB246" s="7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row>
    <row r="247" spans="1:69" s="71" customFormat="1" x14ac:dyDescent="0.2">
      <c r="A247" s="73"/>
      <c r="B247" s="101" t="s">
        <v>23</v>
      </c>
      <c r="C247" s="101" t="s">
        <v>89</v>
      </c>
      <c r="D247" s="101" t="s">
        <v>158</v>
      </c>
      <c r="E247" s="103"/>
      <c r="F247" s="101" t="s">
        <v>13</v>
      </c>
      <c r="G247" s="101" t="s">
        <v>159</v>
      </c>
      <c r="H247" s="101" t="s">
        <v>89</v>
      </c>
      <c r="I247" s="101" t="s">
        <v>158</v>
      </c>
      <c r="J247" s="101" t="s">
        <v>13</v>
      </c>
      <c r="K247" s="101" t="s">
        <v>23</v>
      </c>
      <c r="L247" s="101" t="s">
        <v>89</v>
      </c>
      <c r="M247" s="101" t="s">
        <v>160</v>
      </c>
      <c r="N247" s="118"/>
      <c r="O247" s="101" t="s">
        <v>13</v>
      </c>
      <c r="P247" s="73"/>
      <c r="Q247" s="73"/>
      <c r="R247" s="73"/>
      <c r="S247" s="73"/>
      <c r="T247" s="73"/>
      <c r="U247" s="73"/>
      <c r="AA247" s="74"/>
      <c r="AB247" s="7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row>
    <row r="248" spans="1:69" s="71" customFormat="1" x14ac:dyDescent="0.2">
      <c r="A248" s="73"/>
      <c r="B248" s="101" t="s">
        <v>73</v>
      </c>
      <c r="C248" s="101" t="s">
        <v>93</v>
      </c>
      <c r="D248" s="101" t="s">
        <v>26</v>
      </c>
      <c r="E248" s="101" t="s">
        <v>28</v>
      </c>
      <c r="F248" s="101" t="s">
        <v>161</v>
      </c>
      <c r="G248" s="101" t="s">
        <v>73</v>
      </c>
      <c r="H248" s="101" t="s">
        <v>93</v>
      </c>
      <c r="I248" s="101" t="s">
        <v>26</v>
      </c>
      <c r="J248" s="119" t="s">
        <v>161</v>
      </c>
      <c r="K248" s="101" t="s">
        <v>162</v>
      </c>
      <c r="L248" s="101" t="s">
        <v>93</v>
      </c>
      <c r="M248" s="101" t="s">
        <v>26</v>
      </c>
      <c r="N248" s="101" t="s">
        <v>28</v>
      </c>
      <c r="O248" s="101" t="s">
        <v>161</v>
      </c>
      <c r="T248" s="73"/>
      <c r="U248" s="73"/>
      <c r="AA248" s="74"/>
      <c r="AB248" s="7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O248" s="93"/>
      <c r="BP248" s="93"/>
      <c r="BQ248" s="93"/>
    </row>
    <row r="249" spans="1:69" s="71" customFormat="1" x14ac:dyDescent="0.2">
      <c r="A249" s="105" t="s">
        <v>163</v>
      </c>
      <c r="B249" s="106" t="s">
        <v>37</v>
      </c>
      <c r="C249" s="107">
        <f t="array" aca="1" ref="C249" ca="1">_xll.GetPrice("FP-LBR-1843","Actual","Low",_LATESTvarPubDate)</f>
        <v>415</v>
      </c>
      <c r="D249" s="109">
        <f t="array" aca="1" ref="D249" ca="1">_xll.GetPrice("FP-LBR-0525","Actual","Low",_LATESTvarPubDate)</f>
        <v>633</v>
      </c>
      <c r="E249" s="107">
        <f t="array" aca="1" ref="E249" ca="1">_xll.GetPrice("FP-LBR-1870","Actual","Low",_LATESTvarPubDate)</f>
        <v>624</v>
      </c>
      <c r="F249" s="106" t="s">
        <v>37</v>
      </c>
      <c r="G249" s="106" t="s">
        <v>37</v>
      </c>
      <c r="H249" s="107">
        <f t="array" aca="1" ref="H249" ca="1">_xll.GetPrice("FP-LBR-1898","Actual","Low",_LATESTvarPubDate)</f>
        <v>370</v>
      </c>
      <c r="I249" s="107">
        <f t="array" aca="1" ref="I249" ca="1">_xll.GetPrice("FP-LBR-0528","Actual","Low",_LATESTvarPubDate)</f>
        <v>593</v>
      </c>
      <c r="J249" s="106" t="s">
        <v>37</v>
      </c>
      <c r="K249" s="106" t="s">
        <v>37</v>
      </c>
      <c r="L249" s="106" t="s">
        <v>37</v>
      </c>
      <c r="M249" s="107">
        <f t="array" aca="1" ref="M249" ca="1">_xll.GetPrice("FP-LBR-0546","Actual","Low",_LATESTvarPubDate)</f>
        <v>505</v>
      </c>
      <c r="N249" s="107">
        <f t="array" aca="1" ref="N249" ca="1">_xll.GetPrice("FP-LBR-1963","Actual","Low",_LATESTvarPubDate)</f>
        <v>534</v>
      </c>
      <c r="O249" s="106" t="s">
        <v>37</v>
      </c>
      <c r="T249" s="73"/>
      <c r="U249" s="73"/>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O249" s="93"/>
      <c r="BP249" s="93"/>
      <c r="BQ249" s="93"/>
    </row>
    <row r="250" spans="1:69" s="71" customFormat="1" x14ac:dyDescent="0.2">
      <c r="A250" s="105" t="s">
        <v>164</v>
      </c>
      <c r="B250" s="106" t="s">
        <v>37</v>
      </c>
      <c r="C250" s="107">
        <f t="array" aca="1" ref="C250" ca="1">_xll.GetPrice("FP-LBR-1844","Actual","Low",_LATESTvarPubDate)</f>
        <v>394</v>
      </c>
      <c r="D250" s="109">
        <f t="array" aca="1" ref="D250" ca="1">_xll.GetPrice("FP-LBR-1850","Actual","Low",_LATESTvarPubDate)</f>
        <v>634</v>
      </c>
      <c r="E250" s="107">
        <f t="array" aca="1" ref="E250" ca="1">_xll.GetPrice("FP-LBR-1871","Actual","Low",_LATESTvarPubDate)</f>
        <v>645</v>
      </c>
      <c r="F250" s="107">
        <f t="array" aca="1" ref="F250" ca="1">_xll.GetPrice("FP-LBR-1882","Actual","Low",_LATESTvarPubDate)</f>
        <v>590</v>
      </c>
      <c r="G250" s="106" t="s">
        <v>37</v>
      </c>
      <c r="H250" s="107">
        <f t="array" aca="1" ref="H250" ca="1">_xll.GetPrice("FP-LBR-1899","Actual","Low",_LATESTvarPubDate)</f>
        <v>329</v>
      </c>
      <c r="I250" s="107">
        <f t="array" aca="1" ref="I250" ca="1">_xll.GetPrice("FP-LBR-1908","Actual","Low",_LATESTvarPubDate)</f>
        <v>594</v>
      </c>
      <c r="J250" s="107">
        <f t="array" aca="1" ref="J250" ca="1">_xll.GetPrice("FP-LBR-1927","Actual","Low",_LATESTvarPubDate)</f>
        <v>720</v>
      </c>
      <c r="K250" s="106" t="s">
        <v>37</v>
      </c>
      <c r="L250" s="107">
        <f t="array" aca="1" ref="L250" ca="1">_xll.GetPrice("FP-LBR-1939","Actual","Low",_LATESTvarPubDate)</f>
        <v>425</v>
      </c>
      <c r="M250" s="107">
        <f t="array" aca="1" ref="M250" ca="1">_xll.GetPrice("FP-LBR-1944","Actual","Low",_LATESTvarPubDate)</f>
        <v>506</v>
      </c>
      <c r="N250" s="107">
        <f t="array" aca="1" ref="N250" ca="1">_xll.GetPrice("FP-LBR-1964","Actual","Low",_LATESTvarPubDate)</f>
        <v>555</v>
      </c>
      <c r="O250" s="106" t="s">
        <v>37</v>
      </c>
      <c r="T250" s="73"/>
      <c r="U250" s="73"/>
      <c r="V250" s="73"/>
      <c r="W250" s="73"/>
      <c r="X250" s="73"/>
      <c r="Y250" s="73"/>
      <c r="Z250" s="73"/>
      <c r="AA250" s="74"/>
      <c r="AB250" s="7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O250" s="93"/>
      <c r="BP250" s="93"/>
      <c r="BQ250" s="93"/>
    </row>
    <row r="251" spans="1:69" s="71" customFormat="1" x14ac:dyDescent="0.2">
      <c r="A251" s="105" t="s">
        <v>165</v>
      </c>
      <c r="B251" s="107">
        <f t="array" aca="1" ref="B251" ca="1">_xll.GetPrice("FP-LBR-1835","Actual","Low",_LATESTvarPubDate)</f>
        <v>581</v>
      </c>
      <c r="C251" s="107">
        <f t="array" aca="1" ref="C251" ca="1">_xll.GetPrice("FP-LBR-1845","Actual","Low",_LATESTvarPubDate)</f>
        <v>402</v>
      </c>
      <c r="D251" s="107">
        <f t="array" aca="1" ref="D251" ca="1">_xll.GetPrice("FP-LBR-1851","Actual","Low",_LATESTvarPubDate)</f>
        <v>639</v>
      </c>
      <c r="E251" s="107">
        <f t="array" aca="1" ref="E251" ca="1">_xll.GetPrice("FP-LBR-1872","Actual","Low",_LATESTvarPubDate)</f>
        <v>646</v>
      </c>
      <c r="F251" s="106" t="s">
        <v>37</v>
      </c>
      <c r="G251" s="107">
        <f t="array" aca="1" ref="G251" ca="1">_xll.GetPrice("FP-LBR-1889","Actual","Low",_LATESTvarPubDate)</f>
        <v>519</v>
      </c>
      <c r="H251" s="107">
        <f t="array" aca="1" ref="H251" ca="1">_xll.GetPrice("FP-LBR-1900","Actual","Low",_LATESTvarPubDate)</f>
        <v>337</v>
      </c>
      <c r="I251" s="107">
        <f t="array" aca="1" ref="I251" ca="1">_xll.GetPrice("FP-LBR-1909","Actual","Low",_LATESTvarPubDate)</f>
        <v>601</v>
      </c>
      <c r="J251" s="106" t="s">
        <v>37</v>
      </c>
      <c r="K251" s="107">
        <f t="array" aca="1" ref="K251" ca="1">_xll.GetPrice("FP-LBR-1934","Actual","Low",_LATESTvarPubDate)</f>
        <v>479</v>
      </c>
      <c r="L251" s="107">
        <f t="array" aca="1" ref="L251" ca="1">_xll.GetPrice("FP-LBR-1940","Actual","Low",_LATESTvarPubDate)</f>
        <v>433</v>
      </c>
      <c r="M251" s="107">
        <f t="array" aca="1" ref="M251" ca="1">_xll.GetPrice("FP-LBR-1945","Actual","Low",_LATESTvarPubDate)</f>
        <v>511</v>
      </c>
      <c r="N251" s="107">
        <f t="array" aca="1" ref="N251" ca="1">_xll.GetPrice("FP-LBR-1965","Actual","Low",_LATESTvarPubDate)</f>
        <v>556</v>
      </c>
      <c r="O251" s="106" t="s">
        <v>37</v>
      </c>
      <c r="T251" s="73"/>
      <c r="U251" s="73"/>
      <c r="V251" s="73"/>
      <c r="W251" s="73"/>
      <c r="X251" s="73"/>
      <c r="Y251" s="73"/>
      <c r="Z251" s="73"/>
      <c r="AA251" s="74"/>
      <c r="AB251" s="7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O251" s="93"/>
      <c r="BP251" s="93"/>
      <c r="BQ251" s="93"/>
    </row>
    <row r="252" spans="1:69" s="71" customFormat="1" x14ac:dyDescent="0.2">
      <c r="A252" s="105" t="s">
        <v>166</v>
      </c>
      <c r="B252" s="107">
        <f t="array" aca="1" ref="B252" ca="1">_xll.GetPrice("FP-LBR-1836","Actual","Low",_LATESTvarPubDate)</f>
        <v>585</v>
      </c>
      <c r="C252" s="106" t="s">
        <v>37</v>
      </c>
      <c r="D252" s="107">
        <f t="array" aca="1" ref="D252" ca="1">_xll.GetPrice("FP-LBR-1852","Actual","Low",_LATESTvarPubDate)</f>
        <v>600</v>
      </c>
      <c r="E252" s="107">
        <f t="array" aca="1" ref="E252" ca="1">_xll.GetPrice("FP-LBR-1873","Actual","Low",_LATESTvarPubDate)</f>
        <v>599</v>
      </c>
      <c r="F252" s="106" t="s">
        <v>37</v>
      </c>
      <c r="G252" s="107">
        <f t="array" aca="1" ref="G252" ca="1">_xll.GetPrice("FP-LBR-1890","Actual","Low",_LATESTvarPubDate)</f>
        <v>523</v>
      </c>
      <c r="H252" s="106" t="s">
        <v>37</v>
      </c>
      <c r="I252" s="107">
        <f t="array" aca="1" ref="I252" ca="1">_xll.GetPrice("FP-LBR-1910","Actual","Low",_LATESTvarPubDate)</f>
        <v>556</v>
      </c>
      <c r="J252" s="106" t="s">
        <v>37</v>
      </c>
      <c r="K252" s="107">
        <f t="array" aca="1" ref="K252" ca="1">_xll.GetPrice("FP-LBR-1935","Actual","Low",_LATESTvarPubDate)</f>
        <v>483</v>
      </c>
      <c r="L252" s="106" t="s">
        <v>37</v>
      </c>
      <c r="M252" s="107">
        <f t="array" aca="1" ref="M252" ca="1">_xll.GetPrice("FP-LBR-1946","Actual","Low",_LATESTvarPubDate)</f>
        <v>472</v>
      </c>
      <c r="N252" s="107">
        <f t="array" aca="1" ref="N252" ca="1">_xll.GetPrice("FP-LBR-1966","Actual","Low",_LATESTvarPubDate)</f>
        <v>509</v>
      </c>
      <c r="O252" s="106" t="s">
        <v>37</v>
      </c>
      <c r="T252" s="73"/>
      <c r="U252" s="73"/>
      <c r="V252" s="73"/>
      <c r="W252" s="73"/>
      <c r="X252" s="73"/>
      <c r="Y252" s="73"/>
      <c r="Z252" s="73"/>
      <c r="AA252" s="74"/>
      <c r="AB252" s="7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O252" s="93"/>
      <c r="BP252" s="93"/>
      <c r="BQ252" s="93"/>
    </row>
    <row r="253" spans="1:69" s="71" customFormat="1" x14ac:dyDescent="0.2">
      <c r="A253" s="105" t="s">
        <v>167</v>
      </c>
      <c r="B253" s="107">
        <f t="array" aca="1" ref="B253" ca="1">_xll.GetPrice("FP-LBR-1837","Actual","Low",_LATESTvarPubDate)</f>
        <v>563</v>
      </c>
      <c r="C253" s="106" t="s">
        <v>37</v>
      </c>
      <c r="D253" s="109">
        <f t="array" aca="1" ref="D253" ca="1">_xll.GetPrice("FP-LBR-0515","Actual","Low",_LATESTvarPubDate)</f>
        <v>610</v>
      </c>
      <c r="E253" s="107">
        <f t="array" aca="1" ref="E253" ca="1">_xll.GetPrice("FP-LBR-1874","Actual","Low",_LATESTvarPubDate)</f>
        <v>609</v>
      </c>
      <c r="F253" s="107">
        <f t="array" aca="1" ref="F253" ca="1">_xll.GetPrice("FP-LBR-1883","Actual","Low",_LATESTvarPubDate)</f>
        <v>563</v>
      </c>
      <c r="G253" s="107">
        <f t="array" aca="1" ref="G253" ca="1">_xll.GetPrice("FP-LBR-1891","Actual","Low",_LATESTvarPubDate)</f>
        <v>498</v>
      </c>
      <c r="H253" s="107">
        <f t="array" aca="1" ref="H253" ca="1">_xll.GetPrice("FP-LBR-1901","Actual","Low",_LATESTvarPubDate)</f>
        <v>317</v>
      </c>
      <c r="I253" s="107">
        <f t="array" aca="1" ref="I253" ca="1">_xll.GetPrice("FP-LBR-0518","Actual","Low",_LATESTvarPubDate)</f>
        <v>569</v>
      </c>
      <c r="J253" s="107">
        <f t="array" aca="1" ref="J253" ca="1">_xll.GetPrice("FP-LBR-1928","Actual","Low",_LATESTvarPubDate)</f>
        <v>693</v>
      </c>
      <c r="K253" s="107">
        <f t="array" aca="1" ref="K253" ca="1">_xll.GetPrice("FP-LBR-1936","Actual","Low",_LATESTvarPubDate)</f>
        <v>461</v>
      </c>
      <c r="L253" s="106" t="s">
        <v>37</v>
      </c>
      <c r="M253" s="107">
        <f t="array" aca="1" ref="M253" ca="1">_xll.GetPrice("FP-LBR-0536","Actual","Low",_LATESTvarPubDate)</f>
        <v>482</v>
      </c>
      <c r="N253" s="107">
        <f t="array" aca="1" ref="N253" ca="1">_xll.GetPrice("FP-LBR-1967","Actual","Low",_LATESTvarPubDate)</f>
        <v>519</v>
      </c>
      <c r="O253" s="107">
        <f t="array" aca="1" ref="O253" ca="1">_xll.GetPrice("FP-LBR-1975","Actual","Low",_LATESTvarPubDate)</f>
        <v>473</v>
      </c>
      <c r="T253" s="73"/>
      <c r="U253" s="73"/>
      <c r="V253" s="73"/>
      <c r="W253" s="73"/>
      <c r="X253" s="73"/>
      <c r="Y253" s="73"/>
      <c r="Z253" s="73"/>
      <c r="AA253" s="74"/>
      <c r="AB253" s="7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93"/>
      <c r="BB253" s="93"/>
      <c r="BC253" s="93"/>
      <c r="BD253" s="93"/>
      <c r="BE253" s="93"/>
      <c r="BF253" s="93"/>
      <c r="BG253" s="93"/>
      <c r="BH253" s="93"/>
      <c r="BI253" s="93"/>
      <c r="BJ253" s="93"/>
      <c r="BK253" s="93"/>
      <c r="BL253" s="93"/>
      <c r="BM253" s="93"/>
      <c r="BN253" s="93"/>
      <c r="BO253" s="93"/>
      <c r="BP253" s="93"/>
      <c r="BQ253" s="93"/>
    </row>
    <row r="254" spans="1:69" s="71" customFormat="1" x14ac:dyDescent="0.2">
      <c r="A254" s="105" t="s">
        <v>168</v>
      </c>
      <c r="B254" s="107">
        <f t="array" aca="1" ref="B254" ca="1">_xll.GetPrice("FP-LBR-1838","Actual","Low",_LATESTvarPubDate)</f>
        <v>564</v>
      </c>
      <c r="C254" s="107">
        <f t="array" aca="1" ref="C254" ca="1">_xll.GetPrice("FP-LBR-1846","Actual","Low",_LATESTvarPubDate)</f>
        <v>407</v>
      </c>
      <c r="D254" s="109">
        <f t="array" aca="1" ref="D254" ca="1">_xll.GetPrice("FP-LBR-1853","Actual","Low",_LATESTvarPubDate)</f>
        <v>616</v>
      </c>
      <c r="E254" s="106" t="s">
        <v>37</v>
      </c>
      <c r="F254" s="107">
        <f t="array" aca="1" ref="F254" ca="1">_xll.GetPrice("FP-LBR-1884","Actual","Low",_LATESTvarPubDate)</f>
        <v>577</v>
      </c>
      <c r="G254" s="107">
        <f t="array" aca="1" ref="G254" ca="1">_xll.GetPrice("FP-LBR-1892","Actual","Low",_LATESTvarPubDate)</f>
        <v>499</v>
      </c>
      <c r="H254" s="107">
        <f t="array" aca="1" ref="H254" ca="1">_xll.GetPrice("FP-LBR-1902","Actual","Low",_LATESTvarPubDate)</f>
        <v>342</v>
      </c>
      <c r="I254" s="107">
        <f t="array" aca="1" ref="I254" ca="1">_xll.GetPrice("FP-LBR-1911","Actual","Low",_LATESTvarPubDate)</f>
        <v>576</v>
      </c>
      <c r="J254" s="107">
        <f t="array" aca="1" ref="J254" ca="1">_xll.GetPrice("FP-LBR-1929","Actual","Low",_LATESTvarPubDate)</f>
        <v>707</v>
      </c>
      <c r="K254" s="107">
        <f t="array" aca="1" ref="K254" ca="1">_xll.GetPrice("FP-LBR-1937","Actual","Low",_LATESTvarPubDate)</f>
        <v>462</v>
      </c>
      <c r="L254" s="107">
        <f t="array" aca="1" ref="L254" ca="1">_xll.GetPrice("FP-LBR-1941","Actual","Low",_LATESTvarPubDate)</f>
        <v>438</v>
      </c>
      <c r="M254" s="107">
        <f t="array" aca="1" ref="M254" ca="1">_xll.GetPrice("FP-LBR-1947","Actual","Low",_LATESTvarPubDate)</f>
        <v>488</v>
      </c>
      <c r="N254" s="106" t="s">
        <v>37</v>
      </c>
      <c r="O254" s="107">
        <f t="array" aca="1" ref="O254" ca="1">_xll.GetPrice("FP-LBR-1976","Actual","Low",_LATESTvarPubDate)</f>
        <v>487</v>
      </c>
      <c r="T254" s="73"/>
      <c r="U254" s="73"/>
      <c r="V254" s="73"/>
      <c r="W254" s="73"/>
      <c r="X254" s="73"/>
      <c r="Y254" s="73"/>
      <c r="Z254" s="73"/>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93"/>
      <c r="BB254" s="93"/>
      <c r="BC254" s="93"/>
      <c r="BD254" s="93"/>
      <c r="BE254" s="93"/>
      <c r="BF254" s="93"/>
      <c r="BG254" s="93"/>
      <c r="BH254" s="93"/>
      <c r="BI254" s="93"/>
      <c r="BJ254" s="93"/>
      <c r="BK254" s="93"/>
      <c r="BL254" s="93"/>
      <c r="BM254" s="93"/>
      <c r="BN254" s="93"/>
      <c r="BO254" s="93"/>
      <c r="BP254" s="93"/>
      <c r="BQ254" s="93"/>
    </row>
    <row r="255" spans="1:69" s="71" customFormat="1" x14ac:dyDescent="0.2">
      <c r="A255" s="105" t="s">
        <v>169</v>
      </c>
      <c r="B255" s="107">
        <f t="array" aca="1" ref="B255" ca="1">_xll.GetPrice("FP-LBR-1839","Actual","Low",_LATESTvarPubDate)</f>
        <v>562</v>
      </c>
      <c r="C255" s="106" t="s">
        <v>37</v>
      </c>
      <c r="D255" s="109">
        <f t="array" aca="1" ref="D255" ca="1">_xll.GetPrice("FP-LBR-1854","Actual","Low",_LATESTvarPubDate)</f>
        <v>599</v>
      </c>
      <c r="E255" s="106" t="s">
        <v>37</v>
      </c>
      <c r="F255" s="106" t="s">
        <v>37</v>
      </c>
      <c r="G255" s="107">
        <f t="array" aca="1" ref="G255" ca="1">_xll.GetPrice("FP-LBR-1893","Actual","Low",_LATESTvarPubDate)</f>
        <v>495</v>
      </c>
      <c r="H255" s="106" t="s">
        <v>37</v>
      </c>
      <c r="I255" s="107">
        <f t="array" aca="1" ref="I255" ca="1">_xll.GetPrice("FP-LBR-1912","Actual","Low",_LATESTvarPubDate)</f>
        <v>554</v>
      </c>
      <c r="J255" s="106" t="s">
        <v>37</v>
      </c>
      <c r="K255" s="107">
        <f t="array" aca="1" ref="K255" ca="1">_xll.GetPrice("FP-LBR-1938","Actual","Low",_LATESTvarPubDate)</f>
        <v>460</v>
      </c>
      <c r="L255" s="106" t="s">
        <v>37</v>
      </c>
      <c r="M255" s="107">
        <f t="array" aca="1" ref="M255" ca="1">_xll.GetPrice("FP-LBR-1948","Actual","Low",_LATESTvarPubDate)</f>
        <v>471</v>
      </c>
      <c r="N255" s="106" t="s">
        <v>37</v>
      </c>
      <c r="O255" s="106" t="s">
        <v>37</v>
      </c>
      <c r="T255" s="73"/>
      <c r="U255" s="73"/>
      <c r="V255" s="73"/>
      <c r="W255" s="73"/>
      <c r="X255" s="73"/>
      <c r="Y255" s="73"/>
      <c r="Z255" s="73"/>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93"/>
      <c r="BB255" s="93"/>
      <c r="BC255" s="93"/>
      <c r="BD255" s="93"/>
      <c r="BE255" s="93"/>
      <c r="BF255" s="93"/>
      <c r="BG255" s="93"/>
      <c r="BH255" s="93"/>
      <c r="BI255" s="93"/>
      <c r="BJ255" s="93"/>
      <c r="BK255" s="93"/>
      <c r="BL255" s="93"/>
      <c r="BM255" s="93"/>
      <c r="BN255" s="93"/>
      <c r="BO255" s="93"/>
      <c r="BP255" s="93"/>
      <c r="BQ255" s="93"/>
    </row>
    <row r="256" spans="1:69" s="71" customFormat="1" x14ac:dyDescent="0.2">
      <c r="A256" s="113" t="s">
        <v>170</v>
      </c>
      <c r="B256" s="106" t="s">
        <v>37</v>
      </c>
      <c r="C256" s="107">
        <f t="array" aca="1" ref="C256" ca="1">_xll.GetPrice("FP-LBR-1847","Actual","Low",_LATESTvarPubDate)</f>
        <v>380</v>
      </c>
      <c r="D256" s="109">
        <f t="array" aca="1" ref="D256" ca="1">_xll.GetPrice("FP-LBR-1855","Actual","Low",_LATESTvarPubDate)</f>
        <v>620</v>
      </c>
      <c r="E256" s="106" t="s">
        <v>37</v>
      </c>
      <c r="F256" s="106" t="s">
        <v>37</v>
      </c>
      <c r="G256" s="106" t="s">
        <v>37</v>
      </c>
      <c r="H256" s="107">
        <f t="array" aca="1" ref="H256" ca="1">_xll.GetPrice("FP-LBR-1903","Actual","Low",_LATESTvarPubDate)</f>
        <v>333</v>
      </c>
      <c r="I256" s="107">
        <f t="array" aca="1" ref="I256" ca="1">_xll.GetPrice("FP-LBR-1913","Actual","Low",_LATESTvarPubDate)</f>
        <v>580</v>
      </c>
      <c r="J256" s="106" t="s">
        <v>37</v>
      </c>
      <c r="K256" s="106" t="s">
        <v>37</v>
      </c>
      <c r="L256" s="107">
        <f t="array" aca="1" ref="L256" ca="1">_xll.GetPrice("FP-LBR-1942","Actual","Low",_LATESTvarPubDate)</f>
        <v>422</v>
      </c>
      <c r="M256" s="107">
        <f t="array" aca="1" ref="M256" ca="1">_xll.GetPrice("FP-LBR-1949","Actual","Low",_LATESTvarPubDate)</f>
        <v>492</v>
      </c>
      <c r="N256" s="106" t="s">
        <v>37</v>
      </c>
      <c r="O256" s="120" t="s">
        <v>37</v>
      </c>
      <c r="T256" s="73"/>
      <c r="U256" s="73"/>
      <c r="V256" s="73"/>
      <c r="W256" s="73"/>
      <c r="X256" s="73"/>
      <c r="Y256" s="73"/>
      <c r="Z256" s="73"/>
      <c r="AA256" s="74"/>
      <c r="AB256" s="7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93"/>
      <c r="BB256" s="93"/>
      <c r="BC256" s="93"/>
      <c r="BD256" s="93"/>
      <c r="BE256" s="93"/>
      <c r="BF256" s="93"/>
      <c r="BG256" s="93"/>
      <c r="BH256" s="93"/>
      <c r="BI256" s="93"/>
      <c r="BJ256" s="93"/>
      <c r="BK256" s="93"/>
      <c r="BL256" s="93"/>
      <c r="BM256" s="93"/>
      <c r="BN256" s="93"/>
      <c r="BO256" s="93"/>
      <c r="BP256" s="93"/>
      <c r="BQ256" s="93"/>
    </row>
    <row r="257" spans="1:69" s="71" customFormat="1" x14ac:dyDescent="0.2">
      <c r="A257" s="113" t="s">
        <v>171</v>
      </c>
      <c r="B257" s="107">
        <f t="array" aca="1" ref="B257" ca="1">_xll.GetPrice("FP-LBR-1840","Actual","Low",_LATESTvarPubDate)</f>
        <v>609</v>
      </c>
      <c r="C257" s="106" t="s">
        <v>37</v>
      </c>
      <c r="D257" s="107">
        <f t="array" aca="1" ref="D257" ca="1">_xll.GetPrice("FP-LBR-1856","Actual","Low",_LATESTvarPubDate)</f>
        <v>638</v>
      </c>
      <c r="E257" s="107">
        <f t="array" aca="1" ref="E257" ca="1">_xll.GetPrice("FP-LBR-1212","Actual","Low",_LATESTvarPubDate)</f>
        <v>580</v>
      </c>
      <c r="F257" s="106" t="s">
        <v>37</v>
      </c>
      <c r="G257" s="107">
        <f t="array" aca="1" ref="G257" ca="1">_xll.GetPrice("FP-LBR-1894","Actual","Low",_LATESTvarPubDate)</f>
        <v>550</v>
      </c>
      <c r="H257" s="106" t="s">
        <v>37</v>
      </c>
      <c r="I257" s="107">
        <f t="array" aca="1" ref="I257" ca="1">_xll.GetPrice("FP-LBR-1914","Actual","Low",_LATESTvarPubDate)</f>
        <v>600</v>
      </c>
      <c r="J257" s="106" t="s">
        <v>37</v>
      </c>
      <c r="K257" s="106" t="s">
        <v>37</v>
      </c>
      <c r="L257" s="106" t="s">
        <v>37</v>
      </c>
      <c r="M257" s="107">
        <f t="array" aca="1" ref="M257" ca="1">_xll.GetPrice("FP-LBR-1950","Actual","Low",_LATESTvarPubDate)</f>
        <v>510</v>
      </c>
      <c r="N257" s="107">
        <f t="array" aca="1" ref="N257" ca="1">_xll.GetPrice("FP-LBR-1244","Actual","Low",_LATESTvarPubDate)</f>
        <v>510</v>
      </c>
      <c r="O257" s="106" t="s">
        <v>37</v>
      </c>
      <c r="T257" s="73"/>
      <c r="U257" s="73"/>
      <c r="V257" s="73"/>
      <c r="W257" s="73"/>
      <c r="X257" s="73"/>
      <c r="Y257" s="73"/>
      <c r="Z257" s="73"/>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93"/>
      <c r="BB257" s="93"/>
      <c r="BC257" s="93"/>
      <c r="BD257" s="93"/>
      <c r="BE257" s="93"/>
      <c r="BF257" s="93"/>
      <c r="BG257" s="93"/>
      <c r="BH257" s="93"/>
      <c r="BI257" s="93"/>
      <c r="BJ257" s="93"/>
      <c r="BK257" s="93"/>
      <c r="BL257" s="93"/>
      <c r="BM257" s="93"/>
      <c r="BN257" s="93"/>
      <c r="BO257" s="93"/>
      <c r="BP257" s="93"/>
      <c r="BQ257" s="93"/>
    </row>
    <row r="258" spans="1:69" s="71" customFormat="1" x14ac:dyDescent="0.2">
      <c r="A258" s="105" t="s">
        <v>172</v>
      </c>
      <c r="B258" s="107">
        <f t="array" aca="1" ref="B258" ca="1">_xll.GetPrice("FP-LBR-1841","Actual","Low",_LATESTvarPubDate)</f>
        <v>598</v>
      </c>
      <c r="C258" s="106" t="s">
        <v>37</v>
      </c>
      <c r="D258" s="107">
        <f t="array" aca="1" ref="D258" ca="1">_xll.GetPrice("FP-LBR-1857","Actual","Low",_LATESTvarPubDate)</f>
        <v>640</v>
      </c>
      <c r="E258" s="107">
        <f t="array" aca="1" ref="E258" ca="1">_xll.GetPrice("FP-LBR-1875","Actual","Low",_LATESTvarPubDate)</f>
        <v>607</v>
      </c>
      <c r="F258" s="107">
        <f t="array" aca="1" ref="F258" ca="1">_xll.GetPrice("FP-LBR-1885","Actual","Low",_LATESTvarPubDate)</f>
        <v>608</v>
      </c>
      <c r="G258" s="107">
        <f t="array" aca="1" ref="G258" ca="1">_xll.GetPrice("FP-LBR-1895","Actual","Low",_LATESTvarPubDate)</f>
        <v>537</v>
      </c>
      <c r="H258" s="106" t="s">
        <v>37</v>
      </c>
      <c r="I258" s="107">
        <f t="array" aca="1" ref="I258" ca="1">_xll.GetPrice("FP-LBR-1915","Actual","Low",_LATESTvarPubDate)</f>
        <v>601</v>
      </c>
      <c r="J258" s="107">
        <f t="array" aca="1" ref="J258" ca="1">_xll.GetPrice("FP-LBR-1930","Actual","Low",_LATESTvarPubDate)</f>
        <v>738</v>
      </c>
      <c r="K258" s="106" t="s">
        <v>37</v>
      </c>
      <c r="L258" s="106" t="s">
        <v>37</v>
      </c>
      <c r="M258" s="107">
        <f t="array" aca="1" ref="M258" ca="1">_xll.GetPrice("FP-LBR-1951","Actual","Low",_LATESTvarPubDate)</f>
        <v>512</v>
      </c>
      <c r="N258" s="107">
        <f t="array" aca="1" ref="N258" ca="1">_xll.GetPrice("FP-LBR-1968","Actual","Low",_LATESTvarPubDate)</f>
        <v>537</v>
      </c>
      <c r="O258" s="107">
        <f t="array" aca="1" ref="O258" ca="1">_xll.GetPrice("FP-LBR-1977","Actual","Low",_LATESTvarPubDate)</f>
        <v>518</v>
      </c>
      <c r="U258" s="73"/>
      <c r="V258" s="73"/>
      <c r="W258" s="73"/>
      <c r="X258" s="73"/>
      <c r="Y258" s="73"/>
      <c r="Z258" s="73"/>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93"/>
      <c r="BB258" s="93"/>
      <c r="BC258" s="93"/>
      <c r="BD258" s="93"/>
      <c r="BE258" s="93"/>
      <c r="BF258" s="93"/>
      <c r="BG258" s="93"/>
      <c r="BH258" s="93"/>
      <c r="BI258" s="93"/>
      <c r="BJ258" s="93"/>
      <c r="BK258" s="93"/>
      <c r="BL258" s="93"/>
      <c r="BM258" s="93"/>
      <c r="BN258" s="93"/>
      <c r="BO258" s="93"/>
      <c r="BP258" s="93"/>
      <c r="BQ258" s="93"/>
    </row>
    <row r="259" spans="1:69" s="71" customFormat="1" x14ac:dyDescent="0.2">
      <c r="A259" s="105" t="s">
        <v>173</v>
      </c>
      <c r="B259" s="106" t="s">
        <v>37</v>
      </c>
      <c r="C259" s="106" t="s">
        <v>37</v>
      </c>
      <c r="D259" s="107">
        <f t="array" aca="1" ref="D259" ca="1">_xll.GetPrice("FP-LBR-1858","Actual","Low",_LATESTvarPubDate)</f>
        <v>630</v>
      </c>
      <c r="E259" s="107">
        <f t="array" aca="1" ref="E259" ca="1">_xll.GetPrice("FP-LBR-1876","Actual","Low",_LATESTvarPubDate)</f>
        <v>607</v>
      </c>
      <c r="F259" s="106" t="s">
        <v>37</v>
      </c>
      <c r="G259" s="106" t="s">
        <v>37</v>
      </c>
      <c r="H259" s="106" t="s">
        <v>37</v>
      </c>
      <c r="I259" s="107">
        <f t="array" aca="1" ref="I259" ca="1">_xll.GetPrice("FP-LBR-1916","Actual","Low",_LATESTvarPubDate)</f>
        <v>591</v>
      </c>
      <c r="J259" s="106" t="s">
        <v>37</v>
      </c>
      <c r="K259" s="106" t="s">
        <v>37</v>
      </c>
      <c r="L259" s="106" t="s">
        <v>37</v>
      </c>
      <c r="M259" s="107">
        <f t="array" aca="1" ref="M259" ca="1">_xll.GetPrice("FP-LBR-1952","Actual","Low",_LATESTvarPubDate)</f>
        <v>502</v>
      </c>
      <c r="N259" s="107">
        <f t="array" aca="1" ref="N259" ca="1">_xll.GetPrice("FP-LBR-1969","Actual","Low",_LATESTvarPubDate)</f>
        <v>537</v>
      </c>
      <c r="O259" s="106" t="s">
        <v>37</v>
      </c>
      <c r="T259" s="73"/>
      <c r="U259" s="73"/>
      <c r="V259" s="73"/>
      <c r="W259" s="73"/>
      <c r="X259" s="73"/>
      <c r="Y259" s="73"/>
      <c r="Z259" s="73"/>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93"/>
      <c r="BB259" s="93"/>
      <c r="BC259" s="93"/>
      <c r="BD259" s="93"/>
      <c r="BE259" s="93"/>
      <c r="BF259" s="93"/>
      <c r="BG259" s="93"/>
      <c r="BH259" s="93"/>
      <c r="BI259" s="93"/>
      <c r="BJ259" s="93"/>
      <c r="BK259" s="93"/>
      <c r="BL259" s="93"/>
      <c r="BM259" s="93"/>
      <c r="BN259" s="93"/>
      <c r="BO259" s="93"/>
      <c r="BP259" s="93"/>
      <c r="BQ259" s="93"/>
    </row>
    <row r="260" spans="1:69" s="71" customFormat="1" x14ac:dyDescent="0.2">
      <c r="A260" s="105" t="s">
        <v>174</v>
      </c>
      <c r="B260" s="106" t="s">
        <v>37</v>
      </c>
      <c r="C260" s="106" t="s">
        <v>37</v>
      </c>
      <c r="D260" s="107">
        <f t="array" aca="1" ref="D260" ca="1">_xll.GetPrice("FP-LBR-1859","Actual","Low",_LATESTvarPubDate)</f>
        <v>631</v>
      </c>
      <c r="E260" s="107">
        <f t="array" aca="1" ref="E260" ca="1">_xll.GetPrice("FP-LBR-1877","Actual","Low",_LATESTvarPubDate)</f>
        <v>609</v>
      </c>
      <c r="F260" s="106" t="s">
        <v>37</v>
      </c>
      <c r="G260" s="106" t="s">
        <v>37</v>
      </c>
      <c r="H260" s="107">
        <f t="array" aca="1" ref="H260" ca="1">_xll.GetPrice("FP-LBR-1904","Actual","Low",_LATESTvarPubDate)</f>
        <v>375</v>
      </c>
      <c r="I260" s="107">
        <f t="array" aca="1" ref="I260" ca="1">_xll.GetPrice("FP-LBR-1917","Actual","Low",_LATESTvarPubDate)</f>
        <v>591</v>
      </c>
      <c r="J260" s="106" t="s">
        <v>37</v>
      </c>
      <c r="K260" s="106" t="s">
        <v>37</v>
      </c>
      <c r="L260" s="106" t="s">
        <v>37</v>
      </c>
      <c r="M260" s="107">
        <f t="array" aca="1" ref="M260" ca="1">_xll.GetPrice("FP-LBR-1953","Actual","Low",_LATESTvarPubDate)</f>
        <v>503</v>
      </c>
      <c r="N260" s="107">
        <f t="array" aca="1" ref="N260" ca="1">_xll.GetPrice("FP-LBR-1970","Actual","Low",_LATESTvarPubDate)</f>
        <v>539</v>
      </c>
      <c r="O260" s="106" t="s">
        <v>37</v>
      </c>
      <c r="T260" s="73"/>
      <c r="U260" s="73"/>
      <c r="V260" s="73"/>
      <c r="W260" s="73"/>
      <c r="X260" s="73"/>
      <c r="Y260" s="73"/>
      <c r="Z260" s="73"/>
      <c r="AA260" s="74"/>
      <c r="AB260" s="7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93"/>
      <c r="BB260" s="93"/>
      <c r="BC260" s="93"/>
      <c r="BD260" s="93"/>
      <c r="BE260" s="93"/>
      <c r="BF260" s="93"/>
      <c r="BG260" s="93"/>
      <c r="BH260" s="93"/>
      <c r="BI260" s="93"/>
      <c r="BJ260" s="93"/>
      <c r="BK260" s="93"/>
      <c r="BL260" s="93"/>
      <c r="BM260" s="93"/>
      <c r="BN260" s="93"/>
      <c r="BO260" s="93"/>
      <c r="BP260" s="93"/>
      <c r="BQ260" s="93"/>
    </row>
    <row r="261" spans="1:69" s="71" customFormat="1" x14ac:dyDescent="0.2">
      <c r="A261" s="113" t="s">
        <v>175</v>
      </c>
      <c r="B261" s="106" t="s">
        <v>37</v>
      </c>
      <c r="C261" s="106" t="s">
        <v>37</v>
      </c>
      <c r="D261" s="109">
        <f t="array" aca="1" ref="D261" ca="1">_xll.GetPrice("FP-LBR-1860","Actual","Low",_LATESTvarPubDate)</f>
        <v>608</v>
      </c>
      <c r="E261" s="108" t="s">
        <v>37</v>
      </c>
      <c r="F261" s="106" t="s">
        <v>37</v>
      </c>
      <c r="G261" s="106" t="s">
        <v>37</v>
      </c>
      <c r="H261" s="106" t="s">
        <v>37</v>
      </c>
      <c r="I261" s="107">
        <f t="array" aca="1" ref="I261" ca="1">_xll.GetPrice("FP-LBR-1918","Actual","Low",_LATESTvarPubDate)</f>
        <v>566</v>
      </c>
      <c r="J261" s="106" t="s">
        <v>37</v>
      </c>
      <c r="K261" s="106" t="s">
        <v>37</v>
      </c>
      <c r="L261" s="106" t="s">
        <v>37</v>
      </c>
      <c r="M261" s="107">
        <f t="array" aca="1" ref="M261" ca="1">_xll.GetPrice("FP-LBR-1954","Actual","Low",_LATESTvarPubDate)</f>
        <v>480</v>
      </c>
      <c r="N261" s="106" t="s">
        <v>37</v>
      </c>
      <c r="O261" s="106" t="s">
        <v>37</v>
      </c>
      <c r="T261" s="73"/>
      <c r="U261" s="73"/>
      <c r="V261" s="73"/>
      <c r="W261" s="73"/>
      <c r="X261" s="73"/>
      <c r="Y261" s="73"/>
      <c r="Z261" s="73"/>
      <c r="AA261" s="74"/>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93"/>
      <c r="BB261" s="93"/>
      <c r="BC261" s="93"/>
      <c r="BD261" s="93"/>
      <c r="BE261" s="93"/>
      <c r="BF261" s="93"/>
      <c r="BG261" s="93"/>
      <c r="BH261" s="93"/>
      <c r="BI261" s="93"/>
      <c r="BJ261" s="93"/>
      <c r="BK261" s="93"/>
      <c r="BL261" s="93"/>
      <c r="BM261" s="93"/>
      <c r="BN261" s="93"/>
      <c r="BO261" s="93"/>
      <c r="BP261" s="93"/>
      <c r="BQ261" s="93"/>
    </row>
    <row r="262" spans="1:69" s="71" customFormat="1" x14ac:dyDescent="0.2">
      <c r="A262" s="105" t="s">
        <v>176</v>
      </c>
      <c r="B262" s="107">
        <f t="array" aca="1" ref="B262" ca="1">_xll.GetPrice("FP-LBR-1842","Actual","Low",_LATESTvarPubDate)</f>
        <v>588</v>
      </c>
      <c r="C262" s="106" t="s">
        <v>37</v>
      </c>
      <c r="D262" s="107">
        <f t="array" aca="1" ref="D262" ca="1">_xll.GetPrice("FP-LBR-1861","Actual","Low",_LATESTvarPubDate)</f>
        <v>619</v>
      </c>
      <c r="E262" s="107">
        <f t="array" aca="1" ref="E262" ca="1">_xll.GetPrice("FP-LBR-1878","Actual","Low",_LATESTvarPubDate)</f>
        <v>605</v>
      </c>
      <c r="F262" s="106" t="s">
        <v>37</v>
      </c>
      <c r="G262" s="107">
        <f t="array" aca="1" ref="G262" ca="1">_xll.GetPrice("FP-LBR-1896","Actual","Low",_LATESTvarPubDate)</f>
        <v>526</v>
      </c>
      <c r="H262" s="106" t="s">
        <v>37</v>
      </c>
      <c r="I262" s="107">
        <f t="array" aca="1" ref="I262" ca="1">_xll.GetPrice("FP-LBR-1919","Actual","Low",_LATESTvarPubDate)</f>
        <v>578</v>
      </c>
      <c r="J262" s="106" t="s">
        <v>37</v>
      </c>
      <c r="K262" s="106" t="s">
        <v>37</v>
      </c>
      <c r="L262" s="106" t="s">
        <v>37</v>
      </c>
      <c r="M262" s="107">
        <f t="array" aca="1" ref="M262" ca="1">_xll.GetPrice("FP-LBR-1955","Actual","Low",_LATESTvarPubDate)</f>
        <v>491</v>
      </c>
      <c r="N262" s="107">
        <f t="array" aca="1" ref="N262" ca="1">_xll.GetPrice("FP-LBR-1971","Actual","Low",_LATESTvarPubDate)</f>
        <v>515</v>
      </c>
      <c r="O262" s="106" t="s">
        <v>37</v>
      </c>
      <c r="T262" s="73"/>
      <c r="U262" s="73"/>
      <c r="V262" s="73"/>
      <c r="W262" s="73"/>
      <c r="X262" s="73"/>
      <c r="Y262" s="73"/>
      <c r="Z262" s="73"/>
      <c r="AA262" s="74"/>
      <c r="AB262" s="7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93"/>
      <c r="BB262" s="93"/>
      <c r="BC262" s="93"/>
      <c r="BD262" s="93"/>
      <c r="BE262" s="93"/>
      <c r="BF262" s="93"/>
      <c r="BG262" s="93"/>
      <c r="BH262" s="93"/>
      <c r="BI262" s="93"/>
      <c r="BJ262" s="93"/>
      <c r="BK262" s="93"/>
      <c r="BL262" s="93"/>
      <c r="BM262" s="93"/>
      <c r="BN262" s="93"/>
      <c r="BO262" s="93"/>
      <c r="BP262" s="93"/>
      <c r="BQ262" s="93"/>
    </row>
    <row r="263" spans="1:69" s="71" customFormat="1" x14ac:dyDescent="0.2">
      <c r="A263" s="105" t="s">
        <v>177</v>
      </c>
      <c r="B263" s="106" t="s">
        <v>37</v>
      </c>
      <c r="C263" s="106" t="s">
        <v>37</v>
      </c>
      <c r="D263" s="107">
        <f t="array" aca="1" ref="D263" ca="1">_xll.GetPrice("FP-LBR-1862","Actual","Low",_LATESTvarPubDate)</f>
        <v>625</v>
      </c>
      <c r="E263" s="107">
        <f t="array" aca="1" ref="E263" ca="1">_xll.GetPrice("FP-LBR-1879","Actual","Low",_LATESTvarPubDate)</f>
        <v>605</v>
      </c>
      <c r="F263" s="106" t="s">
        <v>37</v>
      </c>
      <c r="G263" s="106" t="s">
        <v>37</v>
      </c>
      <c r="H263" s="107">
        <f t="array" aca="1" ref="H263" ca="1">_xll.GetPrice("FP-LBR-1905","Actual","Low",_LATESTvarPubDate)</f>
        <v>345</v>
      </c>
      <c r="I263" s="107">
        <f t="array" aca="1" ref="I263" ca="1">_xll.GetPrice("FP-LBR-1920","Actual","Low",_LATESTvarPubDate)</f>
        <v>585</v>
      </c>
      <c r="J263" s="106" t="s">
        <v>37</v>
      </c>
      <c r="K263" s="106" t="s">
        <v>37</v>
      </c>
      <c r="L263" s="106" t="s">
        <v>37</v>
      </c>
      <c r="M263" s="107">
        <f t="array" aca="1" ref="M263" ca="1">_xll.GetPrice("FP-LBR-1956","Actual","Low",_LATESTvarPubDate)</f>
        <v>497</v>
      </c>
      <c r="N263" s="107">
        <f t="array" aca="1" ref="N263" ca="1">_xll.GetPrice("FP-LBR-1972","Actual","Low",_LATESTvarPubDate)</f>
        <v>515</v>
      </c>
      <c r="O263" s="106" t="s">
        <v>37</v>
      </c>
      <c r="T263" s="73"/>
      <c r="U263" s="73"/>
      <c r="V263" s="73"/>
      <c r="W263" s="73"/>
      <c r="X263" s="73"/>
      <c r="Y263" s="73"/>
      <c r="Z263" s="73"/>
      <c r="AA263" s="74"/>
      <c r="AB263" s="7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93"/>
      <c r="BB263" s="93"/>
      <c r="BC263" s="93"/>
      <c r="BD263" s="93"/>
      <c r="BE263" s="93"/>
      <c r="BF263" s="93"/>
      <c r="BG263" s="93"/>
      <c r="BH263" s="93"/>
      <c r="BI263" s="93"/>
      <c r="BJ263" s="93"/>
      <c r="BK263" s="93"/>
      <c r="BL263" s="93"/>
      <c r="BM263" s="93"/>
      <c r="BN263" s="93"/>
      <c r="BO263" s="93"/>
      <c r="BP263" s="93"/>
      <c r="BQ263" s="93"/>
    </row>
    <row r="264" spans="1:69" s="71" customFormat="1" x14ac:dyDescent="0.2">
      <c r="A264" s="113" t="s">
        <v>178</v>
      </c>
      <c r="B264" s="106" t="s">
        <v>37</v>
      </c>
      <c r="C264" s="107">
        <f t="array" aca="1" ref="C264" ca="1">_xll.GetPrice("FP-LBR-1848","Actual","Low",_LATESTvarPubDate)</f>
        <v>355</v>
      </c>
      <c r="D264" s="107">
        <f t="array" aca="1" ref="D264" ca="1">_xll.GetPrice("FP-LBR-1863","Actual","Low",_LATESTvarPubDate)</f>
        <v>618</v>
      </c>
      <c r="E264" s="106" t="s">
        <v>37</v>
      </c>
      <c r="F264" s="106" t="s">
        <v>37</v>
      </c>
      <c r="G264" s="106" t="s">
        <v>37</v>
      </c>
      <c r="H264" s="107">
        <f t="array" aca="1" ref="H264" ca="1">_xll.GetPrice("FP-LBR-1906","Actual","Low",_LATESTvarPubDate)</f>
        <v>307</v>
      </c>
      <c r="I264" s="107">
        <f t="array" aca="1" ref="I264" ca="1">_xll.GetPrice("FP-LBR-1921","Actual","Low",_LATESTvarPubDate)</f>
        <v>574</v>
      </c>
      <c r="J264" s="106" t="s">
        <v>37</v>
      </c>
      <c r="K264" s="106" t="s">
        <v>37</v>
      </c>
      <c r="L264" s="107">
        <f t="array" aca="1" ref="L264" ca="1">_xll.GetPrice("FP-LBR-1943","Actual","Low",_LATESTvarPubDate)</f>
        <v>405</v>
      </c>
      <c r="M264" s="107">
        <f t="array" aca="1" ref="M264" ca="1">_xll.GetPrice("FP-LBR-1957","Actual","Low",_LATESTvarPubDate)</f>
        <v>490</v>
      </c>
      <c r="N264" s="106" t="s">
        <v>37</v>
      </c>
      <c r="O264" s="106" t="s">
        <v>37</v>
      </c>
      <c r="T264" s="73"/>
      <c r="U264" s="73"/>
      <c r="V264" s="73"/>
      <c r="W264" s="73"/>
      <c r="X264" s="73"/>
      <c r="Y264" s="73"/>
      <c r="Z264" s="73"/>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93"/>
      <c r="BB264" s="93"/>
      <c r="BC264" s="93"/>
      <c r="BD264" s="93"/>
      <c r="BE264" s="93"/>
      <c r="BF264" s="93"/>
      <c r="BG264" s="93"/>
      <c r="BH264" s="93"/>
      <c r="BI264" s="93"/>
      <c r="BJ264" s="93"/>
      <c r="BK264" s="93"/>
      <c r="BL264" s="93"/>
      <c r="BM264" s="93"/>
      <c r="BN264" s="93"/>
      <c r="BO264" s="93"/>
      <c r="BP264" s="93"/>
      <c r="BQ264" s="93"/>
    </row>
    <row r="265" spans="1:69" s="71" customFormat="1" x14ac:dyDescent="0.2">
      <c r="A265" s="105" t="s">
        <v>179</v>
      </c>
      <c r="B265" s="106" t="s">
        <v>37</v>
      </c>
      <c r="C265" s="106" t="s">
        <v>37</v>
      </c>
      <c r="D265" s="109">
        <f t="array" aca="1" ref="D265" ca="1">_xll.GetPrice("FP-LBR-1864","Actual","Low",_LATESTvarPubDate)</f>
        <v>642</v>
      </c>
      <c r="E265" s="107">
        <f t="array" aca="1" ref="E265" ca="1">_xll.GetPrice("FP-LBR-1880","Actual","Low",_LATESTvarPubDate)</f>
        <v>630</v>
      </c>
      <c r="F265" s="106" t="s">
        <v>37</v>
      </c>
      <c r="G265" s="106" t="s">
        <v>37</v>
      </c>
      <c r="H265" s="106" t="s">
        <v>37</v>
      </c>
      <c r="I265" s="107">
        <f t="array" aca="1" ref="I265" ca="1">_xll.GetPrice("FP-LBR-1922","Actual","Low",_LATESTvarPubDate)</f>
        <v>605</v>
      </c>
      <c r="J265" s="106" t="s">
        <v>37</v>
      </c>
      <c r="K265" s="106" t="s">
        <v>37</v>
      </c>
      <c r="L265" s="106" t="s">
        <v>37</v>
      </c>
      <c r="M265" s="107">
        <f t="array" aca="1" ref="M265" ca="1">_xll.GetPrice("FP-LBR-1958","Actual","Low",_LATESTvarPubDate)</f>
        <v>514</v>
      </c>
      <c r="N265" s="107">
        <f t="array" aca="1" ref="N265" ca="1">_xll.GetPrice("FP-LBR-1973","Actual","Low",_LATESTvarPubDate)</f>
        <v>540</v>
      </c>
      <c r="O265" s="106" t="s">
        <v>37</v>
      </c>
      <c r="T265" s="73"/>
      <c r="U265" s="73"/>
      <c r="V265" s="73"/>
      <c r="W265" s="73"/>
      <c r="X265" s="73"/>
      <c r="Y265" s="73"/>
      <c r="Z265" s="73"/>
      <c r="AA265" s="74"/>
      <c r="AB265" s="7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93"/>
      <c r="BB265" s="93"/>
      <c r="BC265" s="93"/>
      <c r="BD265" s="93"/>
      <c r="BE265" s="93"/>
      <c r="BF265" s="93"/>
      <c r="BG265" s="93"/>
      <c r="BH265" s="93"/>
      <c r="BI265" s="93"/>
      <c r="BJ265" s="93"/>
      <c r="BK265" s="93"/>
      <c r="BL265" s="93"/>
      <c r="BM265" s="93"/>
      <c r="BN265" s="93"/>
      <c r="BO265" s="93"/>
      <c r="BP265" s="93"/>
      <c r="BQ265" s="93"/>
    </row>
    <row r="266" spans="1:69" s="71" customFormat="1" x14ac:dyDescent="0.2">
      <c r="A266" s="105" t="s">
        <v>180</v>
      </c>
      <c r="B266" s="106" t="s">
        <v>37</v>
      </c>
      <c r="C266" s="107">
        <f t="array" aca="1" ref="C266" ca="1">_xll.GetPrice("FP-LBR-1849","Actual","Low",_LATESTvarPubDate)</f>
        <v>423</v>
      </c>
      <c r="D266" s="109">
        <f t="array" aca="1" ref="D266" ca="1">_xll.GetPrice("FP-LBR-1865","Actual","Low",_LATESTvarPubDate)</f>
        <v>638</v>
      </c>
      <c r="E266" s="107">
        <f t="array" aca="1" ref="E266" ca="1">_xll.GetPrice("FP-LBR-1881","Actual","Low",_LATESTvarPubDate)</f>
        <v>621</v>
      </c>
      <c r="F266" s="106" t="s">
        <v>37</v>
      </c>
      <c r="G266" s="106" t="s">
        <v>37</v>
      </c>
      <c r="H266" s="107">
        <f t="array" aca="1" ref="H266" ca="1">_xll.GetPrice("FP-LBR-1907","Actual","Low",_LATESTvarPubDate)</f>
        <v>378</v>
      </c>
      <c r="I266" s="107">
        <f t="array" aca="1" ref="I266" ca="1">_xll.GetPrice("FP-LBR-1923","Actual","Low",_LATESTvarPubDate)</f>
        <v>600</v>
      </c>
      <c r="J266" s="106" t="s">
        <v>37</v>
      </c>
      <c r="K266" s="106" t="s">
        <v>37</v>
      </c>
      <c r="L266" s="106" t="s">
        <v>37</v>
      </c>
      <c r="M266" s="107">
        <f t="array" aca="1" ref="M266" ca="1">_xll.GetPrice("FP-LBR-1959","Actual","Low",_LATESTvarPubDate)</f>
        <v>510</v>
      </c>
      <c r="N266" s="107">
        <f t="array" aca="1" ref="N266" ca="1">_xll.GetPrice("FP-LBR-1974","Actual","Low",_LATESTvarPubDate)</f>
        <v>531</v>
      </c>
      <c r="O266" s="106" t="s">
        <v>37</v>
      </c>
      <c r="P266" s="73"/>
      <c r="Q266" s="73"/>
      <c r="R266" s="73"/>
      <c r="S266" s="73"/>
      <c r="T266" s="73"/>
      <c r="U266" s="73"/>
      <c r="V266" s="73"/>
      <c r="W266" s="73"/>
      <c r="X266" s="73"/>
      <c r="Y266" s="73"/>
      <c r="Z266" s="73"/>
      <c r="AA266" s="74"/>
      <c r="AB266" s="7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93"/>
      <c r="BB266" s="93"/>
      <c r="BC266" s="93"/>
      <c r="BD266" s="93"/>
      <c r="BE266" s="93"/>
      <c r="BF266" s="93"/>
      <c r="BG266" s="93"/>
      <c r="BH266" s="93"/>
      <c r="BI266" s="93"/>
      <c r="BJ266" s="93"/>
      <c r="BK266" s="93"/>
      <c r="BL266" s="93"/>
      <c r="BM266" s="93"/>
      <c r="BN266" s="93"/>
      <c r="BO266" s="93"/>
      <c r="BP266" s="93"/>
      <c r="BQ266" s="93"/>
    </row>
    <row r="267" spans="1:69" s="71" customFormat="1" x14ac:dyDescent="0.2">
      <c r="A267" s="105" t="s">
        <v>181</v>
      </c>
      <c r="B267" s="106" t="s">
        <v>37</v>
      </c>
      <c r="C267" s="106" t="s">
        <v>37</v>
      </c>
      <c r="D267" s="107">
        <f t="array" aca="1" ref="D267" ca="1">_xll.GetPrice("FP-LBR-1866","Actual","Low",_LATESTvarPubDate)</f>
        <v>600</v>
      </c>
      <c r="E267" s="106" t="s">
        <v>37</v>
      </c>
      <c r="F267" s="107">
        <f t="array" aca="1" ref="F267" ca="1">_xll.GetPrice("FP-LBR-1886","Actual","Low",_LATESTvarPubDate)</f>
        <v>514</v>
      </c>
      <c r="G267" s="106" t="s">
        <v>37</v>
      </c>
      <c r="H267" s="106" t="s">
        <v>37</v>
      </c>
      <c r="I267" s="107">
        <f t="array" aca="1" ref="I267" ca="1">_xll.GetPrice("FP-LBR-1924","Actual","Low",_LATESTvarPubDate)</f>
        <v>558</v>
      </c>
      <c r="J267" s="107">
        <f t="array" aca="1" ref="J267" ca="1">_xll.GetPrice("FP-LBR-1931","Actual","Low",_LATESTvarPubDate)</f>
        <v>644</v>
      </c>
      <c r="K267" s="106" t="s">
        <v>37</v>
      </c>
      <c r="L267" s="106" t="s">
        <v>37</v>
      </c>
      <c r="M267" s="107">
        <f t="array" aca="1" ref="M267" ca="1">_xll.GetPrice("FP-LBR-1960","Actual","Low",_LATESTvarPubDate)</f>
        <v>472</v>
      </c>
      <c r="N267" s="106" t="s">
        <v>37</v>
      </c>
      <c r="O267" s="107">
        <f t="array" aca="1" ref="O267" ca="1">_xll.GetPrice("FP-LBR-1978","Actual","Low",_LATESTvarPubDate)</f>
        <v>424</v>
      </c>
      <c r="P267" s="73"/>
      <c r="Q267" s="73"/>
      <c r="R267" s="73"/>
      <c r="S267" s="73"/>
      <c r="T267" s="73"/>
      <c r="U267" s="73"/>
      <c r="V267" s="73"/>
      <c r="W267" s="73"/>
      <c r="X267" s="73"/>
      <c r="Y267" s="73"/>
      <c r="Z267" s="73"/>
      <c r="AA267" s="74"/>
      <c r="AB267" s="7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93"/>
      <c r="BB267" s="93"/>
      <c r="BC267" s="93"/>
      <c r="BD267" s="93"/>
      <c r="BE267" s="93"/>
      <c r="BF267" s="93"/>
      <c r="BG267" s="93"/>
      <c r="BH267" s="93"/>
      <c r="BI267" s="93"/>
      <c r="BJ267" s="93"/>
      <c r="BK267" s="93"/>
      <c r="BL267" s="93"/>
      <c r="BM267" s="93"/>
      <c r="BN267" s="93"/>
      <c r="BO267" s="93"/>
      <c r="BP267" s="93"/>
      <c r="BQ267" s="93"/>
    </row>
    <row r="268" spans="1:69" s="71" customFormat="1" x14ac:dyDescent="0.2">
      <c r="A268" s="105" t="s">
        <v>182</v>
      </c>
      <c r="B268" s="106" t="s">
        <v>37</v>
      </c>
      <c r="C268" s="106" t="s">
        <v>37</v>
      </c>
      <c r="D268" s="107">
        <f t="array" aca="1" ref="D268" ca="1">_xll.GetPrice("FP-LBR-1867","Actual","Low",_LATESTvarPubDate)</f>
        <v>616</v>
      </c>
      <c r="E268" s="106" t="s">
        <v>37</v>
      </c>
      <c r="F268" s="107">
        <f t="array" aca="1" ref="F268" ca="1">_xll.GetPrice("FP-LBR-1887","Actual","Low",_LATESTvarPubDate)</f>
        <v>540</v>
      </c>
      <c r="G268" s="106" t="s">
        <v>37</v>
      </c>
      <c r="H268" s="106" t="s">
        <v>37</v>
      </c>
      <c r="I268" s="107">
        <f t="array" aca="1" ref="I268" ca="1">_xll.GetPrice("FP-LBR-1925","Actual","Low",_LATESTvarPubDate)</f>
        <v>575</v>
      </c>
      <c r="J268" s="107">
        <f t="array" aca="1" ref="J268" ca="1">_xll.GetPrice("FP-LBR-1932","Actual","Low",_LATESTvarPubDate)</f>
        <v>670</v>
      </c>
      <c r="K268" s="106" t="s">
        <v>37</v>
      </c>
      <c r="L268" s="106" t="s">
        <v>37</v>
      </c>
      <c r="M268" s="107">
        <f t="array" aca="1" ref="M268" ca="1">_xll.GetPrice("FP-LBR-1961","Actual","Low",_LATESTvarPubDate)</f>
        <v>488</v>
      </c>
      <c r="N268" s="106" t="s">
        <v>37</v>
      </c>
      <c r="O268" s="107">
        <f t="array" aca="1" ref="O268" ca="1">_xll.GetPrice("FP-LBR-1979","Actual","Low",_LATESTvarPubDate)</f>
        <v>450</v>
      </c>
      <c r="P268" s="73"/>
      <c r="Q268" s="73"/>
      <c r="R268" s="73"/>
      <c r="S268" s="73"/>
      <c r="T268" s="73"/>
      <c r="U268" s="73"/>
      <c r="V268" s="73"/>
      <c r="W268" s="73"/>
      <c r="X268" s="73"/>
      <c r="Y268" s="73"/>
      <c r="Z268" s="73"/>
      <c r="AA268" s="74"/>
      <c r="AB268" s="7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93"/>
      <c r="BB268" s="93"/>
      <c r="BC268" s="93"/>
      <c r="BD268" s="93"/>
      <c r="BE268" s="93"/>
      <c r="BF268" s="93"/>
      <c r="BG268" s="93"/>
      <c r="BH268" s="93"/>
      <c r="BI268" s="93"/>
      <c r="BJ268" s="93"/>
      <c r="BK268" s="93"/>
      <c r="BL268" s="93"/>
      <c r="BM268" s="93"/>
      <c r="BN268" s="93"/>
      <c r="BO268" s="93"/>
      <c r="BP268" s="93"/>
      <c r="BQ268" s="93"/>
    </row>
    <row r="269" spans="1:69" s="71" customFormat="1" x14ac:dyDescent="0.2">
      <c r="A269" s="105" t="s">
        <v>183</v>
      </c>
      <c r="B269" s="106" t="s">
        <v>37</v>
      </c>
      <c r="C269" s="106" t="s">
        <v>37</v>
      </c>
      <c r="D269" s="107">
        <f t="array" aca="1" ref="D269" ca="1">_xll.GetPrice("FP-LBR-1868","Actual","Low",_LATESTvarPubDate)</f>
        <v>615</v>
      </c>
      <c r="E269" s="106" t="s">
        <v>37</v>
      </c>
      <c r="F269" s="107">
        <f t="array" aca="1" ref="F269" ca="1">_xll.GetPrice("FP-LBR-1888","Actual","Low",_LATESTvarPubDate)</f>
        <v>579</v>
      </c>
      <c r="G269" s="106" t="s">
        <v>37</v>
      </c>
      <c r="H269" s="106" t="s">
        <v>37</v>
      </c>
      <c r="I269" s="107">
        <f t="array" aca="1" ref="I269" ca="1">_xll.GetPrice("FP-LBR-1926","Actual","Low",_LATESTvarPubDate)</f>
        <v>574</v>
      </c>
      <c r="J269" s="107">
        <f t="array" aca="1" ref="J269" ca="1">_xll.GetPrice("FP-LBR-1933","Actual","Low",_LATESTvarPubDate)</f>
        <v>709</v>
      </c>
      <c r="K269" s="106" t="s">
        <v>37</v>
      </c>
      <c r="L269" s="106" t="s">
        <v>37</v>
      </c>
      <c r="M269" s="107">
        <f t="array" aca="1" ref="M269" ca="1">_xll.GetPrice("FP-LBR-1962","Actual","Low",_LATESTvarPubDate)</f>
        <v>487</v>
      </c>
      <c r="N269" s="106" t="s">
        <v>37</v>
      </c>
      <c r="O269" s="106" t="s">
        <v>37</v>
      </c>
      <c r="P269" s="73"/>
      <c r="Q269" s="73"/>
      <c r="R269" s="73"/>
      <c r="S269" s="73"/>
      <c r="T269" s="73"/>
      <c r="U269" s="73"/>
      <c r="V269" s="73"/>
      <c r="W269" s="73"/>
      <c r="X269" s="73"/>
      <c r="Y269" s="73"/>
      <c r="Z269" s="73"/>
      <c r="AA269" s="74"/>
      <c r="AB269" s="7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93"/>
      <c r="BB269" s="93"/>
      <c r="BC269" s="93"/>
      <c r="BD269" s="93"/>
      <c r="BE269" s="93"/>
      <c r="BF269" s="93"/>
      <c r="BG269" s="93"/>
      <c r="BH269" s="93"/>
      <c r="BI269" s="93"/>
      <c r="BJ269" s="93"/>
      <c r="BK269" s="93"/>
      <c r="BL269" s="93"/>
      <c r="BM269" s="93"/>
      <c r="BN269" s="93"/>
      <c r="BO269" s="93"/>
      <c r="BP269" s="93"/>
      <c r="BQ269" s="93"/>
    </row>
    <row r="270" spans="1:69" s="71" customFormat="1" x14ac:dyDescent="0.2">
      <c r="A270" s="111" t="s">
        <v>184</v>
      </c>
      <c r="C270" s="107">
        <f t="array" aca="1" ref="C270" ca="1">_xll.GetPrice("FP-LBR-1869","Actual","Low",_LATESTvarPubDate)</f>
        <v>415</v>
      </c>
      <c r="D270" s="111" t="s">
        <v>185</v>
      </c>
      <c r="F270" s="107">
        <f t="array" aca="1" ref="F270" ca="1">_xll.GetPrice("FP-LBR-1897","Actual","Low",_LATESTvarPubDate)</f>
        <v>492</v>
      </c>
      <c r="P270" s="73"/>
      <c r="Q270" s="73"/>
      <c r="R270" s="73"/>
      <c r="S270" s="73"/>
      <c r="T270" s="73"/>
      <c r="U270" s="73"/>
      <c r="V270" s="73"/>
      <c r="W270" s="73"/>
      <c r="X270" s="73"/>
      <c r="Y270" s="73"/>
      <c r="Z270" s="73"/>
      <c r="AA270" s="74"/>
      <c r="AB270" s="7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93"/>
      <c r="BB270" s="93"/>
      <c r="BC270" s="93"/>
      <c r="BD270" s="93"/>
      <c r="BE270" s="93"/>
      <c r="BF270" s="93"/>
      <c r="BG270" s="93"/>
      <c r="BH270" s="93"/>
      <c r="BI270" s="93"/>
      <c r="BJ270" s="93"/>
      <c r="BK270" s="93"/>
      <c r="BL270" s="93"/>
      <c r="BM270" s="93"/>
      <c r="BN270" s="93"/>
      <c r="BO270" s="93"/>
      <c r="BP270" s="93"/>
      <c r="BQ270" s="93"/>
    </row>
    <row r="271" spans="1:69" s="71" customFormat="1" x14ac:dyDescent="0.2">
      <c r="A271" s="73"/>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93"/>
      <c r="BB271" s="93"/>
      <c r="BC271" s="93"/>
      <c r="BD271" s="93"/>
      <c r="BE271" s="93"/>
      <c r="BF271" s="93"/>
      <c r="BG271" s="93"/>
      <c r="BH271" s="93"/>
      <c r="BI271" s="93"/>
      <c r="BJ271" s="93"/>
      <c r="BK271" s="93"/>
      <c r="BL271" s="93"/>
      <c r="BM271" s="93"/>
      <c r="BN271" s="93"/>
      <c r="BO271" s="93"/>
      <c r="BP271" s="93"/>
      <c r="BQ271" s="93"/>
    </row>
    <row r="272" spans="1:69" s="71" customFormat="1" x14ac:dyDescent="0.2">
      <c r="A272" s="73"/>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93"/>
      <c r="BB272" s="93"/>
      <c r="BC272" s="93"/>
      <c r="BD272" s="93"/>
      <c r="BE272" s="93"/>
      <c r="BF272" s="93"/>
      <c r="BG272" s="93"/>
      <c r="BH272" s="93"/>
      <c r="BI272" s="93"/>
      <c r="BJ272" s="93"/>
      <c r="BK272" s="93"/>
      <c r="BL272" s="93"/>
      <c r="BM272" s="93"/>
      <c r="BN272" s="93"/>
      <c r="BO272" s="93"/>
      <c r="BP272" s="93"/>
      <c r="BQ272" s="93"/>
    </row>
    <row r="273" spans="1:69" s="71" customFormat="1" x14ac:dyDescent="0.2">
      <c r="A273" s="73"/>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93"/>
      <c r="BB273" s="93"/>
      <c r="BC273" s="93"/>
      <c r="BD273" s="93"/>
      <c r="BE273" s="93"/>
      <c r="BF273" s="93"/>
      <c r="BG273" s="93"/>
      <c r="BH273" s="93"/>
      <c r="BI273" s="93"/>
      <c r="BJ273" s="93"/>
      <c r="BK273" s="93"/>
      <c r="BL273" s="93"/>
      <c r="BM273" s="93"/>
      <c r="BN273" s="93"/>
      <c r="BO273" s="93"/>
      <c r="BP273" s="93"/>
      <c r="BQ273" s="93"/>
    </row>
    <row r="274" spans="1:69" s="71" customFormat="1" x14ac:dyDescent="0.2">
      <c r="A274" s="73"/>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93"/>
      <c r="BB274" s="93"/>
      <c r="BC274" s="93"/>
      <c r="BD274" s="93"/>
      <c r="BE274" s="93"/>
      <c r="BF274" s="93"/>
      <c r="BG274" s="93"/>
      <c r="BH274" s="93"/>
      <c r="BI274" s="93"/>
      <c r="BJ274" s="93"/>
      <c r="BK274" s="93"/>
      <c r="BL274" s="93"/>
      <c r="BM274" s="93"/>
      <c r="BN274" s="93"/>
      <c r="BO274" s="93"/>
      <c r="BP274" s="93"/>
      <c r="BQ274" s="93"/>
    </row>
    <row r="275" spans="1:69" s="71" customFormat="1" x14ac:dyDescent="0.2">
      <c r="A275" s="73"/>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93"/>
      <c r="BB275" s="93"/>
      <c r="BC275" s="93"/>
      <c r="BD275" s="93"/>
      <c r="BE275" s="93"/>
      <c r="BF275" s="93"/>
      <c r="BG275" s="93"/>
      <c r="BH275" s="93"/>
      <c r="BI275" s="93"/>
      <c r="BJ275" s="93"/>
      <c r="BK275" s="93"/>
      <c r="BL275" s="93"/>
      <c r="BM275" s="93"/>
      <c r="BN275" s="93"/>
      <c r="BO275" s="93"/>
      <c r="BP275" s="93"/>
      <c r="BQ275" s="93"/>
    </row>
    <row r="276" spans="1:69" s="71" customFormat="1" x14ac:dyDescent="0.2">
      <c r="A276" s="73"/>
      <c r="B276" s="73"/>
      <c r="C276" s="73"/>
      <c r="D276" s="73"/>
      <c r="E276" s="73"/>
      <c r="F276" s="73"/>
      <c r="I276" s="73"/>
      <c r="J276" s="73"/>
      <c r="K276" s="73"/>
      <c r="L276" s="73"/>
      <c r="M276" s="73"/>
      <c r="N276" s="73"/>
      <c r="O276" s="73"/>
      <c r="P276" s="73"/>
      <c r="Q276" s="73"/>
      <c r="R276" s="73"/>
      <c r="S276" s="73"/>
      <c r="T276" s="73"/>
      <c r="U276" s="73"/>
      <c r="V276" s="73"/>
      <c r="W276" s="73"/>
      <c r="X276" s="73"/>
      <c r="Y276" s="73"/>
      <c r="Z276" s="73"/>
      <c r="AA276" s="74"/>
      <c r="AB276" s="7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93"/>
      <c r="BB276" s="93"/>
      <c r="BC276" s="93"/>
      <c r="BD276" s="93"/>
      <c r="BE276" s="93"/>
      <c r="BF276" s="93"/>
      <c r="BG276" s="93"/>
      <c r="BH276" s="93"/>
      <c r="BI276" s="93"/>
      <c r="BJ276" s="93"/>
      <c r="BK276" s="93"/>
      <c r="BL276" s="93"/>
      <c r="BM276" s="93"/>
      <c r="BN276" s="93"/>
      <c r="BO276" s="93"/>
      <c r="BP276" s="93"/>
      <c r="BQ276" s="93"/>
    </row>
    <row r="277" spans="1:69" s="71" customFormat="1" x14ac:dyDescent="0.2">
      <c r="A277" s="73"/>
      <c r="B277" s="73"/>
      <c r="C277" s="73"/>
      <c r="D277" s="73"/>
      <c r="E277" s="73"/>
      <c r="F277" s="73"/>
      <c r="I277" s="73"/>
      <c r="J277" s="73"/>
      <c r="K277" s="73"/>
      <c r="L277" s="73"/>
      <c r="M277" s="73"/>
      <c r="N277" s="73"/>
      <c r="O277" s="73"/>
      <c r="P277" s="73"/>
      <c r="Q277" s="73"/>
      <c r="R277" s="73"/>
      <c r="S277" s="73"/>
      <c r="T277" s="73"/>
      <c r="U277" s="73"/>
      <c r="V277" s="73"/>
      <c r="W277" s="73"/>
      <c r="X277" s="73"/>
      <c r="Y277" s="73"/>
      <c r="Z277" s="73"/>
      <c r="AA277" s="74"/>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93"/>
      <c r="BB277" s="93"/>
      <c r="BC277" s="93"/>
      <c r="BD277" s="93"/>
      <c r="BE277" s="93"/>
      <c r="BF277" s="93"/>
      <c r="BG277" s="93"/>
      <c r="BH277" s="93"/>
      <c r="BI277" s="93"/>
      <c r="BJ277" s="93"/>
      <c r="BK277" s="93"/>
      <c r="BL277" s="93"/>
      <c r="BM277" s="93"/>
      <c r="BN277" s="93"/>
      <c r="BO277" s="93"/>
      <c r="BP277" s="93"/>
      <c r="BQ277" s="93"/>
    </row>
    <row r="278" spans="1:69" s="71" customFormat="1" x14ac:dyDescent="0.2">
      <c r="A278" s="73"/>
      <c r="B278" s="73"/>
      <c r="C278" s="73"/>
      <c r="D278" s="73"/>
      <c r="E278" s="73"/>
      <c r="F278" s="73"/>
      <c r="I278" s="73"/>
      <c r="J278" s="73"/>
      <c r="K278" s="73"/>
      <c r="L278" s="73"/>
      <c r="M278" s="73"/>
      <c r="N278" s="73"/>
      <c r="O278" s="73"/>
      <c r="P278" s="73"/>
      <c r="Q278" s="73"/>
      <c r="R278" s="73"/>
      <c r="S278" s="73"/>
      <c r="T278" s="73"/>
      <c r="U278" s="73"/>
      <c r="V278" s="73"/>
      <c r="W278" s="73"/>
      <c r="X278" s="73"/>
      <c r="Y278" s="73"/>
      <c r="Z278" s="73"/>
      <c r="AA278" s="74"/>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93"/>
      <c r="BB278" s="93"/>
      <c r="BC278" s="93"/>
      <c r="BD278" s="93"/>
      <c r="BE278" s="93"/>
      <c r="BF278" s="93"/>
      <c r="BG278" s="93"/>
      <c r="BH278" s="93"/>
      <c r="BI278" s="93"/>
      <c r="BJ278" s="93"/>
      <c r="BK278" s="93"/>
      <c r="BL278" s="93"/>
      <c r="BM278" s="93"/>
      <c r="BN278" s="93"/>
      <c r="BO278" s="93"/>
      <c r="BP278" s="93"/>
      <c r="BQ278" s="93"/>
    </row>
    <row r="279" spans="1:69" s="71" customFormat="1" x14ac:dyDescent="0.2">
      <c r="A279" s="73"/>
      <c r="B279" s="73"/>
      <c r="C279" s="73"/>
      <c r="D279" s="73"/>
      <c r="E279" s="73"/>
      <c r="F279" s="73"/>
      <c r="I279" s="73"/>
      <c r="J279" s="73"/>
      <c r="K279" s="73"/>
      <c r="L279" s="73"/>
      <c r="M279" s="73"/>
      <c r="N279" s="73"/>
      <c r="O279" s="73"/>
      <c r="P279" s="73"/>
      <c r="Q279" s="73"/>
      <c r="R279" s="73"/>
      <c r="S279" s="73"/>
      <c r="T279" s="73"/>
      <c r="U279" s="73"/>
      <c r="V279" s="73"/>
      <c r="W279" s="73"/>
      <c r="X279" s="73"/>
      <c r="Y279" s="73"/>
      <c r="Z279" s="73"/>
      <c r="AA279" s="74"/>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93"/>
      <c r="BB279" s="93"/>
      <c r="BC279" s="93"/>
      <c r="BD279" s="93"/>
      <c r="BE279" s="93"/>
      <c r="BF279" s="93"/>
      <c r="BG279" s="93"/>
      <c r="BH279" s="93"/>
      <c r="BI279" s="93"/>
      <c r="BJ279" s="93"/>
      <c r="BK279" s="93"/>
      <c r="BL279" s="93"/>
      <c r="BM279" s="93"/>
      <c r="BN279" s="93"/>
      <c r="BO279" s="93"/>
      <c r="BP279" s="93"/>
      <c r="BQ279" s="93"/>
    </row>
    <row r="280" spans="1:69" s="71" customFormat="1" x14ac:dyDescent="0.2">
      <c r="A280" s="73"/>
      <c r="B280" s="73"/>
      <c r="C280" s="73"/>
      <c r="D280" s="73"/>
      <c r="E280" s="73"/>
      <c r="F280" s="73"/>
      <c r="I280" s="73"/>
      <c r="J280" s="73"/>
      <c r="K280" s="73"/>
      <c r="L280" s="73"/>
      <c r="M280" s="73"/>
      <c r="N280" s="73"/>
      <c r="O280" s="73"/>
      <c r="P280" s="73"/>
      <c r="Q280" s="73"/>
      <c r="R280" s="73"/>
      <c r="S280" s="73"/>
      <c r="T280" s="73"/>
      <c r="U280" s="73"/>
      <c r="V280" s="73"/>
      <c r="W280" s="73"/>
      <c r="X280" s="73"/>
      <c r="Y280" s="73"/>
      <c r="Z280" s="73"/>
      <c r="AA280" s="74"/>
      <c r="AB280" s="7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93"/>
      <c r="BB280" s="93"/>
      <c r="BC280" s="93"/>
      <c r="BD280" s="93"/>
      <c r="BE280" s="93"/>
      <c r="BF280" s="93"/>
      <c r="BG280" s="93"/>
      <c r="BH280" s="93"/>
      <c r="BI280" s="93"/>
      <c r="BJ280" s="93"/>
      <c r="BK280" s="93"/>
      <c r="BL280" s="93"/>
      <c r="BM280" s="93"/>
      <c r="BN280" s="93"/>
      <c r="BO280" s="93"/>
      <c r="BP280" s="93"/>
      <c r="BQ280" s="93"/>
    </row>
    <row r="281" spans="1:69" s="71" customFormat="1" x14ac:dyDescent="0.2">
      <c r="A281" s="73"/>
      <c r="B281" s="73"/>
      <c r="C281" s="73"/>
      <c r="D281" s="73"/>
      <c r="E281" s="73"/>
      <c r="F281" s="73"/>
      <c r="I281" s="73"/>
      <c r="J281" s="73"/>
      <c r="K281" s="73"/>
      <c r="L281" s="73"/>
      <c r="M281" s="73"/>
      <c r="N281" s="73"/>
      <c r="O281" s="73"/>
      <c r="P281" s="73"/>
      <c r="Q281" s="73"/>
      <c r="R281" s="73"/>
      <c r="S281" s="73"/>
      <c r="T281" s="73"/>
      <c r="U281" s="73"/>
      <c r="V281" s="73"/>
      <c r="W281" s="73"/>
      <c r="X281" s="73"/>
      <c r="Y281" s="73"/>
      <c r="Z281" s="73"/>
      <c r="AA281" s="74"/>
      <c r="AB281" s="7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93"/>
      <c r="BB281" s="93"/>
      <c r="BC281" s="93"/>
      <c r="BD281" s="93"/>
      <c r="BE281" s="93"/>
      <c r="BF281" s="93"/>
      <c r="BG281" s="93"/>
      <c r="BH281" s="93"/>
      <c r="BI281" s="93"/>
      <c r="BJ281" s="93"/>
      <c r="BK281" s="93"/>
      <c r="BL281" s="93"/>
      <c r="BM281" s="93"/>
      <c r="BN281" s="93"/>
      <c r="BO281" s="93"/>
      <c r="BP281" s="93"/>
      <c r="BQ281" s="93"/>
    </row>
    <row r="282" spans="1:69" s="71" customFormat="1" x14ac:dyDescent="0.2">
      <c r="A282" s="73"/>
      <c r="B282" s="73"/>
      <c r="C282" s="73"/>
      <c r="D282" s="73"/>
      <c r="E282" s="73"/>
      <c r="F282" s="73"/>
      <c r="I282" s="73"/>
      <c r="J282" s="73"/>
      <c r="K282" s="73"/>
      <c r="L282" s="73"/>
      <c r="M282" s="73"/>
      <c r="N282" s="73"/>
      <c r="O282" s="73"/>
      <c r="P282" s="73"/>
      <c r="Q282" s="73"/>
      <c r="R282" s="73"/>
      <c r="S282" s="73"/>
      <c r="T282" s="73"/>
      <c r="U282" s="73"/>
      <c r="V282" s="73"/>
      <c r="W282" s="73"/>
      <c r="X282" s="73"/>
      <c r="Y282" s="73"/>
      <c r="Z282" s="73"/>
      <c r="AA282" s="74"/>
      <c r="AB282" s="7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93"/>
      <c r="BB282" s="93"/>
      <c r="BC282" s="93"/>
      <c r="BD282" s="93"/>
      <c r="BE282" s="93"/>
      <c r="BF282" s="93"/>
      <c r="BG282" s="93"/>
      <c r="BH282" s="93"/>
      <c r="BI282" s="93"/>
      <c r="BJ282" s="93"/>
      <c r="BK282" s="93"/>
      <c r="BL282" s="93"/>
      <c r="BM282" s="93"/>
      <c r="BN282" s="93"/>
      <c r="BO282" s="93"/>
      <c r="BP282" s="93"/>
      <c r="BQ282" s="93"/>
    </row>
    <row r="283" spans="1:69" s="71" customFormat="1" x14ac:dyDescent="0.2">
      <c r="A283" s="73"/>
      <c r="B283" s="73"/>
      <c r="C283" s="73"/>
      <c r="D283" s="73"/>
      <c r="E283" s="73"/>
      <c r="F283" s="73"/>
      <c r="I283" s="73"/>
      <c r="J283" s="73"/>
      <c r="K283" s="73"/>
      <c r="L283" s="73"/>
      <c r="M283" s="73"/>
      <c r="N283" s="73"/>
      <c r="O283" s="73"/>
      <c r="P283" s="73"/>
      <c r="Q283" s="73"/>
      <c r="R283" s="73"/>
      <c r="S283" s="73"/>
      <c r="T283" s="73"/>
      <c r="U283" s="73"/>
      <c r="V283" s="73"/>
      <c r="W283" s="73"/>
      <c r="X283" s="73"/>
      <c r="Y283" s="73"/>
      <c r="Z283" s="73"/>
      <c r="AA283" s="74"/>
      <c r="AB283" s="7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93"/>
      <c r="BB283" s="93"/>
      <c r="BC283" s="93"/>
      <c r="BD283" s="93"/>
      <c r="BE283" s="93"/>
      <c r="BF283" s="93"/>
      <c r="BG283" s="93"/>
      <c r="BH283" s="93"/>
      <c r="BI283" s="93"/>
      <c r="BJ283" s="93"/>
      <c r="BK283" s="93"/>
      <c r="BL283" s="93"/>
      <c r="BM283" s="93"/>
      <c r="BN283" s="93"/>
      <c r="BO283" s="93"/>
      <c r="BP283" s="93"/>
      <c r="BQ283" s="93"/>
    </row>
    <row r="284" spans="1:69" s="71" customFormat="1" x14ac:dyDescent="0.2">
      <c r="A284" s="73"/>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c r="AA284" s="74"/>
      <c r="AB284" s="7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93"/>
      <c r="BB284" s="93"/>
      <c r="BC284" s="93"/>
      <c r="BD284" s="93"/>
      <c r="BE284" s="93"/>
      <c r="BF284" s="93"/>
      <c r="BG284" s="93"/>
      <c r="BH284" s="93"/>
      <c r="BI284" s="93"/>
      <c r="BJ284" s="93"/>
      <c r="BK284" s="93"/>
      <c r="BL284" s="93"/>
      <c r="BM284" s="93"/>
      <c r="BN284" s="93"/>
      <c r="BO284" s="93"/>
      <c r="BP284" s="93"/>
      <c r="BQ284" s="93"/>
    </row>
    <row r="285" spans="1:69" s="71" customFormat="1" x14ac:dyDescent="0.2">
      <c r="A285" s="73"/>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4"/>
      <c r="AB285" s="7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93"/>
      <c r="BB285" s="93"/>
      <c r="BC285" s="93"/>
      <c r="BD285" s="93"/>
      <c r="BE285" s="93"/>
      <c r="BF285" s="93"/>
      <c r="BG285" s="93"/>
      <c r="BH285" s="93"/>
      <c r="BI285" s="93"/>
      <c r="BJ285" s="93"/>
      <c r="BK285" s="93"/>
      <c r="BL285" s="93"/>
      <c r="BM285" s="93"/>
      <c r="BN285" s="93"/>
      <c r="BO285" s="93"/>
      <c r="BP285" s="93"/>
      <c r="BQ285" s="93"/>
    </row>
    <row r="286" spans="1:69" s="71" customFormat="1" x14ac:dyDescent="0.2">
      <c r="A286" s="73"/>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c r="AA286" s="74"/>
      <c r="AB286" s="7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93"/>
      <c r="BB286" s="93"/>
      <c r="BC286" s="93"/>
      <c r="BD286" s="93"/>
      <c r="BE286" s="93"/>
      <c r="BF286" s="93"/>
      <c r="BG286" s="93"/>
      <c r="BH286" s="93"/>
      <c r="BI286" s="93"/>
      <c r="BJ286" s="93"/>
      <c r="BK286" s="93"/>
      <c r="BL286" s="93"/>
      <c r="BM286" s="93"/>
      <c r="BN286" s="93"/>
      <c r="BO286" s="93"/>
      <c r="BP286" s="93"/>
      <c r="BQ286" s="93"/>
    </row>
    <row r="287" spans="1:69" s="71" customFormat="1" x14ac:dyDescent="0.2">
      <c r="A287" s="73"/>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93"/>
      <c r="BB287" s="93"/>
      <c r="BC287" s="93"/>
      <c r="BD287" s="93"/>
      <c r="BE287" s="93"/>
      <c r="BF287" s="93"/>
      <c r="BG287" s="93"/>
      <c r="BH287" s="93"/>
      <c r="BI287" s="93"/>
      <c r="BJ287" s="93"/>
      <c r="BK287" s="93"/>
      <c r="BL287" s="93"/>
      <c r="BM287" s="93"/>
      <c r="BN287" s="93"/>
      <c r="BO287" s="93"/>
      <c r="BP287" s="93"/>
      <c r="BQ287" s="93"/>
    </row>
    <row r="288" spans="1:69" s="71" customFormat="1" x14ac:dyDescent="0.2">
      <c r="A288" s="73"/>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93"/>
      <c r="BB288" s="93"/>
      <c r="BC288" s="93"/>
      <c r="BD288" s="93"/>
      <c r="BE288" s="93"/>
      <c r="BF288" s="93"/>
      <c r="BG288" s="93"/>
      <c r="BH288" s="93"/>
      <c r="BI288" s="93"/>
      <c r="BJ288" s="93"/>
      <c r="BK288" s="93"/>
      <c r="BL288" s="93"/>
      <c r="BM288" s="93"/>
      <c r="BN288" s="93"/>
      <c r="BO288" s="93"/>
      <c r="BP288" s="93"/>
      <c r="BQ288" s="93"/>
    </row>
    <row r="289" spans="1:69" s="71" customFormat="1" x14ac:dyDescent="0.2">
      <c r="A289" s="73"/>
      <c r="B289" s="73"/>
      <c r="C289" s="73"/>
      <c r="D289" s="73"/>
      <c r="E289" s="73"/>
      <c r="F289" s="73"/>
      <c r="G289" s="73"/>
      <c r="H289" s="73"/>
      <c r="I289" s="73"/>
      <c r="J289" s="82"/>
      <c r="K289" s="73"/>
      <c r="L289" s="73"/>
      <c r="M289" s="73"/>
      <c r="N289" s="73"/>
      <c r="O289" s="73"/>
      <c r="P289" s="73"/>
      <c r="Q289" s="73"/>
      <c r="R289" s="73"/>
      <c r="S289" s="73"/>
      <c r="T289" s="73"/>
      <c r="U289" s="73"/>
      <c r="V289" s="73"/>
      <c r="W289" s="73"/>
      <c r="X289" s="73"/>
      <c r="Y289" s="73"/>
      <c r="Z289" s="73"/>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93"/>
      <c r="BB289" s="93"/>
      <c r="BC289" s="93"/>
      <c r="BD289" s="93"/>
      <c r="BE289" s="93"/>
      <c r="BF289" s="93"/>
      <c r="BG289" s="93"/>
      <c r="BH289" s="93"/>
      <c r="BI289" s="93"/>
      <c r="BJ289" s="93"/>
      <c r="BK289" s="93"/>
      <c r="BL289" s="93"/>
      <c r="BM289" s="93"/>
      <c r="BN289" s="93"/>
      <c r="BO289" s="93"/>
      <c r="BP289" s="93"/>
      <c r="BQ289" s="93"/>
    </row>
    <row r="290" spans="1:69" s="71" customFormat="1" x14ac:dyDescent="0.2">
      <c r="A290" s="73"/>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93"/>
      <c r="BB290" s="93"/>
      <c r="BC290" s="93"/>
      <c r="BD290" s="93"/>
      <c r="BE290" s="93"/>
      <c r="BF290" s="93"/>
      <c r="BG290" s="93"/>
      <c r="BH290" s="93"/>
      <c r="BI290" s="93"/>
      <c r="BJ290" s="93"/>
      <c r="BK290" s="93"/>
      <c r="BL290" s="93"/>
      <c r="BM290" s="93"/>
      <c r="BN290" s="93"/>
      <c r="BO290" s="93"/>
      <c r="BP290" s="93"/>
      <c r="BQ290" s="93"/>
    </row>
    <row r="291" spans="1:69" s="71" customFormat="1" x14ac:dyDescent="0.2">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93"/>
      <c r="BB291" s="93"/>
      <c r="BC291" s="93"/>
      <c r="BD291" s="93"/>
      <c r="BE291" s="93"/>
      <c r="BF291" s="93"/>
      <c r="BG291" s="93"/>
      <c r="BH291" s="93"/>
      <c r="BI291" s="93"/>
      <c r="BJ291" s="93"/>
      <c r="BK291" s="93"/>
      <c r="BL291" s="93"/>
      <c r="BM291" s="93"/>
      <c r="BN291" s="93"/>
      <c r="BO291" s="93"/>
      <c r="BP291" s="93"/>
      <c r="BQ291" s="93"/>
    </row>
    <row r="292" spans="1:69" s="71" customFormat="1" x14ac:dyDescent="0.2">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4"/>
      <c r="AB292" s="7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93"/>
      <c r="BB292" s="93"/>
      <c r="BC292" s="93"/>
      <c r="BD292" s="93"/>
      <c r="BE292" s="93"/>
      <c r="BF292" s="93"/>
      <c r="BG292" s="93"/>
      <c r="BH292" s="93"/>
      <c r="BI292" s="93"/>
      <c r="BJ292" s="93"/>
      <c r="BK292" s="93"/>
      <c r="BL292" s="93"/>
      <c r="BM292" s="93"/>
      <c r="BN292" s="93"/>
      <c r="BO292" s="93"/>
      <c r="BP292" s="93"/>
      <c r="BQ292" s="93"/>
    </row>
    <row r="293" spans="1:69" s="71" customFormat="1" x14ac:dyDescent="0.2">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4"/>
      <c r="AB293" s="7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93"/>
      <c r="BB293" s="93"/>
      <c r="BC293" s="93"/>
      <c r="BD293" s="93"/>
      <c r="BE293" s="93"/>
      <c r="BF293" s="93"/>
      <c r="BG293" s="93"/>
      <c r="BH293" s="93"/>
      <c r="BI293" s="93"/>
      <c r="BJ293" s="93"/>
      <c r="BK293" s="93"/>
      <c r="BL293" s="93"/>
      <c r="BM293" s="93"/>
      <c r="BN293" s="93"/>
      <c r="BO293" s="93"/>
      <c r="BP293" s="93"/>
      <c r="BQ293" s="93"/>
    </row>
    <row r="294" spans="1:69" s="71" customFormat="1" x14ac:dyDescent="0.2">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4"/>
      <c r="AB294" s="7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93"/>
      <c r="BB294" s="93"/>
      <c r="BC294" s="93"/>
      <c r="BD294" s="93"/>
      <c r="BE294" s="93"/>
      <c r="BF294" s="93"/>
      <c r="BG294" s="93"/>
      <c r="BH294" s="93"/>
      <c r="BI294" s="93"/>
      <c r="BJ294" s="93"/>
      <c r="BK294" s="93"/>
      <c r="BL294" s="93"/>
      <c r="BM294" s="93"/>
      <c r="BN294" s="93"/>
      <c r="BO294" s="93"/>
      <c r="BP294" s="93"/>
      <c r="BQ294" s="93"/>
    </row>
    <row r="295" spans="1:69" s="71" customFormat="1" x14ac:dyDescent="0.2">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4"/>
      <c r="AB295" s="7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93"/>
      <c r="BB295" s="93"/>
      <c r="BC295" s="93"/>
      <c r="BD295" s="93"/>
      <c r="BE295" s="93"/>
      <c r="BF295" s="93"/>
      <c r="BG295" s="93"/>
      <c r="BH295" s="93"/>
      <c r="BI295" s="93"/>
      <c r="BJ295" s="93"/>
      <c r="BK295" s="93"/>
      <c r="BL295" s="93"/>
      <c r="BM295" s="93"/>
      <c r="BN295" s="93"/>
      <c r="BO295" s="93"/>
      <c r="BP295" s="93"/>
      <c r="BQ295" s="93"/>
    </row>
    <row r="296" spans="1:69" s="71" customFormat="1" x14ac:dyDescent="0.2">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c r="AA296" s="74"/>
      <c r="AB296" s="7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93"/>
      <c r="BB296" s="93"/>
      <c r="BC296" s="93"/>
      <c r="BD296" s="93"/>
      <c r="BE296" s="93"/>
      <c r="BF296" s="93"/>
      <c r="BG296" s="93"/>
      <c r="BH296" s="93"/>
      <c r="BI296" s="93"/>
      <c r="BJ296" s="93"/>
      <c r="BK296" s="93"/>
      <c r="BL296" s="93"/>
      <c r="BM296" s="93"/>
      <c r="BN296" s="93"/>
      <c r="BO296" s="93"/>
      <c r="BP296" s="93"/>
      <c r="BQ296" s="93"/>
    </row>
    <row r="297" spans="1:69" s="71" customFormat="1" x14ac:dyDescent="0.2">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c r="AA297" s="74"/>
      <c r="AB297" s="7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93"/>
      <c r="BB297" s="93"/>
      <c r="BC297" s="93"/>
      <c r="BD297" s="93"/>
      <c r="BE297" s="93"/>
      <c r="BF297" s="93"/>
      <c r="BG297" s="93"/>
      <c r="BH297" s="93"/>
      <c r="BI297" s="93"/>
      <c r="BJ297" s="93"/>
      <c r="BK297" s="93"/>
      <c r="BL297" s="93"/>
      <c r="BM297" s="93"/>
      <c r="BN297" s="93"/>
      <c r="BO297" s="93"/>
      <c r="BP297" s="93"/>
      <c r="BQ297" s="93"/>
    </row>
    <row r="298" spans="1:69" s="71" customFormat="1" x14ac:dyDescent="0.2">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93"/>
      <c r="BB298" s="93"/>
      <c r="BC298" s="93"/>
      <c r="BD298" s="93"/>
      <c r="BE298" s="93"/>
      <c r="BF298" s="93"/>
      <c r="BG298" s="93"/>
      <c r="BH298" s="93"/>
      <c r="BI298" s="93"/>
      <c r="BJ298" s="93"/>
      <c r="BK298" s="93"/>
      <c r="BL298" s="93"/>
      <c r="BM298" s="93"/>
      <c r="BN298" s="93"/>
      <c r="BO298" s="93"/>
      <c r="BP298" s="93"/>
      <c r="BQ298" s="93"/>
    </row>
    <row r="299" spans="1:69" s="71" customFormat="1" x14ac:dyDescent="0.2">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N299" s="93"/>
      <c r="BO299" s="93"/>
      <c r="BP299" s="93"/>
      <c r="BQ299" s="93"/>
    </row>
    <row r="300" spans="1:69" s="71" customFormat="1" x14ac:dyDescent="0.2">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N300" s="93"/>
      <c r="BO300" s="93"/>
      <c r="BP300" s="93"/>
      <c r="BQ300" s="93"/>
    </row>
    <row r="301" spans="1:69" s="71" customFormat="1" ht="15" x14ac:dyDescent="0.2">
      <c r="A301" s="84">
        <f ca="1">_LATESTvarPubDate</f>
        <v>45848.653113425928</v>
      </c>
      <c r="B301" s="85" t="str">
        <f>$A$1</f>
        <v>RANDOM LENGTHS LUMBER REPORT</v>
      </c>
      <c r="C301" s="86"/>
      <c r="D301" s="86"/>
      <c r="E301" s="86"/>
      <c r="F301" s="86"/>
      <c r="G301" s="87"/>
      <c r="H301" s="88" t="s">
        <v>186</v>
      </c>
      <c r="I301" s="73"/>
      <c r="J301" s="73"/>
      <c r="K301" s="73"/>
      <c r="L301" s="73"/>
      <c r="M301" s="73"/>
      <c r="N301" s="73"/>
      <c r="O301" s="73"/>
      <c r="P301" s="73"/>
      <c r="Q301" s="73"/>
      <c r="R301" s="73"/>
      <c r="S301" s="73"/>
      <c r="T301" s="73"/>
      <c r="U301" s="73"/>
      <c r="V301" s="73"/>
      <c r="W301" s="73"/>
      <c r="X301" s="73"/>
      <c r="Y301" s="73"/>
      <c r="Z301" s="73"/>
      <c r="AA301" s="74"/>
      <c r="AB301" s="7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N301" s="93"/>
      <c r="BO301" s="93"/>
      <c r="BP301" s="93"/>
      <c r="BQ301" s="93"/>
    </row>
    <row r="302" spans="1:69" s="71" customFormat="1" ht="14.25" x14ac:dyDescent="0.2">
      <c r="A302" s="73"/>
      <c r="B302" s="73"/>
      <c r="C302" s="73"/>
      <c r="D302" s="73"/>
      <c r="E302" s="73"/>
      <c r="F302" s="73"/>
      <c r="G302" s="73"/>
      <c r="H302" s="73"/>
      <c r="I302" s="73"/>
      <c r="J302" s="73"/>
      <c r="K302" s="73"/>
      <c r="L302" s="73"/>
      <c r="M302" s="73"/>
      <c r="N302" s="73"/>
      <c r="O302" s="73"/>
      <c r="P302" s="73"/>
      <c r="Q302" s="73"/>
      <c r="S302" s="90"/>
      <c r="T302" s="73"/>
      <c r="U302" s="73"/>
      <c r="V302" s="73"/>
      <c r="W302" s="73"/>
      <c r="X302" s="73"/>
      <c r="Y302" s="73"/>
      <c r="Z302" s="73"/>
      <c r="AA302" s="74"/>
      <c r="AB302" s="7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N302" s="93"/>
      <c r="BO302" s="93"/>
      <c r="BP302" s="93"/>
      <c r="BQ302" s="93"/>
    </row>
    <row r="303" spans="1:69" s="71" customFormat="1" ht="15.75" x14ac:dyDescent="0.25">
      <c r="A303" s="94" t="s">
        <v>187</v>
      </c>
      <c r="B303" s="73"/>
      <c r="C303" s="73"/>
      <c r="D303" s="73"/>
      <c r="E303" s="73"/>
      <c r="F303" s="73"/>
      <c r="G303" s="73"/>
      <c r="N303" s="73"/>
      <c r="O303" s="73"/>
      <c r="P303" s="73"/>
      <c r="Q303" s="73"/>
      <c r="R303" s="73"/>
      <c r="S303" s="73"/>
      <c r="T303" s="73"/>
      <c r="U303" s="73"/>
      <c r="V303" s="73"/>
      <c r="W303" s="73"/>
      <c r="X303" s="73"/>
      <c r="Y303" s="73"/>
      <c r="Z303" s="73"/>
      <c r="AA303" s="74"/>
      <c r="AB303" s="7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N303" s="93"/>
      <c r="BO303" s="93"/>
      <c r="BP303" s="93"/>
      <c r="BQ303" s="93"/>
    </row>
    <row r="304" spans="1:69" s="71" customFormat="1" x14ac:dyDescent="0.2">
      <c r="A304" s="96" t="s">
        <v>188</v>
      </c>
      <c r="B304" s="73"/>
      <c r="C304" s="73"/>
      <c r="D304" s="73"/>
      <c r="E304" s="73"/>
      <c r="F304" s="73"/>
      <c r="G304" s="73"/>
      <c r="H304" s="96" t="s">
        <v>189</v>
      </c>
      <c r="I304" s="74"/>
      <c r="J304" s="74"/>
      <c r="K304" s="74"/>
      <c r="L304" s="74"/>
      <c r="M304" s="73"/>
      <c r="Q304" s="73"/>
      <c r="R304" s="73"/>
      <c r="S304" s="73"/>
      <c r="U304" s="73"/>
      <c r="V304" s="73"/>
      <c r="W304" s="73"/>
      <c r="X304" s="73"/>
      <c r="Y304" s="73"/>
      <c r="Z304" s="73"/>
      <c r="AA304" s="74"/>
      <c r="AB304" s="7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N304" s="93"/>
      <c r="BO304" s="93"/>
      <c r="BP304" s="93"/>
      <c r="BQ304" s="93"/>
    </row>
    <row r="305" spans="1:69" s="71" customFormat="1" x14ac:dyDescent="0.2">
      <c r="A305" s="104" t="s">
        <v>190</v>
      </c>
      <c r="I305" s="73"/>
      <c r="J305" s="73"/>
      <c r="K305" s="73"/>
      <c r="L305" s="74"/>
      <c r="M305" s="74"/>
      <c r="Q305" s="74"/>
      <c r="R305" s="74"/>
      <c r="S305" s="73"/>
      <c r="T305" s="73"/>
      <c r="U305" s="73"/>
      <c r="V305" s="73"/>
      <c r="W305" s="73"/>
      <c r="X305" s="73"/>
      <c r="Y305" s="73"/>
      <c r="Z305" s="73"/>
      <c r="AA305" s="74"/>
      <c r="AB305" s="7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N305" s="93"/>
      <c r="BO305" s="93"/>
      <c r="BP305" s="93"/>
      <c r="BQ305" s="93"/>
    </row>
    <row r="306" spans="1:69" s="71" customFormat="1" x14ac:dyDescent="0.2">
      <c r="A306" s="118"/>
      <c r="B306" s="98" t="s">
        <v>191</v>
      </c>
      <c r="C306" s="98" t="s">
        <v>192</v>
      </c>
      <c r="D306" s="98" t="s">
        <v>90</v>
      </c>
      <c r="E306" s="98" t="s">
        <v>193</v>
      </c>
      <c r="F306" s="98" t="s">
        <v>194</v>
      </c>
      <c r="G306" s="118"/>
      <c r="H306" s="73"/>
      <c r="I306" s="98" t="s">
        <v>195</v>
      </c>
      <c r="J306" s="98" t="s">
        <v>196</v>
      </c>
      <c r="K306" s="98" t="s">
        <v>197</v>
      </c>
      <c r="L306" s="74"/>
      <c r="M306" s="74"/>
      <c r="Q306" s="74"/>
      <c r="R306" s="74"/>
      <c r="T306" s="73"/>
      <c r="U306" s="73"/>
      <c r="V306" s="73"/>
      <c r="W306" s="73"/>
      <c r="X306" s="73"/>
      <c r="Y306" s="73"/>
      <c r="Z306" s="73"/>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N306" s="93"/>
      <c r="BO306" s="93"/>
      <c r="BP306" s="93"/>
      <c r="BQ306" s="93"/>
    </row>
    <row r="307" spans="1:69" s="71" customFormat="1" x14ac:dyDescent="0.2">
      <c r="A307" s="121" t="s">
        <v>198</v>
      </c>
      <c r="B307" s="107">
        <f t="array" aca="1" ref="B307" ca="1">_xll.GetPrice("FP-LBR-1417","Actual","Low",_LATESTvarPubDate)</f>
        <v>2350</v>
      </c>
      <c r="C307" s="107">
        <f t="array" aca="1" ref="C307" ca="1">_xll.GetPrice("FP-LBR-1422","Actual","Low",_LATESTvarPubDate)</f>
        <v>2015</v>
      </c>
      <c r="D307" s="107">
        <f t="array" aca="1" ref="D307" ca="1">_xll.GetPrice("FP-LBR-1427","Actual","Low",_LATESTvarPubDate)</f>
        <v>730</v>
      </c>
      <c r="E307" s="107">
        <f t="array" aca="1" ref="E307" ca="1">_xll.GetPrice("FP-LBR-1432","Actual","Low",_LATESTvarPubDate)</f>
        <v>550</v>
      </c>
      <c r="F307" s="107">
        <f t="array" aca="1" ref="F307" ca="1">_xll.GetPrice("FP-LBR-1437","Actual","Low",_LATESTvarPubDate)</f>
        <v>355</v>
      </c>
      <c r="H307" s="121" t="s">
        <v>198</v>
      </c>
      <c r="I307" s="107">
        <f t="array" aca="1" ref="I307" ca="1">_xll.GetPrice("FP-LBR-1512","Actual","Low",_LATESTvarPubDate)</f>
        <v>680</v>
      </c>
      <c r="J307" s="107">
        <f t="array" aca="1" ref="J307" ca="1">_xll.GetPrice("FP-LBR-1517","Actual","Low",_LATESTvarPubDate)</f>
        <v>530</v>
      </c>
      <c r="K307" s="107">
        <f t="array" aca="1" ref="K307" ca="1">_xll.GetPrice("FP-LBR-1522","Actual","Low",_LATESTvarPubDate)</f>
        <v>345</v>
      </c>
      <c r="L307" s="74"/>
      <c r="M307" s="74"/>
      <c r="Q307" s="74"/>
      <c r="R307" s="74"/>
      <c r="S307" s="73"/>
      <c r="T307" s="73"/>
      <c r="U307" s="73"/>
      <c r="V307" s="73"/>
      <c r="W307" s="73"/>
      <c r="X307" s="73"/>
      <c r="Y307" s="73"/>
      <c r="Z307" s="73"/>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N307" s="93"/>
      <c r="BO307" s="93"/>
      <c r="BP307" s="93"/>
      <c r="BQ307" s="93"/>
    </row>
    <row r="308" spans="1:69" s="71" customFormat="1" x14ac:dyDescent="0.2">
      <c r="A308" s="121" t="s">
        <v>199</v>
      </c>
      <c r="B308" s="107">
        <f t="array" aca="1" ref="B308" ca="1">_xll.GetPrice("FP-LBR-1418","Actual","Low",_LATESTvarPubDate)</f>
        <v>3330</v>
      </c>
      <c r="C308" s="107">
        <f t="array" aca="1" ref="C308" ca="1">_xll.GetPrice("FP-LBR-1423","Actual","Low",_LATESTvarPubDate)</f>
        <v>2715</v>
      </c>
      <c r="D308" s="107">
        <f t="array" aca="1" ref="D308" ca="1">_xll.GetPrice("FP-LBR-1428","Actual","Low",_LATESTvarPubDate)</f>
        <v>965</v>
      </c>
      <c r="E308" s="107">
        <f t="array" aca="1" ref="E308" ca="1">_xll.GetPrice("FP-LBR-1433","Actual","Low",_LATESTvarPubDate)</f>
        <v>515</v>
      </c>
      <c r="F308" s="107">
        <f t="array" aca="1" ref="F308" ca="1">_xll.GetPrice("FP-LBR-1438","Actual","Low",_LATESTvarPubDate)</f>
        <v>335</v>
      </c>
      <c r="H308" s="121" t="s">
        <v>199</v>
      </c>
      <c r="I308" s="107">
        <f t="array" aca="1" ref="I308" ca="1">_xll.GetPrice("FP-LBR-1513","Actual","Low",_LATESTvarPubDate)</f>
        <v>960</v>
      </c>
      <c r="J308" s="107">
        <f t="array" aca="1" ref="J308" ca="1">_xll.GetPrice("FP-LBR-1518","Actual","Low",_LATESTvarPubDate)</f>
        <v>615</v>
      </c>
      <c r="K308" s="107">
        <f t="array" aca="1" ref="K308" ca="1">_xll.GetPrice("FP-LBR-1523","Actual","Low",_LATESTvarPubDate)</f>
        <v>340</v>
      </c>
      <c r="L308" s="74"/>
      <c r="M308" s="74"/>
      <c r="Q308" s="74"/>
      <c r="R308" s="74"/>
      <c r="S308" s="73"/>
      <c r="T308" s="73"/>
      <c r="U308" s="73"/>
      <c r="V308" s="73"/>
      <c r="W308" s="73"/>
      <c r="X308" s="73"/>
      <c r="Y308" s="73"/>
      <c r="Z308" s="73"/>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N308" s="93"/>
      <c r="BO308" s="93"/>
      <c r="BP308" s="93"/>
      <c r="BQ308" s="93"/>
    </row>
    <row r="309" spans="1:69" s="71" customFormat="1" x14ac:dyDescent="0.2">
      <c r="A309" s="121" t="s">
        <v>200</v>
      </c>
      <c r="B309" s="107">
        <f t="array" aca="1" ref="B309" ca="1">_xll.GetPrice("FP-LBR-1419","Actual","Low",_LATESTvarPubDate)</f>
        <v>2935</v>
      </c>
      <c r="C309" s="107">
        <f t="array" aca="1" ref="C309" ca="1">_xll.GetPrice("FP-LBR-1424","Actual","Low",_LATESTvarPubDate)</f>
        <v>2450</v>
      </c>
      <c r="D309" s="107">
        <f t="array" aca="1" ref="D309" ca="1">_xll.GetPrice("FP-LBR-1429","Actual","Low",_LATESTvarPubDate)</f>
        <v>675</v>
      </c>
      <c r="E309" s="107">
        <f t="array" aca="1" ref="E309" ca="1">_xll.GetPrice("FP-LBR-1434","Actual","Low",_LATESTvarPubDate)</f>
        <v>450</v>
      </c>
      <c r="F309" s="107">
        <f t="array" aca="1" ref="F309" ca="1">_xll.GetPrice("FP-LBR-1439","Actual","Low",_LATESTvarPubDate)</f>
        <v>275</v>
      </c>
      <c r="H309" s="121" t="s">
        <v>200</v>
      </c>
      <c r="I309" s="107">
        <f t="array" aca="1" ref="I309" ca="1">_xll.GetPrice("FP-LBR-1514","Actual","Low",_LATESTvarPubDate)</f>
        <v>940</v>
      </c>
      <c r="J309" s="107">
        <f t="array" aca="1" ref="J309" ca="1">_xll.GetPrice("FP-LBR-1519","Actual","Low",_LATESTvarPubDate)</f>
        <v>580</v>
      </c>
      <c r="K309" s="107">
        <f t="array" aca="1" ref="K309" ca="1">_xll.GetPrice("FP-LBR-1524","Actual","Low",_LATESTvarPubDate)</f>
        <v>275</v>
      </c>
      <c r="L309" s="74"/>
      <c r="M309" s="74"/>
      <c r="Q309" s="74"/>
      <c r="R309" s="74"/>
      <c r="S309" s="73"/>
      <c r="T309" s="73"/>
      <c r="U309" s="73"/>
      <c r="V309" s="73"/>
      <c r="W309" s="73"/>
      <c r="X309" s="73"/>
      <c r="Y309" s="73"/>
      <c r="Z309" s="73"/>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N309" s="93"/>
      <c r="BO309" s="93"/>
      <c r="BP309" s="93"/>
      <c r="BQ309" s="93"/>
    </row>
    <row r="310" spans="1:69" s="71" customFormat="1" x14ac:dyDescent="0.2">
      <c r="A310" s="121" t="s">
        <v>201</v>
      </c>
      <c r="B310" s="107">
        <f t="array" aca="1" ref="B310" ca="1">_xll.GetPrice("FP-LBR-1420","Actual","Low",_LATESTvarPubDate)</f>
        <v>3160</v>
      </c>
      <c r="C310" s="107">
        <f t="array" aca="1" ref="C310" ca="1">_xll.GetPrice("FP-LBR-1425","Actual","Low",_LATESTvarPubDate)</f>
        <v>2500</v>
      </c>
      <c r="D310" s="107">
        <f t="array" aca="1" ref="D310" ca="1">_xll.GetPrice("FP-LBR-1430","Actual","Low",_LATESTvarPubDate)</f>
        <v>505</v>
      </c>
      <c r="E310" s="107">
        <f t="array" aca="1" ref="E310" ca="1">_xll.GetPrice("FP-LBR-1435","Actual","Low",_LATESTvarPubDate)</f>
        <v>410</v>
      </c>
      <c r="F310" s="107">
        <f t="array" aca="1" ref="F310" ca="1">_xll.GetPrice("FP-LBR-1440","Actual","Low",_LATESTvarPubDate)</f>
        <v>260</v>
      </c>
      <c r="H310" s="121" t="s">
        <v>201</v>
      </c>
      <c r="I310" s="107">
        <f t="array" aca="1" ref="I310" ca="1">_xll.GetPrice("FP-LBR-1515","Actual","Low",_LATESTvarPubDate)</f>
        <v>760</v>
      </c>
      <c r="J310" s="107">
        <f t="array" aca="1" ref="J310" ca="1">_xll.GetPrice("FP-LBR-1520","Actual","Low",_LATESTvarPubDate)</f>
        <v>550</v>
      </c>
      <c r="K310" s="107">
        <f t="array" aca="1" ref="K310" ca="1">_xll.GetPrice("FP-LBR-1525","Actual","Low",_LATESTvarPubDate)</f>
        <v>260</v>
      </c>
      <c r="L310" s="74"/>
      <c r="M310" s="74"/>
      <c r="Q310" s="74"/>
      <c r="R310" s="74"/>
      <c r="S310" s="73"/>
      <c r="T310" s="73"/>
      <c r="U310" s="73"/>
      <c r="V310" s="73"/>
      <c r="W310" s="73"/>
      <c r="X310" s="73"/>
      <c r="Y310" s="73"/>
      <c r="Z310" s="73"/>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N310" s="93"/>
      <c r="BO310" s="93"/>
      <c r="BP310" s="93"/>
      <c r="BQ310" s="93"/>
    </row>
    <row r="311" spans="1:69" s="71" customFormat="1" x14ac:dyDescent="0.2">
      <c r="A311" s="121" t="s">
        <v>202</v>
      </c>
      <c r="B311" s="107">
        <f t="array" aca="1" ref="B311" ca="1">_xll.GetPrice("FP-LBR-1421","Actual","Low",_LATESTvarPubDate)</f>
        <v>3200</v>
      </c>
      <c r="C311" s="107">
        <f t="array" aca="1" ref="C311" ca="1">_xll.GetPrice("FP-LBR-1426","Actual","Low",_LATESTvarPubDate)</f>
        <v>2700</v>
      </c>
      <c r="D311" s="107">
        <f t="array" aca="1" ref="D311" ca="1">_xll.GetPrice("FP-LBR-1431","Actual","Low",_LATESTvarPubDate)</f>
        <v>900</v>
      </c>
      <c r="E311" s="107">
        <f t="array" aca="1" ref="E311" ca="1">_xll.GetPrice("FP-LBR-1436","Actual","Low",_LATESTvarPubDate)</f>
        <v>645</v>
      </c>
      <c r="F311" s="107">
        <f t="array" aca="1" ref="F311" ca="1">_xll.GetPrice("FP-LBR-1441","Actual","Low",_LATESTvarPubDate)</f>
        <v>330</v>
      </c>
      <c r="H311" s="121" t="s">
        <v>202</v>
      </c>
      <c r="I311" s="107">
        <f t="array" aca="1" ref="I311" ca="1">_xll.GetPrice("FP-LBR-1516","Actual","Low",_LATESTvarPubDate)</f>
        <v>1165</v>
      </c>
      <c r="J311" s="107">
        <f t="array" aca="1" ref="J311" ca="1">_xll.GetPrice("FP-LBR-1521","Actual","Low",_LATESTvarPubDate)</f>
        <v>775</v>
      </c>
      <c r="K311" s="107">
        <f t="array" aca="1" ref="K311" ca="1">_xll.GetPrice("FP-LBR-1526","Actual","Low",_LATESTvarPubDate)</f>
        <v>330</v>
      </c>
      <c r="L311" s="74"/>
      <c r="M311" s="74"/>
      <c r="Q311" s="74"/>
      <c r="R311" s="74"/>
      <c r="S311" s="73"/>
      <c r="T311" s="73"/>
      <c r="U311" s="73"/>
      <c r="V311" s="73"/>
      <c r="W311" s="73"/>
      <c r="X311" s="73"/>
      <c r="Y311" s="73"/>
      <c r="Z311" s="73"/>
      <c r="AA311" s="74"/>
      <c r="AB311" s="7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N311" s="93"/>
      <c r="BO311" s="93"/>
      <c r="BP311" s="93"/>
      <c r="BQ311" s="93"/>
    </row>
    <row r="312" spans="1:69" s="71" customFormat="1" x14ac:dyDescent="0.2">
      <c r="A312" s="73"/>
      <c r="B312" s="73"/>
      <c r="C312" s="73"/>
      <c r="D312" s="73"/>
      <c r="E312" s="73"/>
      <c r="F312" s="73"/>
      <c r="G312" s="73"/>
      <c r="L312" s="73"/>
      <c r="M312" s="74"/>
      <c r="Q312" s="74"/>
      <c r="R312" s="74"/>
      <c r="S312" s="73"/>
      <c r="T312" s="73"/>
      <c r="U312" s="73"/>
      <c r="V312" s="73"/>
      <c r="W312" s="73"/>
      <c r="X312" s="73"/>
      <c r="Y312" s="73"/>
      <c r="Z312" s="73"/>
      <c r="AA312" s="74"/>
      <c r="AB312" s="7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N312" s="93"/>
      <c r="BO312" s="93"/>
      <c r="BP312" s="93"/>
      <c r="BQ312" s="93"/>
    </row>
    <row r="313" spans="1:69" s="71" customFormat="1" x14ac:dyDescent="0.2">
      <c r="A313" s="104" t="s">
        <v>203</v>
      </c>
      <c r="D313" s="74"/>
      <c r="E313" s="74"/>
      <c r="F313" s="74"/>
      <c r="H313" s="74"/>
      <c r="I313" s="74"/>
      <c r="J313" s="74"/>
      <c r="M313" s="73"/>
      <c r="Q313" s="73"/>
      <c r="R313" s="73"/>
      <c r="S313" s="73"/>
      <c r="T313" s="73"/>
      <c r="U313" s="73"/>
      <c r="V313" s="73"/>
      <c r="W313" s="73"/>
      <c r="X313" s="73"/>
      <c r="Y313" s="73"/>
      <c r="Z313" s="73"/>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N313" s="93"/>
      <c r="BO313" s="93"/>
      <c r="BP313" s="93"/>
      <c r="BQ313" s="93"/>
    </row>
    <row r="314" spans="1:69" s="71" customFormat="1" x14ac:dyDescent="0.2">
      <c r="A314" s="103"/>
      <c r="B314" s="98" t="s">
        <v>191</v>
      </c>
      <c r="C314" s="98" t="s">
        <v>192</v>
      </c>
      <c r="D314" s="98" t="s">
        <v>90</v>
      </c>
      <c r="E314" s="98" t="s">
        <v>193</v>
      </c>
      <c r="F314" s="98" t="s">
        <v>194</v>
      </c>
      <c r="H314" s="74"/>
      <c r="I314" s="74"/>
      <c r="J314" s="74"/>
      <c r="R314" s="73"/>
      <c r="S314" s="73"/>
      <c r="T314" s="73"/>
      <c r="U314" s="73"/>
      <c r="V314" s="73"/>
      <c r="W314" s="73"/>
      <c r="X314" s="73"/>
      <c r="Y314" s="73"/>
      <c r="Z314" s="73"/>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N314" s="93"/>
      <c r="BO314" s="93"/>
      <c r="BP314" s="93"/>
      <c r="BQ314" s="93"/>
    </row>
    <row r="315" spans="1:69" s="71" customFormat="1" x14ac:dyDescent="0.2">
      <c r="A315" s="121" t="s">
        <v>198</v>
      </c>
      <c r="B315" s="107">
        <f t="array" aca="1" ref="B315" ca="1">_xll.GetPrice("FP-LBR-1442","Actual","Low",_LATESTvarPubDate)</f>
        <v>2300</v>
      </c>
      <c r="C315" s="107">
        <f t="array" aca="1" ref="C315" ca="1">_xll.GetPrice("FP-LBR-1447","Actual","Low",_LATESTvarPubDate)</f>
        <v>1800</v>
      </c>
      <c r="D315" s="107">
        <f t="array" aca="1" ref="D315" ca="1">_xll.GetPrice("FP-LBR-1452","Actual","Low",_LATESTvarPubDate)</f>
        <v>700</v>
      </c>
      <c r="E315" s="107">
        <f t="array" aca="1" ref="E315" ca="1">_xll.GetPrice("FP-LBR-1457","Actual","Low",_LATESTvarPubDate)</f>
        <v>500</v>
      </c>
      <c r="F315" s="107">
        <f t="array" aca="1" ref="F315" ca="1">_xll.GetPrice("FP-LBR-1462","Actual","Low",_LATESTvarPubDate)</f>
        <v>305</v>
      </c>
      <c r="R315" s="73"/>
      <c r="S315" s="73"/>
      <c r="T315" s="73"/>
      <c r="U315" s="73"/>
      <c r="V315" s="73"/>
      <c r="W315" s="73"/>
      <c r="X315" s="73"/>
      <c r="Y315" s="73"/>
      <c r="Z315" s="73"/>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N315" s="93"/>
      <c r="BO315" s="93"/>
      <c r="BP315" s="93"/>
      <c r="BQ315" s="93"/>
    </row>
    <row r="316" spans="1:69" s="71" customFormat="1" x14ac:dyDescent="0.2">
      <c r="A316" s="121" t="s">
        <v>199</v>
      </c>
      <c r="B316" s="107">
        <f t="array" aca="1" ref="B316" ca="1">_xll.GetPrice("FP-LBR-1443","Actual","Low",_LATESTvarPubDate)</f>
        <v>2150</v>
      </c>
      <c r="C316" s="107">
        <f t="array" aca="1" ref="C316" ca="1">_xll.GetPrice("FP-LBR-1448","Actual","Low",_LATESTvarPubDate)</f>
        <v>1600</v>
      </c>
      <c r="D316" s="107">
        <f t="array" aca="1" ref="D316" ca="1">_xll.GetPrice("FP-LBR-1453","Actual","Low",_LATESTvarPubDate)</f>
        <v>950</v>
      </c>
      <c r="E316" s="107">
        <f t="array" aca="1" ref="E316" ca="1">_xll.GetPrice("FP-LBR-1458","Actual","Low",_LATESTvarPubDate)</f>
        <v>300</v>
      </c>
      <c r="F316" s="107">
        <f t="array" aca="1" ref="F316" ca="1">_xll.GetPrice("FP-LBR-1463","Actual","Low",_LATESTvarPubDate)</f>
        <v>185</v>
      </c>
      <c r="G316" s="73"/>
      <c r="R316" s="73"/>
      <c r="S316" s="73"/>
      <c r="T316" s="73"/>
      <c r="U316" s="73"/>
      <c r="V316" s="73"/>
      <c r="W316" s="73"/>
      <c r="X316" s="73"/>
      <c r="Y316" s="73"/>
      <c r="Z316" s="73"/>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N316" s="93"/>
      <c r="BO316" s="93"/>
      <c r="BP316" s="93"/>
      <c r="BQ316" s="93"/>
    </row>
    <row r="317" spans="1:69" s="71" customFormat="1" x14ac:dyDescent="0.2">
      <c r="A317" s="121" t="s">
        <v>200</v>
      </c>
      <c r="B317" s="107">
        <f t="array" aca="1" ref="B317" ca="1">_xll.GetPrice("FP-LBR-1444","Actual","Low",_LATESTvarPubDate)</f>
        <v>2150</v>
      </c>
      <c r="C317" s="107">
        <f t="array" aca="1" ref="C317" ca="1">_xll.GetPrice("FP-LBR-1449","Actual","Low",_LATESTvarPubDate)</f>
        <v>1600</v>
      </c>
      <c r="D317" s="107">
        <f t="array" aca="1" ref="D317" ca="1">_xll.GetPrice("FP-LBR-1454","Actual","Low",_LATESTvarPubDate)</f>
        <v>630</v>
      </c>
      <c r="E317" s="107">
        <f t="array" aca="1" ref="E317" ca="1">_xll.GetPrice("FP-LBR-1459","Actual","Low",_LATESTvarPubDate)</f>
        <v>300</v>
      </c>
      <c r="F317" s="107">
        <f t="array" aca="1" ref="F317" ca="1">_xll.GetPrice("FP-LBR-1464","Actual","Low",_LATESTvarPubDate)</f>
        <v>200</v>
      </c>
      <c r="G317" s="73"/>
      <c r="H317" s="96" t="s">
        <v>204</v>
      </c>
      <c r="R317" s="73"/>
      <c r="S317" s="73"/>
      <c r="T317" s="73"/>
      <c r="U317" s="73"/>
      <c r="V317" s="73"/>
      <c r="W317" s="73"/>
      <c r="X317" s="73"/>
      <c r="Y317" s="73"/>
      <c r="Z317" s="73"/>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N317" s="93"/>
      <c r="BO317" s="93"/>
      <c r="BP317" s="93"/>
      <c r="BQ317" s="93"/>
    </row>
    <row r="318" spans="1:69" s="71" customFormat="1" x14ac:dyDescent="0.2">
      <c r="A318" s="121" t="s">
        <v>201</v>
      </c>
      <c r="B318" s="107">
        <f t="array" aca="1" ref="B318" ca="1">_xll.GetPrice("FP-LBR-1445","Actual","Low",_LATESTvarPubDate)</f>
        <v>2150</v>
      </c>
      <c r="C318" s="107">
        <f t="array" aca="1" ref="C318" ca="1">_xll.GetPrice("FP-LBR-1450","Actual","Low",_LATESTvarPubDate)</f>
        <v>1600</v>
      </c>
      <c r="D318" s="107">
        <f t="array" aca="1" ref="D318" ca="1">_xll.GetPrice("FP-LBR-1455","Actual","Low",_LATESTvarPubDate)</f>
        <v>375</v>
      </c>
      <c r="E318" s="107">
        <f t="array" aca="1" ref="E318" ca="1">_xll.GetPrice("FP-LBR-1460","Actual","Low",_LATESTvarPubDate)</f>
        <v>290</v>
      </c>
      <c r="F318" s="107">
        <f t="array" aca="1" ref="F318" ca="1">_xll.GetPrice("FP-LBR-1465","Actual","Low",_LATESTvarPubDate)</f>
        <v>200</v>
      </c>
      <c r="I318" s="98" t="s">
        <v>205</v>
      </c>
      <c r="J318" s="98" t="s">
        <v>206</v>
      </c>
      <c r="K318" s="98" t="s">
        <v>196</v>
      </c>
      <c r="L318" s="98" t="s">
        <v>207</v>
      </c>
      <c r="R318" s="73"/>
      <c r="S318" s="73"/>
      <c r="T318" s="73"/>
      <c r="U318" s="73"/>
      <c r="V318" s="73"/>
      <c r="W318" s="73"/>
      <c r="X318" s="73"/>
      <c r="Y318" s="73"/>
      <c r="Z318" s="73"/>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N318" s="93"/>
      <c r="BO318" s="93"/>
      <c r="BP318" s="93"/>
      <c r="BQ318" s="93"/>
    </row>
    <row r="319" spans="1:69" s="71" customFormat="1" x14ac:dyDescent="0.2">
      <c r="A319" s="121" t="s">
        <v>202</v>
      </c>
      <c r="B319" s="107">
        <f t="array" aca="1" ref="B319" ca="1">_xll.GetPrice("FP-LBR-1446","Actual","Low",_LATESTvarPubDate)</f>
        <v>2150</v>
      </c>
      <c r="C319" s="107">
        <f t="array" aca="1" ref="C319" ca="1">_xll.GetPrice("FP-LBR-1451","Actual","Low",_LATESTvarPubDate)</f>
        <v>1600</v>
      </c>
      <c r="D319" s="107">
        <f t="array" aca="1" ref="D319" ca="1">_xll.GetPrice("FP-LBR-1456","Actual","Low",_LATESTvarPubDate)</f>
        <v>700</v>
      </c>
      <c r="E319" s="107">
        <f t="array" aca="1" ref="E319" ca="1">_xll.GetPrice("FP-LBR-1461","Actual","Low",_LATESTvarPubDate)</f>
        <v>400</v>
      </c>
      <c r="F319" s="107">
        <f t="array" aca="1" ref="F319" ca="1">_xll.GetPrice("FP-LBR-1466","Actual","Low",_LATESTvarPubDate)</f>
        <v>225</v>
      </c>
      <c r="H319" s="121" t="s">
        <v>198</v>
      </c>
      <c r="I319" s="107">
        <f t="array" aca="1" ref="I319" ca="1">_xll.GetPrice("FP-LBR-1587","Actual","Low",_LATESTvarPubDate)</f>
        <v>1790</v>
      </c>
      <c r="J319" s="107">
        <f t="array" aca="1" ref="J319" ca="1">_xll.GetPrice("FP-LBR-1592","Actual","Low",_LATESTvarPubDate)</f>
        <v>1500</v>
      </c>
      <c r="K319" s="107">
        <f t="array" aca="1" ref="K319" ca="1">_xll.GetPrice("FP-LBR-1597","Actual","Low",_LATESTvarPubDate)</f>
        <v>850</v>
      </c>
      <c r="L319" s="107">
        <f t="array" aca="1" ref="L319" ca="1">_xll.GetPrice("FP-LBR-1602","Actual","Low",_LATESTvarPubDate)</f>
        <v>530</v>
      </c>
      <c r="M319" s="73"/>
      <c r="R319" s="73"/>
      <c r="S319" s="73"/>
      <c r="T319" s="73"/>
      <c r="U319" s="73"/>
      <c r="V319" s="73"/>
      <c r="W319" s="73"/>
      <c r="X319" s="73"/>
      <c r="Y319" s="73"/>
      <c r="Z319" s="73"/>
      <c r="AA319" s="74"/>
      <c r="AB319" s="7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N319" s="93"/>
      <c r="BO319" s="93"/>
      <c r="BP319" s="93"/>
      <c r="BQ319" s="93"/>
    </row>
    <row r="320" spans="1:69" s="71" customFormat="1" x14ac:dyDescent="0.2">
      <c r="A320" s="73"/>
      <c r="B320" s="73"/>
      <c r="C320" s="73"/>
      <c r="D320" s="73"/>
      <c r="E320" s="73"/>
      <c r="F320" s="73"/>
      <c r="H320" s="121" t="s">
        <v>199</v>
      </c>
      <c r="I320" s="107">
        <f t="array" aca="1" ref="I320" ca="1">_xll.GetPrice("FP-LBR-1588","Actual","Low",_LATESTvarPubDate)</f>
        <v>2000</v>
      </c>
      <c r="J320" s="107">
        <f t="array" aca="1" ref="J320" ca="1">_xll.GetPrice("FP-LBR-1593","Actual","Low",_LATESTvarPubDate)</f>
        <v>1600</v>
      </c>
      <c r="K320" s="107">
        <f t="array" aca="1" ref="K320" ca="1">_xll.GetPrice("FP-LBR-1598","Actual","Low",_LATESTvarPubDate)</f>
        <v>1060</v>
      </c>
      <c r="L320" s="107">
        <f t="array" aca="1" ref="L320" ca="1">_xll.GetPrice("FP-LBR-1603","Actual","Low",_LATESTvarPubDate)</f>
        <v>540</v>
      </c>
      <c r="M320" s="73"/>
      <c r="R320" s="73"/>
      <c r="S320" s="73"/>
      <c r="T320" s="73"/>
      <c r="U320" s="73"/>
      <c r="V320" s="73"/>
      <c r="W320" s="73"/>
      <c r="X320" s="73"/>
      <c r="Y320" s="73"/>
      <c r="Z320" s="73"/>
      <c r="AA320" s="74"/>
      <c r="AB320" s="7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N320" s="93"/>
      <c r="BO320" s="93"/>
      <c r="BP320" s="93"/>
      <c r="BQ320" s="93"/>
    </row>
    <row r="321" spans="1:69" s="71" customFormat="1" x14ac:dyDescent="0.2">
      <c r="A321" s="115" t="s">
        <v>208</v>
      </c>
      <c r="B321" s="73"/>
      <c r="C321" s="73"/>
      <c r="D321" s="73"/>
      <c r="E321" s="73"/>
      <c r="F321" s="73"/>
      <c r="H321" s="121" t="s">
        <v>200</v>
      </c>
      <c r="I321" s="107">
        <f t="array" aca="1" ref="I321" ca="1">_xll.GetPrice("FP-LBR-1589","Actual","Low",_LATESTvarPubDate)</f>
        <v>1935</v>
      </c>
      <c r="J321" s="107">
        <f t="array" aca="1" ref="J321" ca="1">_xll.GetPrice("FP-LBR-1594","Actual","Low",_LATESTvarPubDate)</f>
        <v>1585</v>
      </c>
      <c r="K321" s="107">
        <f t="array" aca="1" ref="K321" ca="1">_xll.GetPrice("FP-LBR-1599","Actual","Low",_LATESTvarPubDate)</f>
        <v>1210</v>
      </c>
      <c r="L321" s="107">
        <f t="array" aca="1" ref="L321" ca="1">_xll.GetPrice("FP-LBR-1604","Actual","Low",_LATESTvarPubDate)</f>
        <v>500</v>
      </c>
      <c r="R321" s="73"/>
      <c r="S321" s="73"/>
      <c r="T321" s="73"/>
      <c r="U321" s="73"/>
      <c r="V321" s="73"/>
      <c r="W321" s="73"/>
      <c r="X321" s="73"/>
      <c r="Y321" s="73"/>
      <c r="Z321" s="73"/>
      <c r="AA321" s="74"/>
      <c r="AB321" s="7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N321" s="93"/>
      <c r="BO321" s="93"/>
      <c r="BP321" s="93"/>
      <c r="BQ321" s="93"/>
    </row>
    <row r="322" spans="1:69" s="71" customFormat="1" x14ac:dyDescent="0.2">
      <c r="A322" s="73"/>
      <c r="B322" s="98" t="s">
        <v>191</v>
      </c>
      <c r="C322" s="98" t="s">
        <v>192</v>
      </c>
      <c r="D322" s="98" t="s">
        <v>90</v>
      </c>
      <c r="E322" s="98" t="s">
        <v>193</v>
      </c>
      <c r="F322" s="98" t="s">
        <v>194</v>
      </c>
      <c r="H322" s="121" t="s">
        <v>201</v>
      </c>
      <c r="I322" s="107">
        <f t="array" aca="1" ref="I322" ca="1">_xll.GetPrice("FP-LBR-1590","Actual","Low",_LATESTvarPubDate)</f>
        <v>2000</v>
      </c>
      <c r="J322" s="107">
        <f t="array" aca="1" ref="J322" ca="1">_xll.GetPrice("FP-LBR-1595","Actual","Low",_LATESTvarPubDate)</f>
        <v>1400</v>
      </c>
      <c r="K322" s="107">
        <f t="array" aca="1" ref="K322" ca="1">_xll.GetPrice("FP-LBR-1600","Actual","Low",_LATESTvarPubDate)</f>
        <v>1060</v>
      </c>
      <c r="L322" s="107">
        <f t="array" aca="1" ref="L322" ca="1">_xll.GetPrice("FP-LBR-1605","Actual","Low",_LATESTvarPubDate)</f>
        <v>495</v>
      </c>
      <c r="Q322" s="73"/>
      <c r="R322" s="73"/>
      <c r="S322" s="73"/>
      <c r="T322" s="73"/>
      <c r="U322" s="73"/>
      <c r="V322" s="73"/>
      <c r="W322" s="73"/>
      <c r="X322" s="73"/>
      <c r="Y322" s="73"/>
      <c r="Z322" s="73"/>
      <c r="AA322" s="74"/>
      <c r="AB322" s="7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N322" s="93"/>
      <c r="BO322" s="93"/>
      <c r="BP322" s="93"/>
      <c r="BQ322" s="93"/>
    </row>
    <row r="323" spans="1:69" s="71" customFormat="1" x14ac:dyDescent="0.2">
      <c r="A323" s="121" t="s">
        <v>198</v>
      </c>
      <c r="B323" s="107">
        <f t="array" aca="1" ref="B323" ca="1">_xll.GetPrice("FP-LBR-1467","Actual","Low",_LATESTvarPubDate)</f>
        <v>2300</v>
      </c>
      <c r="C323" s="107">
        <f t="array" aca="1" ref="C323" ca="1">_xll.GetPrice("FP-LBR-1472","Actual","Low",_LATESTvarPubDate)</f>
        <v>1800</v>
      </c>
      <c r="D323" s="107">
        <f t="array" aca="1" ref="D323" ca="1">_xll.GetPrice("FP-LBR-1477","Actual","Low",_LATESTvarPubDate)</f>
        <v>750</v>
      </c>
      <c r="E323" s="107">
        <f t="array" aca="1" ref="E323" ca="1">_xll.GetPrice("FP-LBR-1482","Actual","Low",_LATESTvarPubDate)</f>
        <v>510</v>
      </c>
      <c r="F323" s="107">
        <f t="array" aca="1" ref="F323" ca="1">_xll.GetPrice("FP-LBR-1487","Actual","Low",_LATESTvarPubDate)</f>
        <v>305</v>
      </c>
      <c r="G323" s="73"/>
      <c r="H323" s="121" t="s">
        <v>202</v>
      </c>
      <c r="I323" s="107">
        <f t="array" aca="1" ref="I323" ca="1">_xll.GetPrice("FP-LBR-1591","Actual","Low",_LATESTvarPubDate)</f>
        <v>2225</v>
      </c>
      <c r="J323" s="107">
        <f t="array" aca="1" ref="J323" ca="1">_xll.GetPrice("FP-LBR-1596","Actual","Low",_LATESTvarPubDate)</f>
        <v>1465</v>
      </c>
      <c r="K323" s="107">
        <f t="array" aca="1" ref="K323" ca="1">_xll.GetPrice("FP-LBR-1601","Actual","Low",_LATESTvarPubDate)</f>
        <v>1180</v>
      </c>
      <c r="L323" s="107">
        <f t="array" aca="1" ref="L323" ca="1">_xll.GetPrice("FP-LBR-1606","Actual","Low",_LATESTvarPubDate)</f>
        <v>530</v>
      </c>
      <c r="Q323" s="73"/>
      <c r="R323" s="73"/>
      <c r="S323" s="73"/>
      <c r="T323" s="73"/>
      <c r="U323" s="73"/>
      <c r="V323" s="73"/>
      <c r="W323" s="73"/>
      <c r="X323" s="73"/>
      <c r="Y323" s="73"/>
      <c r="Z323" s="73"/>
      <c r="AA323" s="74"/>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N323" s="93"/>
      <c r="BO323" s="93"/>
      <c r="BP323" s="93"/>
      <c r="BQ323" s="93"/>
    </row>
    <row r="324" spans="1:69" s="71" customFormat="1" x14ac:dyDescent="0.2">
      <c r="A324" s="121" t="s">
        <v>199</v>
      </c>
      <c r="B324" s="107">
        <f t="array" aca="1" ref="B324" ca="1">_xll.GetPrice("FP-LBR-1468","Actual","Low",_LATESTvarPubDate)</f>
        <v>2150</v>
      </c>
      <c r="C324" s="107">
        <f t="array" aca="1" ref="C324" ca="1">_xll.GetPrice("FP-LBR-1473","Actual","Low",_LATESTvarPubDate)</f>
        <v>1600</v>
      </c>
      <c r="D324" s="107">
        <f t="array" aca="1" ref="D324" ca="1">_xll.GetPrice("FP-LBR-1478","Actual","Low",_LATESTvarPubDate)</f>
        <v>1000</v>
      </c>
      <c r="E324" s="107">
        <f t="array" aca="1" ref="E324" ca="1">_xll.GetPrice("FP-LBR-1483","Actual","Low",_LATESTvarPubDate)</f>
        <v>315</v>
      </c>
      <c r="F324" s="107">
        <f t="array" aca="1" ref="F324" ca="1">_xll.GetPrice("FP-LBR-1488","Actual","Low",_LATESTvarPubDate)</f>
        <v>185</v>
      </c>
      <c r="G324" s="73"/>
      <c r="Q324" s="73"/>
      <c r="R324" s="73"/>
      <c r="S324" s="73"/>
      <c r="T324" s="73"/>
      <c r="U324" s="73"/>
      <c r="V324" s="73"/>
      <c r="W324" s="73"/>
      <c r="X324" s="73"/>
      <c r="Y324" s="73"/>
      <c r="Z324" s="73"/>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N324" s="93"/>
      <c r="BO324" s="93"/>
      <c r="BP324" s="93"/>
      <c r="BQ324" s="93"/>
    </row>
    <row r="325" spans="1:69" s="71" customFormat="1" x14ac:dyDescent="0.2">
      <c r="A325" s="121" t="s">
        <v>200</v>
      </c>
      <c r="B325" s="107">
        <f t="array" aca="1" ref="B325" ca="1">_xll.GetPrice("FP-LBR-1469","Actual","Low",_LATESTvarPubDate)</f>
        <v>2150</v>
      </c>
      <c r="C325" s="107">
        <f t="array" aca="1" ref="C325" ca="1">_xll.GetPrice("FP-LBR-1474","Actual","Low",_LATESTvarPubDate)</f>
        <v>1600</v>
      </c>
      <c r="D325" s="107">
        <f t="array" aca="1" ref="D325" ca="1">_xll.GetPrice("FP-LBR-1479","Actual","Low",_LATESTvarPubDate)</f>
        <v>680</v>
      </c>
      <c r="E325" s="107">
        <f t="array" aca="1" ref="E325" ca="1">_xll.GetPrice("FP-LBR-1484","Actual","Low",_LATESTvarPubDate)</f>
        <v>310</v>
      </c>
      <c r="F325" s="107">
        <f t="array" aca="1" ref="F325" ca="1">_xll.GetPrice("FP-LBR-1489","Actual","Low",_LATESTvarPubDate)</f>
        <v>200</v>
      </c>
      <c r="G325" s="73"/>
      <c r="R325" s="73"/>
      <c r="S325" s="73"/>
      <c r="T325" s="73"/>
      <c r="U325" s="73"/>
      <c r="V325" s="73"/>
      <c r="W325" s="73"/>
      <c r="X325" s="73"/>
      <c r="Y325" s="73"/>
      <c r="Z325" s="73"/>
      <c r="AA325" s="74"/>
      <c r="AB325" s="7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N325" s="93"/>
      <c r="BO325" s="93"/>
      <c r="BP325" s="93"/>
      <c r="BQ325" s="93"/>
    </row>
    <row r="326" spans="1:69" s="71" customFormat="1" x14ac:dyDescent="0.2">
      <c r="A326" s="121" t="s">
        <v>201</v>
      </c>
      <c r="B326" s="107">
        <f t="array" aca="1" ref="B326" ca="1">_xll.GetPrice("FP-LBR-1470","Actual","Low",_LATESTvarPubDate)</f>
        <v>2150</v>
      </c>
      <c r="C326" s="107">
        <f t="array" aca="1" ref="C326" ca="1">_xll.GetPrice("FP-LBR-1475","Actual","Low",_LATESTvarPubDate)</f>
        <v>1600</v>
      </c>
      <c r="D326" s="107">
        <f t="array" aca="1" ref="D326" ca="1">_xll.GetPrice("FP-LBR-1480","Actual","Low",_LATESTvarPubDate)</f>
        <v>425</v>
      </c>
      <c r="E326" s="107">
        <f t="array" aca="1" ref="E326" ca="1">_xll.GetPrice("FP-LBR-1485","Actual","Low",_LATESTvarPubDate)</f>
        <v>300</v>
      </c>
      <c r="F326" s="107">
        <f t="array" aca="1" ref="F326" ca="1">_xll.GetPrice("FP-LBR-1490","Actual","Low",_LATESTvarPubDate)</f>
        <v>200</v>
      </c>
      <c r="R326" s="73"/>
      <c r="S326" s="73"/>
      <c r="T326" s="73"/>
      <c r="U326" s="73"/>
      <c r="V326" s="73"/>
      <c r="W326" s="73"/>
      <c r="X326" s="73"/>
      <c r="Y326" s="73"/>
      <c r="Z326" s="73"/>
      <c r="AA326" s="74"/>
      <c r="AB326" s="7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N326" s="93"/>
      <c r="BO326" s="93"/>
      <c r="BP326" s="93"/>
      <c r="BQ326" s="93"/>
    </row>
    <row r="327" spans="1:69" s="71" customFormat="1" x14ac:dyDescent="0.2">
      <c r="A327" s="121" t="s">
        <v>202</v>
      </c>
      <c r="B327" s="107">
        <f t="array" aca="1" ref="B327" ca="1">_xll.GetPrice("FP-LBR-1471","Actual","Low",_LATESTvarPubDate)</f>
        <v>2150</v>
      </c>
      <c r="C327" s="107">
        <f t="array" aca="1" ref="C327" ca="1">_xll.GetPrice("FP-LBR-1476","Actual","Low",_LATESTvarPubDate)</f>
        <v>1600</v>
      </c>
      <c r="D327" s="107">
        <f t="array" aca="1" ref="D327" ca="1">_xll.GetPrice("FP-LBR-1481","Actual","Low",_LATESTvarPubDate)</f>
        <v>850</v>
      </c>
      <c r="E327" s="107">
        <f t="array" aca="1" ref="E327" ca="1">_xll.GetPrice("FP-LBR-1486","Actual","Low",_LATESTvarPubDate)</f>
        <v>425</v>
      </c>
      <c r="F327" s="107">
        <f t="array" aca="1" ref="F327" ca="1">_xll.GetPrice("FP-LBR-1491","Actual","Low",_LATESTvarPubDate)</f>
        <v>225</v>
      </c>
      <c r="H327" s="96" t="s">
        <v>209</v>
      </c>
      <c r="M327" s="73"/>
      <c r="Q327" s="73"/>
      <c r="R327" s="73"/>
      <c r="S327" s="73"/>
      <c r="T327" s="73"/>
      <c r="U327" s="73"/>
      <c r="V327" s="73"/>
      <c r="W327" s="73"/>
      <c r="X327" s="73"/>
      <c r="Y327" s="73"/>
      <c r="Z327" s="73"/>
      <c r="AA327" s="74"/>
      <c r="AB327" s="7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N327" s="93"/>
      <c r="BO327" s="93"/>
      <c r="BP327" s="93"/>
      <c r="BQ327" s="93"/>
    </row>
    <row r="328" spans="1:69" s="71" customFormat="1" x14ac:dyDescent="0.2">
      <c r="I328" s="101" t="s">
        <v>191</v>
      </c>
      <c r="J328" s="101" t="s">
        <v>192</v>
      </c>
      <c r="K328" s="101" t="s">
        <v>210</v>
      </c>
      <c r="L328" s="101" t="s">
        <v>193</v>
      </c>
      <c r="Q328" s="73"/>
      <c r="R328" s="73"/>
      <c r="S328" s="73"/>
      <c r="T328" s="73"/>
      <c r="U328" s="73"/>
      <c r="V328" s="73"/>
      <c r="W328" s="73"/>
      <c r="X328" s="73"/>
      <c r="Y328" s="73"/>
      <c r="Z328" s="73"/>
      <c r="AA328" s="74"/>
      <c r="AB328" s="7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N328" s="93"/>
      <c r="BO328" s="93"/>
      <c r="BP328" s="93"/>
      <c r="BQ328" s="93"/>
    </row>
    <row r="329" spans="1:69" s="71" customFormat="1" x14ac:dyDescent="0.2">
      <c r="H329" s="121" t="s">
        <v>198</v>
      </c>
      <c r="I329" s="107">
        <f t="array" aca="1" ref="I329" ca="1">_xll.GetPrice("FP-LBR-1547","Actual","Low",_LATESTvarPubDate)</f>
        <v>1070</v>
      </c>
      <c r="J329" s="107">
        <f t="array" aca="1" ref="J329" ca="1">_xll.GetPrice("FP-LBR-1552","Actual","Low",_LATESTvarPubDate)</f>
        <v>850</v>
      </c>
      <c r="K329" s="107">
        <f t="array" aca="1" ref="K329" ca="1">_xll.GetPrice("FP-LBR-1557","Actual","Low",_LATESTvarPubDate)</f>
        <v>675</v>
      </c>
      <c r="L329" s="107">
        <f t="array" aca="1" ref="L329" ca="1">_xll.GetPrice("FP-LBR-1562","Actual","Low",_LATESTvarPubDate)</f>
        <v>590</v>
      </c>
      <c r="M329" s="73"/>
      <c r="R329" s="73"/>
      <c r="W329" s="73"/>
      <c r="X329" s="73"/>
      <c r="Y329" s="73"/>
      <c r="Z329" s="73"/>
      <c r="AA329" s="74"/>
      <c r="AB329" s="7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N329" s="93"/>
      <c r="BO329" s="93"/>
      <c r="BP329" s="93"/>
      <c r="BQ329" s="93"/>
    </row>
    <row r="330" spans="1:69" s="71" customFormat="1" x14ac:dyDescent="0.2">
      <c r="A330" s="96" t="s">
        <v>211</v>
      </c>
      <c r="B330" s="122"/>
      <c r="C330" s="122"/>
      <c r="D330" s="122"/>
      <c r="E330" s="122"/>
      <c r="H330" s="121" t="s">
        <v>199</v>
      </c>
      <c r="I330" s="107">
        <f t="array" aca="1" ref="I330" ca="1">_xll.GetPrice("FP-LBR-1548","Actual","Low",_LATESTvarPubDate)</f>
        <v>1725</v>
      </c>
      <c r="J330" s="107">
        <f t="array" aca="1" ref="J330" ca="1">_xll.GetPrice("FP-LBR-1553","Actual","Low",_LATESTvarPubDate)</f>
        <v>1165</v>
      </c>
      <c r="K330" s="107">
        <f t="array" aca="1" ref="K330" ca="1">_xll.GetPrice("FP-LBR-1558","Actual","Low",_LATESTvarPubDate)</f>
        <v>740</v>
      </c>
      <c r="L330" s="107">
        <f t="array" aca="1" ref="L330" ca="1">_xll.GetPrice("FP-LBR-1563","Actual","Low",_LATESTvarPubDate)</f>
        <v>500</v>
      </c>
      <c r="M330" s="73"/>
      <c r="R330" s="73"/>
      <c r="W330" s="73"/>
      <c r="X330" s="73"/>
      <c r="Y330" s="73"/>
      <c r="Z330" s="73"/>
      <c r="AA330" s="74"/>
      <c r="AB330" s="7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N330" s="93"/>
      <c r="BO330" s="93"/>
      <c r="BP330" s="93"/>
      <c r="BQ330" s="93"/>
    </row>
    <row r="331" spans="1:69" s="71" customFormat="1" x14ac:dyDescent="0.2">
      <c r="A331" s="73"/>
      <c r="B331" s="101" t="s">
        <v>205</v>
      </c>
      <c r="C331" s="101" t="s">
        <v>90</v>
      </c>
      <c r="D331" s="101" t="s">
        <v>193</v>
      </c>
      <c r="E331" s="101" t="s">
        <v>194</v>
      </c>
      <c r="F331" s="74"/>
      <c r="H331" s="121" t="s">
        <v>200</v>
      </c>
      <c r="I331" s="107">
        <f t="array" aca="1" ref="I331" ca="1">_xll.GetPrice("FP-LBR-1549","Actual","Low",_LATESTvarPubDate)</f>
        <v>1505</v>
      </c>
      <c r="J331" s="107">
        <f t="array" aca="1" ref="J331" ca="1">_xll.GetPrice("FP-LBR-1554","Actual","Low",_LATESTvarPubDate)</f>
        <v>1080</v>
      </c>
      <c r="K331" s="107">
        <f t="array" aca="1" ref="K331" ca="1">_xll.GetPrice("FP-LBR-1559","Actual","Low",_LATESTvarPubDate)</f>
        <v>615</v>
      </c>
      <c r="L331" s="107">
        <f t="array" aca="1" ref="L331" ca="1">_xll.GetPrice("FP-LBR-1564","Actual","Low",_LATESTvarPubDate)</f>
        <v>415</v>
      </c>
      <c r="M331" s="73"/>
      <c r="Q331" s="73"/>
      <c r="R331" s="73"/>
      <c r="W331" s="73"/>
      <c r="X331" s="73"/>
      <c r="Y331" s="73"/>
      <c r="Z331" s="73"/>
      <c r="AA331" s="74"/>
      <c r="AB331" s="7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N331" s="93"/>
      <c r="BO331" s="93"/>
      <c r="BP331" s="93"/>
      <c r="BQ331" s="93"/>
    </row>
    <row r="332" spans="1:69" s="71" customFormat="1" x14ac:dyDescent="0.2">
      <c r="A332" s="121" t="s">
        <v>198</v>
      </c>
      <c r="B332" s="107">
        <f t="array" aca="1" ref="B332" ca="1">_xll.GetPrice("FP-LBR-1492","Actual","Low",_LATESTvarPubDate)</f>
        <v>1650</v>
      </c>
      <c r="C332" s="107">
        <f t="array" aca="1" ref="C332" ca="1">_xll.GetPrice("FP-LBR-1497","Actual","Low",_LATESTvarPubDate)</f>
        <v>980</v>
      </c>
      <c r="D332" s="107">
        <f t="array" aca="1" ref="D332" ca="1">_xll.GetPrice("FP-LBR-1502","Actual","Low",_LATESTvarPubDate)</f>
        <v>805</v>
      </c>
      <c r="E332" s="107">
        <f t="array" aca="1" ref="E332" ca="1">_xll.GetPrice("FP-LBR-1507","Actual","Low",_LATESTvarPubDate)</f>
        <v>405</v>
      </c>
      <c r="F332" s="73"/>
      <c r="H332" s="121" t="s">
        <v>201</v>
      </c>
      <c r="I332" s="107">
        <f t="array" aca="1" ref="I332" ca="1">_xll.GetPrice("FP-LBR-1550","Actual","Low",_LATESTvarPubDate)</f>
        <v>1540</v>
      </c>
      <c r="J332" s="107">
        <f t="array" aca="1" ref="J332" ca="1">_xll.GetPrice("FP-LBR-1555","Actual","Low",_LATESTvarPubDate)</f>
        <v>1350</v>
      </c>
      <c r="K332" s="107">
        <f t="array" aca="1" ref="K332" ca="1">_xll.GetPrice("FP-LBR-1560","Actual","Low",_LATESTvarPubDate)</f>
        <v>540</v>
      </c>
      <c r="L332" s="107">
        <f t="array" aca="1" ref="L332" ca="1">_xll.GetPrice("FP-LBR-1565","Actual","Low",_LATESTvarPubDate)</f>
        <v>370</v>
      </c>
      <c r="M332" s="73"/>
      <c r="Q332" s="73"/>
      <c r="R332" s="73"/>
      <c r="W332" s="73"/>
      <c r="X332" s="73"/>
      <c r="Y332" s="73"/>
      <c r="Z332" s="73"/>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N332" s="93"/>
      <c r="BO332" s="93"/>
      <c r="BP332" s="93"/>
      <c r="BQ332" s="93"/>
    </row>
    <row r="333" spans="1:69" s="71" customFormat="1" x14ac:dyDescent="0.2">
      <c r="A333" s="121" t="s">
        <v>199</v>
      </c>
      <c r="B333" s="107">
        <f t="array" aca="1" ref="B333" ca="1">_xll.GetPrice("FP-LBR-1493","Actual","Low",_LATESTvarPubDate)</f>
        <v>1750</v>
      </c>
      <c r="C333" s="107">
        <f t="array" aca="1" ref="C333" ca="1">_xll.GetPrice("FP-LBR-1498","Actual","Low",_LATESTvarPubDate)</f>
        <v>1105</v>
      </c>
      <c r="D333" s="107">
        <f t="array" aca="1" ref="D333" ca="1">_xll.GetPrice("FP-LBR-1503","Actual","Low",_LATESTvarPubDate)</f>
        <v>710</v>
      </c>
      <c r="E333" s="107">
        <f t="array" aca="1" ref="E333" ca="1">_xll.GetPrice("FP-LBR-1508","Actual","Low",_LATESTvarPubDate)</f>
        <v>345</v>
      </c>
      <c r="H333" s="121" t="s">
        <v>202</v>
      </c>
      <c r="I333" s="107">
        <f t="array" aca="1" ref="I333" ca="1">_xll.GetPrice("FP-LBR-1551","Actual","Low",_LATESTvarPubDate)</f>
        <v>1930</v>
      </c>
      <c r="J333" s="107">
        <f t="array" aca="1" ref="J333" ca="1">_xll.GetPrice("FP-LBR-1556","Actual","Low",_LATESTvarPubDate)</f>
        <v>1420</v>
      </c>
      <c r="K333" s="107">
        <f t="array" aca="1" ref="K333" ca="1">_xll.GetPrice("FP-LBR-1561","Actual","Low",_LATESTvarPubDate)</f>
        <v>605</v>
      </c>
      <c r="L333" s="107">
        <f t="array" aca="1" ref="L333" ca="1">_xll.GetPrice("FP-LBR-1566","Actual","Low",_LATESTvarPubDate)</f>
        <v>390</v>
      </c>
      <c r="Q333" s="73"/>
      <c r="R333" s="73"/>
      <c r="W333" s="73"/>
      <c r="X333" s="73"/>
      <c r="Y333" s="73"/>
      <c r="Z333" s="73"/>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N333" s="93"/>
      <c r="BO333" s="93"/>
      <c r="BP333" s="93"/>
      <c r="BQ333" s="93"/>
    </row>
    <row r="334" spans="1:69" s="71" customFormat="1" x14ac:dyDescent="0.2">
      <c r="A334" s="121" t="s">
        <v>200</v>
      </c>
      <c r="B334" s="107">
        <f t="array" aca="1" ref="B334" ca="1">_xll.GetPrice("FP-LBR-1494","Actual","Low",_LATESTvarPubDate)</f>
        <v>1750</v>
      </c>
      <c r="C334" s="107">
        <f t="array" aca="1" ref="C334" ca="1">_xll.GetPrice("FP-LBR-1499","Actual","Low",_LATESTvarPubDate)</f>
        <v>1010</v>
      </c>
      <c r="D334" s="107">
        <f t="array" aca="1" ref="D334" ca="1">_xll.GetPrice("FP-LBR-1504","Actual","Low",_LATESTvarPubDate)</f>
        <v>635</v>
      </c>
      <c r="E334" s="107">
        <f t="array" aca="1" ref="E334" ca="1">_xll.GetPrice("FP-LBR-1509","Actual","Low",_LATESTvarPubDate)</f>
        <v>290</v>
      </c>
      <c r="Q334" s="73"/>
      <c r="R334" s="73"/>
      <c r="S334" s="73"/>
      <c r="T334" s="73"/>
      <c r="U334" s="73"/>
      <c r="V334" s="73"/>
      <c r="W334" s="73"/>
      <c r="X334" s="73"/>
      <c r="Y334" s="73"/>
      <c r="Z334" s="73"/>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N334" s="93"/>
      <c r="BO334" s="93"/>
      <c r="BP334" s="93"/>
      <c r="BQ334" s="93"/>
    </row>
    <row r="335" spans="1:69" s="71" customFormat="1" x14ac:dyDescent="0.2">
      <c r="A335" s="121" t="s">
        <v>201</v>
      </c>
      <c r="B335" s="107">
        <f t="array" aca="1" ref="B335" ca="1">_xll.GetPrice("FP-LBR-1495","Actual","Low",_LATESTvarPubDate)</f>
        <v>1650</v>
      </c>
      <c r="C335" s="107">
        <f t="array" aca="1" ref="C335" ca="1">_xll.GetPrice("FP-LBR-1500","Actual","Low",_LATESTvarPubDate)</f>
        <v>975</v>
      </c>
      <c r="D335" s="107">
        <f t="array" aca="1" ref="D335" ca="1">_xll.GetPrice("FP-LBR-1505","Actual","Low",_LATESTvarPubDate)</f>
        <v>645</v>
      </c>
      <c r="E335" s="107">
        <f t="array" aca="1" ref="E335" ca="1">_xll.GetPrice("FP-LBR-1510","Actual","Low",_LATESTvarPubDate)</f>
        <v>405</v>
      </c>
      <c r="H335" s="123" t="s">
        <v>210</v>
      </c>
      <c r="R335" s="73"/>
      <c r="S335" s="73"/>
      <c r="T335" s="73"/>
      <c r="U335" s="73"/>
      <c r="V335" s="73"/>
      <c r="W335" s="73"/>
      <c r="X335" s="73"/>
      <c r="Y335" s="73"/>
      <c r="Z335" s="73"/>
      <c r="AA335" s="74"/>
      <c r="AB335" s="7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N335" s="93"/>
      <c r="BO335" s="93"/>
      <c r="BP335" s="93"/>
      <c r="BQ335" s="93"/>
    </row>
    <row r="336" spans="1:69" s="71" customFormat="1" x14ac:dyDescent="0.2">
      <c r="A336" s="121" t="s">
        <v>202</v>
      </c>
      <c r="B336" s="107">
        <f t="array" aca="1" ref="B336" ca="1">_xll.GetPrice("FP-LBR-1496","Actual","Low",_LATESTvarPubDate)</f>
        <v>1750</v>
      </c>
      <c r="C336" s="107">
        <f t="array" aca="1" ref="C336" ca="1">_xll.GetPrice("FP-LBR-1501","Actual","Low",_LATESTvarPubDate)</f>
        <v>1180</v>
      </c>
      <c r="D336" s="107">
        <f t="array" aca="1" ref="D336" ca="1">_xll.GetPrice("FP-LBR-1506","Actual","Low",_LATESTvarPubDate)</f>
        <v>740</v>
      </c>
      <c r="E336" s="107">
        <f t="array" aca="1" ref="E336" ca="1">_xll.GetPrice("FP-LBR-1511","Actual","Low",_LATESTvarPubDate)</f>
        <v>335</v>
      </c>
      <c r="H336" s="98" t="s">
        <v>26</v>
      </c>
      <c r="I336" s="101" t="s">
        <v>127</v>
      </c>
      <c r="J336" s="101" t="s">
        <v>128</v>
      </c>
      <c r="K336" s="101" t="s">
        <v>129</v>
      </c>
      <c r="L336" s="101" t="s">
        <v>130</v>
      </c>
      <c r="M336" s="101" t="s">
        <v>131</v>
      </c>
      <c r="R336" s="73"/>
      <c r="S336" s="73"/>
      <c r="T336" s="73"/>
      <c r="U336" s="73"/>
      <c r="V336" s="73"/>
      <c r="W336" s="73"/>
      <c r="X336" s="73"/>
      <c r="Y336" s="73"/>
      <c r="Z336" s="73"/>
      <c r="AA336" s="74"/>
      <c r="AB336" s="7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O336" s="93"/>
      <c r="BP336" s="93"/>
      <c r="BQ336" s="93"/>
    </row>
    <row r="337" spans="1:69" s="71" customFormat="1" x14ac:dyDescent="0.2">
      <c r="H337" s="121" t="s">
        <v>198</v>
      </c>
      <c r="I337" s="107">
        <f t="array" aca="1" ref="I337" ca="1">_xll.GetPrice("FP-LBR-1577","Actual","Low",_LATESTvarPubDate)</f>
        <v>755</v>
      </c>
      <c r="J337" s="107">
        <f t="array" aca="1" ref="J337" ca="1">_xll.GetPrice("FP-LBR-1578","Actual","Low",_LATESTvarPubDate)</f>
        <v>675</v>
      </c>
      <c r="K337" s="107">
        <f t="array" aca="1" ref="K337" ca="1">_xll.GetPrice("FP-LBR-1579","Actual","Low",_LATESTvarPubDate)</f>
        <v>645</v>
      </c>
      <c r="L337" s="107">
        <f t="array" aca="1" ref="L337" ca="1">_xll.GetPrice("FP-LBR-1580","Actual","Low",_LATESTvarPubDate)</f>
        <v>570</v>
      </c>
      <c r="M337" s="107">
        <f t="array" aca="1" ref="M337" ca="1">_xll.GetPrice("FP-LBR-1581","Actual","Low",_LATESTvarPubDate)</f>
        <v>725</v>
      </c>
      <c r="R337" s="73"/>
      <c r="S337" s="73"/>
      <c r="T337" s="73"/>
      <c r="U337" s="73"/>
      <c r="V337" s="73"/>
      <c r="W337" s="73"/>
      <c r="X337" s="73"/>
      <c r="Y337" s="73"/>
      <c r="Z337" s="73"/>
      <c r="AA337" s="74"/>
      <c r="AB337" s="7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Q337" s="93"/>
    </row>
    <row r="338" spans="1:69" s="71" customFormat="1" x14ac:dyDescent="0.2">
      <c r="H338" s="121" t="s">
        <v>199</v>
      </c>
      <c r="I338" s="107">
        <f t="array" aca="1" ref="I338" ca="1">_xll.GetPrice("FP-LBR-1582","Actual","Low",_LATESTvarPubDate)</f>
        <v>685</v>
      </c>
      <c r="J338" s="107">
        <f t="array" aca="1" ref="J338" ca="1">_xll.GetPrice("FP-LBR-1583","Actual","Low",_LATESTvarPubDate)</f>
        <v>695</v>
      </c>
      <c r="K338" s="107">
        <f t="array" aca="1" ref="K338" ca="1">_xll.GetPrice("FP-LBR-1584","Actual","Low",_LATESTvarPubDate)</f>
        <v>760</v>
      </c>
      <c r="L338" s="107">
        <f t="array" aca="1" ref="L338" ca="1">_xll.GetPrice("FP-LBR-1585","Actual","Low",_LATESTvarPubDate)</f>
        <v>675</v>
      </c>
      <c r="M338" s="107">
        <f t="array" aca="1" ref="M338" ca="1">_xll.GetPrice("FP-LBR-1586","Actual","Low",_LATESTvarPubDate)</f>
        <v>870</v>
      </c>
      <c r="Q338" s="74"/>
      <c r="R338" s="73"/>
      <c r="S338" s="73"/>
      <c r="T338" s="73"/>
      <c r="U338" s="73"/>
      <c r="V338" s="73"/>
      <c r="W338" s="73"/>
      <c r="X338" s="73"/>
      <c r="Y338" s="73"/>
      <c r="Z338" s="73"/>
      <c r="AA338" s="74"/>
      <c r="AB338" s="7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Q338" s="93"/>
    </row>
    <row r="339" spans="1:69" s="71" customFormat="1" x14ac:dyDescent="0.2">
      <c r="F339" s="73"/>
      <c r="G339" s="73"/>
      <c r="H339" s="98" t="s">
        <v>28</v>
      </c>
      <c r="I339" s="101"/>
      <c r="J339" s="101"/>
      <c r="K339" s="101"/>
      <c r="L339" s="101"/>
      <c r="M339" s="101"/>
      <c r="Q339" s="74"/>
      <c r="R339" s="73"/>
      <c r="S339" s="73"/>
      <c r="T339" s="73"/>
      <c r="U339" s="73"/>
      <c r="V339" s="73"/>
      <c r="W339" s="73"/>
      <c r="X339" s="73"/>
      <c r="Y339" s="73"/>
      <c r="Z339" s="73"/>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O339" s="93"/>
      <c r="BP339" s="93"/>
      <c r="BQ339" s="93"/>
    </row>
    <row r="340" spans="1:69" s="71" customFormat="1" x14ac:dyDescent="0.2">
      <c r="A340" s="96" t="s">
        <v>212</v>
      </c>
      <c r="F340" s="73"/>
      <c r="H340" s="121" t="s">
        <v>198</v>
      </c>
      <c r="I340" s="107">
        <f t="array" aca="1" ref="I340" ca="1">_xll.GetPrice("FP-LBR-1567","Actual","Low",_LATESTvarPubDate)</f>
        <v>725</v>
      </c>
      <c r="J340" s="107">
        <f t="array" aca="1" ref="J340" ca="1">_xll.GetPrice("FP-LBR-1568","Actual","Low",_LATESTvarPubDate)</f>
        <v>690</v>
      </c>
      <c r="K340" s="107">
        <f t="array" aca="1" ref="K340" ca="1">_xll.GetPrice("FP-LBR-1569","Actual","Low",_LATESTvarPubDate)</f>
        <v>625</v>
      </c>
      <c r="L340" s="107">
        <f t="array" aca="1" ref="L340" ca="1">_xll.GetPrice("FP-LBR-1570","Actual","Low",_LATESTvarPubDate)</f>
        <v>630</v>
      </c>
      <c r="M340" s="107">
        <f t="array" aca="1" ref="M340" ca="1">_xll.GetPrice("FP-LBR-1571","Actual","Low",_LATESTvarPubDate)</f>
        <v>710</v>
      </c>
      <c r="Q340" s="74"/>
      <c r="R340" s="73"/>
      <c r="S340" s="73"/>
      <c r="T340" s="73"/>
      <c r="U340" s="73"/>
      <c r="V340" s="73"/>
      <c r="W340" s="73"/>
      <c r="X340" s="73"/>
      <c r="Y340" s="73"/>
      <c r="Z340" s="73"/>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O340" s="93"/>
      <c r="BP340" s="93"/>
      <c r="BQ340" s="93"/>
    </row>
    <row r="341" spans="1:69" s="71" customFormat="1" x14ac:dyDescent="0.2">
      <c r="A341" s="117"/>
      <c r="B341" s="98" t="s">
        <v>210</v>
      </c>
      <c r="E341" s="74"/>
      <c r="G341" s="73"/>
      <c r="H341" s="121" t="s">
        <v>199</v>
      </c>
      <c r="I341" s="107">
        <f t="array" aca="1" ref="I341" ca="1">_xll.GetPrice("FP-LBR-1572","Actual","Low",_LATESTvarPubDate)</f>
        <v>680</v>
      </c>
      <c r="J341" s="107">
        <f t="array" aca="1" ref="J341" ca="1">_xll.GetPrice("FP-LBR-1573","Actual","Low",_LATESTvarPubDate)</f>
        <v>710</v>
      </c>
      <c r="K341" s="107">
        <f t="array" aca="1" ref="K341" ca="1">_xll.GetPrice("FP-LBR-1574","Actual","Low",_LATESTvarPubDate)</f>
        <v>780</v>
      </c>
      <c r="L341" s="107">
        <f t="array" aca="1" ref="L341" ca="1">_xll.GetPrice("FP-LBR-1575","Actual","Low",_LATESTvarPubDate)</f>
        <v>590</v>
      </c>
      <c r="M341" s="107">
        <f t="array" aca="1" ref="M341" ca="1">_xll.GetPrice("FP-LBR-1576","Actual","Low",_LATESTvarPubDate)</f>
        <v>930</v>
      </c>
      <c r="Q341" s="74"/>
      <c r="R341" s="73"/>
      <c r="S341" s="73"/>
      <c r="T341" s="73"/>
      <c r="U341" s="73"/>
      <c r="V341" s="73"/>
      <c r="W341" s="73"/>
      <c r="X341" s="73"/>
      <c r="Y341" s="73"/>
      <c r="Z341" s="73"/>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I341" s="93"/>
      <c r="BJ341" s="93"/>
      <c r="BK341" s="93"/>
      <c r="BL341" s="93"/>
      <c r="BM341" s="93"/>
      <c r="BN341" s="93"/>
      <c r="BO341" s="93"/>
      <c r="BP341" s="93"/>
      <c r="BQ341" s="93"/>
    </row>
    <row r="342" spans="1:69" s="71" customFormat="1" x14ac:dyDescent="0.2">
      <c r="A342" s="121" t="s">
        <v>198</v>
      </c>
      <c r="B342" s="109">
        <f t="array" aca="1" ref="B342" ca="1">_xll.GetPrice("FP-LBR-0144","Actual","Low",_LATESTvarPubDate)</f>
        <v>880</v>
      </c>
      <c r="C342" s="74"/>
      <c r="D342" s="74"/>
      <c r="E342" s="74"/>
      <c r="G342" s="73"/>
      <c r="Q342" s="74"/>
      <c r="R342" s="73"/>
      <c r="S342" s="73"/>
      <c r="T342" s="73"/>
      <c r="U342" s="73"/>
      <c r="V342" s="73"/>
      <c r="W342" s="73"/>
      <c r="X342" s="73"/>
      <c r="Y342" s="73"/>
      <c r="Z342" s="73"/>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93"/>
      <c r="BB342" s="93"/>
      <c r="BC342" s="93"/>
      <c r="BD342" s="93"/>
      <c r="BE342" s="93"/>
      <c r="BF342" s="93"/>
      <c r="BG342" s="93"/>
      <c r="BH342" s="93"/>
      <c r="BI342" s="93"/>
      <c r="BJ342" s="93"/>
      <c r="BK342" s="93"/>
      <c r="BL342" s="93"/>
      <c r="BM342" s="93"/>
      <c r="BN342" s="93"/>
      <c r="BO342" s="93"/>
      <c r="BP342" s="93"/>
      <c r="BQ342" s="93"/>
    </row>
    <row r="343" spans="1:69" s="71" customFormat="1" x14ac:dyDescent="0.2">
      <c r="A343" s="121" t="s">
        <v>199</v>
      </c>
      <c r="B343" s="109">
        <f t="array" aca="1" ref="B343" ca="1">_xll.GetPrice("FP-LBR-0145","Actual","Low",_LATESTvarPubDate)</f>
        <v>985</v>
      </c>
      <c r="C343" s="74"/>
      <c r="D343" s="74"/>
      <c r="E343" s="74"/>
      <c r="F343" s="73"/>
      <c r="G343" s="73"/>
      <c r="H343" s="123" t="s">
        <v>213</v>
      </c>
      <c r="Q343" s="74"/>
      <c r="T343" s="73"/>
      <c r="U343" s="73"/>
      <c r="V343" s="73"/>
      <c r="W343" s="73"/>
      <c r="X343" s="73"/>
      <c r="Y343" s="73"/>
      <c r="Z343" s="73"/>
      <c r="AA343" s="74"/>
      <c r="AB343" s="7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93"/>
      <c r="BB343" s="93"/>
      <c r="BC343" s="93"/>
      <c r="BD343" s="93"/>
      <c r="BE343" s="93"/>
      <c r="BF343" s="93"/>
      <c r="BG343" s="93"/>
      <c r="BH343" s="93"/>
      <c r="BI343" s="93"/>
      <c r="BJ343" s="93"/>
      <c r="BK343" s="93"/>
      <c r="BL343" s="93"/>
      <c r="BM343" s="93"/>
      <c r="BN343" s="93"/>
      <c r="BO343" s="93"/>
      <c r="BP343" s="93"/>
      <c r="BQ343" s="93"/>
    </row>
    <row r="344" spans="1:69" s="71" customFormat="1" x14ac:dyDescent="0.2">
      <c r="A344" s="121" t="s">
        <v>200</v>
      </c>
      <c r="B344" s="109">
        <f t="array" aca="1" ref="B344" ca="1">_xll.GetPrice("FP-LBR-0146","Actual","Low",_LATESTvarPubDate)</f>
        <v>1165</v>
      </c>
      <c r="C344" s="74"/>
      <c r="D344" s="74"/>
      <c r="E344" s="73"/>
      <c r="F344" s="73"/>
      <c r="G344" s="73"/>
      <c r="H344" s="98" t="s">
        <v>26</v>
      </c>
      <c r="I344" s="101" t="s">
        <v>127</v>
      </c>
      <c r="J344" s="101" t="s">
        <v>128</v>
      </c>
      <c r="K344" s="101" t="s">
        <v>129</v>
      </c>
      <c r="L344" s="101" t="s">
        <v>130</v>
      </c>
      <c r="M344" s="101" t="s">
        <v>131</v>
      </c>
      <c r="Q344" s="74"/>
      <c r="T344" s="73"/>
      <c r="U344" s="73"/>
      <c r="V344" s="73"/>
      <c r="W344" s="73"/>
      <c r="X344" s="73"/>
      <c r="Y344" s="73"/>
      <c r="Z344" s="73"/>
      <c r="AA344" s="74"/>
      <c r="AB344" s="7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93"/>
      <c r="BB344" s="93"/>
      <c r="BC344" s="93"/>
      <c r="BD344" s="93"/>
      <c r="BE344" s="93"/>
      <c r="BF344" s="93"/>
      <c r="BG344" s="93"/>
      <c r="BH344" s="93"/>
      <c r="BI344" s="93"/>
      <c r="BJ344" s="93"/>
      <c r="BK344" s="93"/>
      <c r="BL344" s="93"/>
      <c r="BM344" s="93"/>
      <c r="BN344" s="93"/>
      <c r="BO344" s="93"/>
      <c r="BP344" s="93"/>
      <c r="BQ344" s="93"/>
    </row>
    <row r="345" spans="1:69" s="71" customFormat="1" x14ac:dyDescent="0.2">
      <c r="A345" s="121" t="s">
        <v>201</v>
      </c>
      <c r="B345" s="109">
        <f t="array" aca="1" ref="B345" ca="1">_xll.GetPrice("FP-LBR-0147","Actual","Low",_LATESTvarPubDate)</f>
        <v>1315</v>
      </c>
      <c r="C345" s="73"/>
      <c r="D345" s="73"/>
      <c r="E345" s="74"/>
      <c r="F345" s="74"/>
      <c r="G345" s="73"/>
      <c r="H345" s="121" t="s">
        <v>196</v>
      </c>
      <c r="I345" s="107">
        <f t="array" aca="1" ref="I345" ca="1">_xll.GetPrice("FP-LBR-2174","Actual","Low",_LATESTvarPubDate)</f>
        <v>560</v>
      </c>
      <c r="J345" s="107">
        <f t="array" aca="1" ref="J345" ca="1">_xll.GetPrice("FP-LBR-2175","Actual","Low",_LATESTvarPubDate)</f>
        <v>560</v>
      </c>
      <c r="K345" s="107">
        <f t="array" aca="1" ref="K345" ca="1">_xll.GetPrice("FP-LBR-2176","Actual","Low",_LATESTvarPubDate)</f>
        <v>500</v>
      </c>
      <c r="L345" s="107">
        <f t="array" aca="1" ref="L345" ca="1">_xll.GetPrice("FP-LBR-2177","Actual","Low",_LATESTvarPubDate)</f>
        <v>430</v>
      </c>
      <c r="M345" s="107">
        <f t="array" aca="1" ref="M345" ca="1">_xll.GetPrice("FP-LBR-2178","Actual","Low",_LATESTvarPubDate)</f>
        <v>520</v>
      </c>
      <c r="U345" s="73"/>
      <c r="V345" s="73"/>
      <c r="W345" s="73"/>
      <c r="X345" s="73"/>
      <c r="Y345" s="73"/>
      <c r="Z345" s="73"/>
      <c r="AA345" s="74"/>
      <c r="AB345" s="7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93"/>
      <c r="BB345" s="93"/>
      <c r="BC345" s="93"/>
      <c r="BD345" s="93"/>
      <c r="BE345" s="93"/>
      <c r="BF345" s="93"/>
      <c r="BG345" s="93"/>
      <c r="BH345" s="93"/>
      <c r="BI345" s="93"/>
      <c r="BJ345" s="93"/>
      <c r="BK345" s="93"/>
      <c r="BL345" s="93"/>
      <c r="BM345" s="93"/>
      <c r="BN345" s="93"/>
      <c r="BO345" s="93"/>
      <c r="BP345" s="93"/>
      <c r="BQ345" s="93"/>
    </row>
    <row r="346" spans="1:69" s="71" customFormat="1" x14ac:dyDescent="0.2">
      <c r="A346" s="121" t="s">
        <v>202</v>
      </c>
      <c r="B346" s="109">
        <f t="array" aca="1" ref="B346" ca="1">_xll.GetPrice("FP-LBR-0148","Actual","Low",_LATESTvarPubDate)</f>
        <v>1470</v>
      </c>
      <c r="C346" s="74"/>
      <c r="D346" s="74"/>
      <c r="H346" s="121" t="s">
        <v>206</v>
      </c>
      <c r="I346" s="107">
        <f t="array" aca="1" ref="I346" ca="1">_xll.GetPrice("FP-LBR-2179","Actual","Low",_LATESTvarPubDate)</f>
        <v>585</v>
      </c>
      <c r="J346" s="107">
        <f t="array" aca="1" ref="J346" ca="1">_xll.GetPrice("FP-LBR-2180","Actual","Low",_LATESTvarPubDate)</f>
        <v>590</v>
      </c>
      <c r="K346" s="107">
        <f t="array" aca="1" ref="K346" ca="1">_xll.GetPrice("FP-LBR-2181","Actual","Low",_LATESTvarPubDate)</f>
        <v>570</v>
      </c>
      <c r="L346" s="107">
        <f t="array" aca="1" ref="L346" ca="1">_xll.GetPrice("FP-LBR-2182","Actual","Low",_LATESTvarPubDate)</f>
        <v>480</v>
      </c>
      <c r="M346" s="107">
        <f t="array" aca="1" ref="M346" ca="1">_xll.GetPrice("FP-LBR-2183","Actual","Low",_LATESTvarPubDate)</f>
        <v>645</v>
      </c>
      <c r="U346" s="73"/>
      <c r="V346" s="73"/>
      <c r="W346" s="73"/>
      <c r="X346" s="73"/>
      <c r="Y346" s="73"/>
      <c r="Z346" s="73"/>
      <c r="AA346" s="74"/>
      <c r="AB346" s="7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93"/>
      <c r="BB346" s="93"/>
      <c r="BC346" s="93"/>
      <c r="BD346" s="93"/>
      <c r="BE346" s="93"/>
      <c r="BF346" s="93"/>
      <c r="BG346" s="93"/>
      <c r="BH346" s="93"/>
      <c r="BI346" s="93"/>
      <c r="BJ346" s="93"/>
      <c r="BK346" s="93"/>
      <c r="BL346" s="93"/>
      <c r="BM346" s="93"/>
      <c r="BN346" s="93"/>
      <c r="BO346" s="93"/>
      <c r="BP346" s="93"/>
      <c r="BQ346" s="93"/>
    </row>
    <row r="347" spans="1:69" s="71" customFormat="1" x14ac:dyDescent="0.2">
      <c r="H347" s="98" t="s">
        <v>28</v>
      </c>
      <c r="I347" s="101"/>
      <c r="J347" s="101"/>
      <c r="K347" s="101"/>
      <c r="L347" s="101"/>
      <c r="M347" s="101"/>
      <c r="R347" s="73"/>
      <c r="S347" s="73"/>
      <c r="U347" s="73"/>
      <c r="V347" s="73"/>
      <c r="W347" s="73"/>
      <c r="X347" s="73"/>
      <c r="Y347" s="73"/>
      <c r="Z347" s="73"/>
      <c r="AA347" s="74"/>
      <c r="AB347" s="7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93"/>
      <c r="BB347" s="93"/>
      <c r="BC347" s="93"/>
      <c r="BD347" s="93"/>
      <c r="BE347" s="93"/>
      <c r="BF347" s="93"/>
      <c r="BG347" s="93"/>
      <c r="BH347" s="93"/>
      <c r="BI347" s="93"/>
      <c r="BJ347" s="93"/>
      <c r="BK347" s="93"/>
      <c r="BL347" s="93"/>
      <c r="BM347" s="93"/>
      <c r="BN347" s="93"/>
      <c r="BO347" s="93"/>
      <c r="BP347" s="93"/>
      <c r="BQ347" s="93"/>
    </row>
    <row r="348" spans="1:69" s="71" customFormat="1" x14ac:dyDescent="0.2">
      <c r="A348" s="96" t="s">
        <v>214</v>
      </c>
      <c r="B348" s="73"/>
      <c r="C348" s="73"/>
      <c r="D348" s="73"/>
      <c r="H348" s="121" t="s">
        <v>196</v>
      </c>
      <c r="I348" s="107">
        <f t="array" aca="1" ref="I348" ca="1">_xll.GetPrice("FP-LBR-2164","Actual","Low",_LATESTvarPubDate)</f>
        <v>555</v>
      </c>
      <c r="J348" s="107">
        <f t="array" aca="1" ref="J348" ca="1">_xll.GetPrice("FP-LBR-2165","Actual","Low",_LATESTvarPubDate)</f>
        <v>550</v>
      </c>
      <c r="K348" s="107">
        <f t="array" aca="1" ref="K348" ca="1">_xll.GetPrice("FP-LBR-2166","Actual","Low",_LATESTvarPubDate)</f>
        <v>485</v>
      </c>
      <c r="L348" s="107">
        <f t="array" aca="1" ref="L348" ca="1">_xll.GetPrice("FP-LBR-2167","Actual","Low",_LATESTvarPubDate)</f>
        <v>395</v>
      </c>
      <c r="M348" s="107">
        <f t="array" aca="1" ref="M348" ca="1">_xll.GetPrice("FP-LBR-2168","Actual","Low",_LATESTvarPubDate)</f>
        <v>495</v>
      </c>
      <c r="R348" s="73"/>
      <c r="S348" s="73"/>
      <c r="U348" s="73"/>
      <c r="V348" s="73"/>
      <c r="W348" s="73"/>
      <c r="X348" s="73"/>
      <c r="Y348" s="73"/>
      <c r="Z348" s="73"/>
      <c r="AA348" s="74"/>
      <c r="AB348" s="7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93"/>
      <c r="BB348" s="93"/>
      <c r="BC348" s="93"/>
      <c r="BD348" s="93"/>
      <c r="BE348" s="93"/>
      <c r="BF348" s="93"/>
      <c r="BG348" s="93"/>
      <c r="BH348" s="93"/>
      <c r="BI348" s="93"/>
      <c r="BJ348" s="93"/>
      <c r="BK348" s="93"/>
      <c r="BL348" s="93"/>
      <c r="BM348" s="93"/>
      <c r="BN348" s="93"/>
      <c r="BO348" s="93"/>
      <c r="BP348" s="93"/>
      <c r="BQ348" s="93"/>
    </row>
    <row r="349" spans="1:69" s="71" customFormat="1" x14ac:dyDescent="0.2">
      <c r="A349" s="124" t="s">
        <v>215</v>
      </c>
      <c r="D349" s="125"/>
      <c r="H349" s="121" t="s">
        <v>206</v>
      </c>
      <c r="I349" s="107">
        <f t="array" aca="1" ref="I349" ca="1">_xll.GetPrice("FP-LBR-2169","Actual","Low",_LATESTvarPubDate)</f>
        <v>600</v>
      </c>
      <c r="J349" s="107">
        <f t="array" aca="1" ref="J349" ca="1">_xll.GetPrice("FP-LBR-2170","Actual","Low",_LATESTvarPubDate)</f>
        <v>605</v>
      </c>
      <c r="K349" s="107">
        <f t="array" aca="1" ref="K349" ca="1">_xll.GetPrice("FP-LBR-2171","Actual","Low",_LATESTvarPubDate)</f>
        <v>565</v>
      </c>
      <c r="L349" s="107">
        <f t="array" aca="1" ref="L349" ca="1">_xll.GetPrice("FP-LBR-2172","Actual","Low",_LATESTvarPubDate)</f>
        <v>495</v>
      </c>
      <c r="M349" s="107">
        <f t="array" aca="1" ref="M349" ca="1">_xll.GetPrice("FP-LBR-2173","Actual","Low",_LATESTvarPubDate)</f>
        <v>700</v>
      </c>
      <c r="R349" s="73"/>
      <c r="S349" s="73"/>
      <c r="T349" s="73"/>
      <c r="U349" s="73"/>
      <c r="V349" s="73"/>
      <c r="W349" s="73"/>
      <c r="X349" s="73"/>
      <c r="Y349" s="73"/>
      <c r="Z349" s="73"/>
      <c r="AA349" s="74"/>
      <c r="AB349" s="7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93"/>
      <c r="BB349" s="93"/>
      <c r="BC349" s="93"/>
      <c r="BD349" s="93"/>
      <c r="BE349" s="93"/>
      <c r="BF349" s="93"/>
      <c r="BG349" s="93"/>
      <c r="BH349" s="93"/>
      <c r="BI349" s="93"/>
      <c r="BJ349" s="93"/>
      <c r="BK349" s="93"/>
      <c r="BL349" s="93"/>
      <c r="BM349" s="93"/>
      <c r="BN349" s="93"/>
      <c r="BO349" s="93"/>
      <c r="BP349" s="93"/>
      <c r="BQ349" s="93"/>
    </row>
    <row r="350" spans="1:69" s="71" customFormat="1" x14ac:dyDescent="0.2">
      <c r="B350" s="101" t="s">
        <v>216</v>
      </c>
      <c r="C350" s="101" t="s">
        <v>217</v>
      </c>
      <c r="D350" s="101" t="s">
        <v>127</v>
      </c>
      <c r="R350" s="73"/>
      <c r="S350" s="73"/>
      <c r="T350" s="73"/>
      <c r="U350" s="73"/>
      <c r="V350" s="73"/>
      <c r="W350" s="73"/>
      <c r="X350" s="73"/>
      <c r="Y350" s="73"/>
      <c r="Z350" s="73"/>
      <c r="AA350" s="74"/>
      <c r="AB350" s="7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93"/>
      <c r="BB350" s="93"/>
      <c r="BC350" s="93"/>
      <c r="BD350" s="93"/>
      <c r="BE350" s="93"/>
      <c r="BF350" s="93"/>
      <c r="BG350" s="93"/>
      <c r="BH350" s="93"/>
      <c r="BI350" s="93"/>
      <c r="BJ350" s="93"/>
      <c r="BK350" s="93"/>
      <c r="BL350" s="93"/>
      <c r="BM350" s="93"/>
      <c r="BN350" s="93"/>
      <c r="BO350" s="93"/>
      <c r="BP350" s="93"/>
      <c r="BQ350" s="93"/>
    </row>
    <row r="351" spans="1:69" s="71" customFormat="1" x14ac:dyDescent="0.2">
      <c r="A351" s="121" t="s">
        <v>218</v>
      </c>
      <c r="C351" s="107">
        <f t="array" aca="1" ref="C351" ca="1">_xll.GetPrice("FP-LBR-1299","Actual","Low",_LATESTvarPubDate)</f>
        <v>495</v>
      </c>
      <c r="D351" s="107">
        <f t="array" aca="1" ref="D351" ca="1">_xll.GetPrice("FP-LBR-1301","Actual","Low",_LATESTvarPubDate)</f>
        <v>435</v>
      </c>
      <c r="R351" s="73"/>
      <c r="S351" s="73"/>
      <c r="T351" s="73"/>
      <c r="U351" s="73"/>
      <c r="V351" s="73"/>
      <c r="W351" s="73"/>
      <c r="X351" s="73"/>
      <c r="Y351" s="73"/>
      <c r="Z351" s="73"/>
      <c r="AA351" s="74"/>
      <c r="AB351" s="7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93"/>
      <c r="BB351" s="93"/>
      <c r="BC351" s="93"/>
      <c r="BD351" s="93"/>
      <c r="BE351" s="93"/>
      <c r="BF351" s="93"/>
      <c r="BG351" s="93"/>
      <c r="BH351" s="93"/>
      <c r="BI351" s="93"/>
      <c r="BJ351" s="93"/>
      <c r="BK351" s="93"/>
      <c r="BL351" s="93"/>
      <c r="BM351" s="93"/>
      <c r="BN351" s="93"/>
      <c r="BO351" s="93"/>
      <c r="BP351" s="93"/>
      <c r="BQ351" s="93"/>
    </row>
    <row r="352" spans="1:69" s="71" customFormat="1" x14ac:dyDescent="0.2">
      <c r="A352" s="121" t="s">
        <v>198</v>
      </c>
      <c r="C352" s="107">
        <f t="array" aca="1" ref="C352" ca="1">_xll.GetPrice("FP-LBR-1300","Actual","Low",_LATESTvarPubDate)</f>
        <v>505</v>
      </c>
      <c r="D352" s="107">
        <f t="array" aca="1" ref="D352" ca="1">_xll.GetPrice("FP-LBR-1302","Actual","Low",_LATESTvarPubDate)</f>
        <v>440</v>
      </c>
      <c r="R352" s="73"/>
      <c r="S352" s="73"/>
      <c r="T352" s="73"/>
      <c r="U352" s="73"/>
      <c r="V352" s="73"/>
      <c r="W352" s="73"/>
      <c r="X352" s="73"/>
      <c r="Y352" s="73"/>
      <c r="Z352" s="73"/>
      <c r="AA352" s="74"/>
      <c r="AB352" s="7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93"/>
      <c r="BB352" s="93"/>
      <c r="BC352" s="93"/>
      <c r="BD352" s="93"/>
      <c r="BE352" s="93"/>
      <c r="BF352" s="93"/>
      <c r="BG352" s="93"/>
      <c r="BH352" s="93"/>
      <c r="BI352" s="93"/>
      <c r="BJ352" s="93"/>
      <c r="BK352" s="93"/>
      <c r="BL352" s="93"/>
      <c r="BM352" s="93"/>
      <c r="BN352" s="93"/>
      <c r="BO352" s="93"/>
      <c r="BP352" s="93"/>
      <c r="BQ352" s="93"/>
    </row>
    <row r="353" spans="1:69" s="71" customFormat="1" x14ac:dyDescent="0.2">
      <c r="Q353" s="73"/>
      <c r="R353" s="73"/>
      <c r="S353" s="73"/>
      <c r="T353" s="73"/>
      <c r="U353" s="73"/>
      <c r="V353" s="73"/>
      <c r="W353" s="73"/>
      <c r="X353" s="73"/>
      <c r="Y353" s="73"/>
      <c r="Z353" s="73"/>
      <c r="AA353" s="74"/>
      <c r="AB353" s="7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93"/>
      <c r="BB353" s="93"/>
      <c r="BC353" s="93"/>
      <c r="BD353" s="93"/>
      <c r="BE353" s="93"/>
      <c r="BF353" s="93"/>
      <c r="BG353" s="93"/>
      <c r="BH353" s="93"/>
      <c r="BI353" s="93"/>
      <c r="BJ353" s="93"/>
      <c r="BK353" s="93"/>
      <c r="BL353" s="93"/>
      <c r="BM353" s="93"/>
      <c r="BN353" s="93"/>
      <c r="BO353" s="93"/>
      <c r="BP353" s="93"/>
      <c r="BQ353" s="93"/>
    </row>
    <row r="354" spans="1:69" s="71" customFormat="1" x14ac:dyDescent="0.2">
      <c r="A354" s="115" t="s">
        <v>219</v>
      </c>
      <c r="B354" s="73"/>
      <c r="C354" s="73"/>
      <c r="D354" s="73"/>
      <c r="E354" s="73"/>
      <c r="F354" s="73"/>
      <c r="Q354" s="73"/>
      <c r="R354" s="73"/>
      <c r="S354" s="73"/>
      <c r="T354" s="73"/>
      <c r="U354" s="73"/>
      <c r="V354" s="73"/>
      <c r="W354" s="73"/>
      <c r="X354" s="73"/>
      <c r="Y354" s="73"/>
      <c r="Z354" s="73"/>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93"/>
      <c r="BB354" s="93"/>
      <c r="BC354" s="93"/>
      <c r="BD354" s="93"/>
      <c r="BE354" s="93"/>
      <c r="BF354" s="93"/>
      <c r="BG354" s="93"/>
      <c r="BH354" s="93"/>
      <c r="BI354" s="93"/>
      <c r="BJ354" s="93"/>
      <c r="BK354" s="93"/>
      <c r="BL354" s="93"/>
      <c r="BM354" s="93"/>
      <c r="BN354" s="93"/>
      <c r="BO354" s="93"/>
      <c r="BP354" s="93"/>
      <c r="BQ354" s="93"/>
    </row>
    <row r="355" spans="1:69" s="71" customFormat="1" x14ac:dyDescent="0.2">
      <c r="A355" s="104" t="s">
        <v>220</v>
      </c>
      <c r="D355" s="104" t="s">
        <v>221</v>
      </c>
      <c r="E355" s="126"/>
      <c r="I355" s="104" t="s">
        <v>190</v>
      </c>
      <c r="J355" s="73"/>
      <c r="Q355" s="73"/>
      <c r="R355" s="73"/>
      <c r="S355" s="73"/>
      <c r="T355" s="73"/>
      <c r="U355" s="73"/>
      <c r="V355" s="73"/>
      <c r="W355" s="73"/>
      <c r="X355" s="73"/>
      <c r="Y355" s="73"/>
      <c r="Z355" s="73"/>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93"/>
      <c r="BB355" s="93"/>
      <c r="BC355" s="93"/>
      <c r="BD355" s="93"/>
      <c r="BE355" s="93"/>
      <c r="BF355" s="93"/>
      <c r="BG355" s="93"/>
      <c r="BH355" s="93"/>
      <c r="BI355" s="93"/>
      <c r="BJ355" s="93"/>
      <c r="BK355" s="93"/>
      <c r="BL355" s="93"/>
      <c r="BM355" s="93"/>
      <c r="BN355" s="93"/>
      <c r="BO355" s="93"/>
      <c r="BP355" s="93"/>
      <c r="BQ355" s="93"/>
    </row>
    <row r="356" spans="1:69" s="71" customFormat="1" x14ac:dyDescent="0.2">
      <c r="A356" s="73"/>
      <c r="B356" s="98" t="s">
        <v>222</v>
      </c>
      <c r="C356" s="100"/>
      <c r="D356" s="98" t="s">
        <v>223</v>
      </c>
      <c r="E356" s="118"/>
      <c r="J356" s="73"/>
      <c r="Q356" s="73"/>
      <c r="R356" s="73"/>
      <c r="S356" s="73"/>
      <c r="T356" s="73"/>
      <c r="U356" s="73"/>
      <c r="V356" s="73"/>
      <c r="W356" s="73"/>
      <c r="X356" s="73"/>
      <c r="Y356" s="73"/>
      <c r="Z356" s="73"/>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93"/>
      <c r="BB356" s="93"/>
      <c r="BC356" s="93"/>
      <c r="BD356" s="93"/>
      <c r="BE356" s="93"/>
      <c r="BF356" s="93"/>
      <c r="BG356" s="93"/>
      <c r="BH356" s="93"/>
      <c r="BI356" s="93"/>
      <c r="BJ356" s="93"/>
      <c r="BK356" s="93"/>
      <c r="BL356" s="93"/>
      <c r="BM356" s="93"/>
      <c r="BN356" s="93"/>
      <c r="BO356" s="93"/>
      <c r="BP356" s="93"/>
      <c r="BQ356" s="93"/>
    </row>
    <row r="357" spans="1:69" s="71" customFormat="1" x14ac:dyDescent="0.2">
      <c r="A357" s="74"/>
      <c r="B357" s="98" t="s">
        <v>224</v>
      </c>
      <c r="C357" s="98" t="s">
        <v>225</v>
      </c>
      <c r="D357" s="98" t="s">
        <v>226</v>
      </c>
      <c r="E357" s="98" t="s">
        <v>227</v>
      </c>
      <c r="F357" s="98" t="s">
        <v>228</v>
      </c>
      <c r="G357" s="98" t="s">
        <v>229</v>
      </c>
      <c r="I357" s="74"/>
      <c r="J357" s="98" t="s">
        <v>205</v>
      </c>
      <c r="K357" s="98" t="s">
        <v>230</v>
      </c>
      <c r="L357" s="98" t="s">
        <v>231</v>
      </c>
      <c r="M357" s="98" t="s">
        <v>194</v>
      </c>
      <c r="Q357" s="73"/>
      <c r="R357" s="73"/>
      <c r="S357" s="73"/>
      <c r="T357" s="73"/>
      <c r="U357" s="73"/>
      <c r="V357" s="73"/>
      <c r="W357" s="73"/>
      <c r="X357" s="73"/>
      <c r="Y357" s="73"/>
      <c r="Z357" s="73"/>
      <c r="AA357" s="74"/>
      <c r="AB357" s="7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93"/>
      <c r="BB357" s="93"/>
      <c r="BC357" s="93"/>
      <c r="BD357" s="93"/>
      <c r="BE357" s="93"/>
      <c r="BF357" s="93"/>
      <c r="BG357" s="93"/>
      <c r="BH357" s="93"/>
      <c r="BI357" s="93"/>
      <c r="BJ357" s="93"/>
      <c r="BK357" s="93"/>
      <c r="BL357" s="93"/>
      <c r="BM357" s="93"/>
      <c r="BN357" s="93"/>
      <c r="BO357" s="93"/>
      <c r="BP357" s="93"/>
      <c r="BQ357" s="93"/>
    </row>
    <row r="358" spans="1:69" s="71" customFormat="1" x14ac:dyDescent="0.2">
      <c r="A358" s="121" t="s">
        <v>198</v>
      </c>
      <c r="B358" s="107">
        <f t="array" aca="1" ref="B358" ca="1">_xll.GetPrice("FP-LBR-1797","Actual","Low",_LATESTvarPubDate)</f>
        <v>830</v>
      </c>
      <c r="C358" s="107">
        <f t="array" aca="1" ref="C358" ca="1">_xll.GetPrice("FP-LBR-1802","Actual","Low",_LATESTvarPubDate)</f>
        <v>1160</v>
      </c>
      <c r="D358" s="106" t="s">
        <v>37</v>
      </c>
      <c r="E358" s="106" t="s">
        <v>37</v>
      </c>
      <c r="F358" s="106" t="s">
        <v>37</v>
      </c>
      <c r="G358" s="106" t="s">
        <v>37</v>
      </c>
      <c r="I358" s="121" t="s">
        <v>198</v>
      </c>
      <c r="J358" s="107">
        <f t="array" aca="1" ref="J358" ca="1">_xll.GetPrice("FP-LBR-1527","Actual","Low",_LATESTvarPubDate)</f>
        <v>3090</v>
      </c>
      <c r="K358" s="107">
        <f t="array" aca="1" ref="K358" ca="1">_xll.GetPrice("FP-LBR-1532","Actual","Low",_LATESTvarPubDate)</f>
        <v>1425</v>
      </c>
      <c r="L358" s="107">
        <f t="array" aca="1" ref="L358" ca="1">_xll.GetPrice("FP-LBR-1537","Actual","Low",_LATESTvarPubDate)</f>
        <v>580</v>
      </c>
      <c r="M358" s="107">
        <f t="array" aca="1" ref="M358" ca="1">_xll.GetPrice("FP-LBR-1542","Actual","Low",_LATESTvarPubDate)</f>
        <v>155</v>
      </c>
      <c r="N358" s="74"/>
      <c r="Q358" s="73"/>
      <c r="T358" s="73"/>
      <c r="U358" s="73"/>
      <c r="V358" s="73"/>
      <c r="W358" s="73"/>
      <c r="X358" s="73"/>
      <c r="Y358" s="73"/>
      <c r="Z358" s="73"/>
      <c r="AA358" s="74"/>
      <c r="AB358" s="7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93"/>
      <c r="BB358" s="93"/>
      <c r="BC358" s="93"/>
      <c r="BD358" s="93"/>
      <c r="BE358" s="93"/>
      <c r="BF358" s="93"/>
      <c r="BG358" s="93"/>
      <c r="BH358" s="93"/>
      <c r="BI358" s="93"/>
      <c r="BJ358" s="93"/>
      <c r="BK358" s="93"/>
      <c r="BL358" s="93"/>
      <c r="BM358" s="93"/>
      <c r="BN358" s="93"/>
      <c r="BO358" s="93"/>
      <c r="BP358" s="93"/>
      <c r="BQ358" s="93"/>
    </row>
    <row r="359" spans="1:69" s="71" customFormat="1" x14ac:dyDescent="0.2">
      <c r="A359" s="121" t="s">
        <v>199</v>
      </c>
      <c r="B359" s="107">
        <f t="array" aca="1" ref="B359" ca="1">_xll.GetPrice("FP-LBR-1798","Actual","Low",_LATESTvarPubDate)</f>
        <v>1485</v>
      </c>
      <c r="C359" s="107">
        <f t="array" aca="1" ref="C359" ca="1">_xll.GetPrice("FP-LBR-1803","Actual","Low",_LATESTvarPubDate)</f>
        <v>1795</v>
      </c>
      <c r="D359" s="106" t="s">
        <v>37</v>
      </c>
      <c r="E359" s="106" t="s">
        <v>37</v>
      </c>
      <c r="F359" s="106" t="s">
        <v>37</v>
      </c>
      <c r="G359" s="107">
        <f t="array" aca="1" ref="G359" ca="1">_xll.GetPrice("FP-LBR-1811","Actual","Low",_LATESTvarPubDate)</f>
        <v>2900</v>
      </c>
      <c r="I359" s="121" t="s">
        <v>199</v>
      </c>
      <c r="J359" s="107">
        <f t="array" aca="1" ref="J359" ca="1">_xll.GetPrice("FP-LBR-1528","Actual","Low",_LATESTvarPubDate)</f>
        <v>4210</v>
      </c>
      <c r="K359" s="107">
        <f t="array" aca="1" ref="K359" ca="1">_xll.GetPrice("FP-LBR-1533","Actual","Low",_LATESTvarPubDate)</f>
        <v>2225</v>
      </c>
      <c r="L359" s="107">
        <f t="array" aca="1" ref="L359" ca="1">_xll.GetPrice("FP-LBR-1538","Actual","Low",_LATESTvarPubDate)</f>
        <v>1655</v>
      </c>
      <c r="M359" s="107">
        <f t="array" aca="1" ref="M359" ca="1">_xll.GetPrice("FP-LBR-1543","Actual","Low",_LATESTvarPubDate)</f>
        <v>350</v>
      </c>
      <c r="Q359" s="73"/>
      <c r="T359" s="73"/>
      <c r="U359" s="73"/>
      <c r="V359" s="73"/>
      <c r="W359" s="73"/>
      <c r="X359" s="73"/>
      <c r="Y359" s="73"/>
      <c r="Z359" s="73"/>
      <c r="AA359" s="74"/>
      <c r="AB359" s="7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93"/>
      <c r="BB359" s="93"/>
      <c r="BC359" s="93"/>
      <c r="BD359" s="93"/>
      <c r="BE359" s="93"/>
      <c r="BF359" s="93"/>
      <c r="BG359" s="93"/>
      <c r="BH359" s="93"/>
      <c r="BI359" s="93"/>
      <c r="BJ359" s="93"/>
      <c r="BK359" s="93"/>
      <c r="BL359" s="93"/>
      <c r="BM359" s="93"/>
      <c r="BN359" s="93"/>
      <c r="BO359" s="93"/>
      <c r="BP359" s="93"/>
      <c r="BQ359" s="93"/>
    </row>
    <row r="360" spans="1:69" s="71" customFormat="1" x14ac:dyDescent="0.2">
      <c r="A360" s="121" t="s">
        <v>200</v>
      </c>
      <c r="B360" s="107">
        <f t="array" aca="1" ref="B360" ca="1">_xll.GetPrice("FP-LBR-1799","Actual","Low",_LATESTvarPubDate)</f>
        <v>2470</v>
      </c>
      <c r="C360" s="107">
        <f t="array" aca="1" ref="C360" ca="1">_xll.GetPrice("FP-LBR-1804","Actual","Low",_LATESTvarPubDate)</f>
        <v>2820</v>
      </c>
      <c r="D360" s="107">
        <f t="array" aca="1" ref="D360" ca="1">_xll.GetPrice("FP-LBR-1807","Actual","Low",_LATESTvarPubDate)</f>
        <v>2695</v>
      </c>
      <c r="E360" s="107">
        <f t="array" aca="1" ref="E360" ca="1">_xll.GetPrice("FP-LBR-1808","Actual","Low",_LATESTvarPubDate)</f>
        <v>2195</v>
      </c>
      <c r="F360" s="107">
        <f t="array" aca="1" ref="F360" ca="1">_xll.GetPrice("FP-LBR-1810","Actual","Low",_LATESTvarPubDate)</f>
        <v>2360</v>
      </c>
      <c r="G360" s="106" t="s">
        <v>37</v>
      </c>
      <c r="I360" s="121" t="s">
        <v>200</v>
      </c>
      <c r="J360" s="107">
        <f t="array" aca="1" ref="J360" ca="1">_xll.GetPrice("FP-LBR-1529","Actual","Low",_LATESTvarPubDate)</f>
        <v>4160</v>
      </c>
      <c r="K360" s="107">
        <f t="array" aca="1" ref="K360" ca="1">_xll.GetPrice("FP-LBR-1534","Actual","Low",_LATESTvarPubDate)</f>
        <v>2355</v>
      </c>
      <c r="L360" s="107">
        <f t="array" aca="1" ref="L360" ca="1">_xll.GetPrice("FP-LBR-1539","Actual","Low",_LATESTvarPubDate)</f>
        <v>1950</v>
      </c>
      <c r="M360" s="107">
        <f t="array" aca="1" ref="M360" ca="1">_xll.GetPrice("FP-LBR-1544","Actual","Low",_LATESTvarPubDate)</f>
        <v>320</v>
      </c>
      <c r="Q360" s="73"/>
      <c r="R360" s="73"/>
      <c r="S360" s="73"/>
      <c r="T360" s="73"/>
      <c r="U360" s="73"/>
      <c r="V360" s="73"/>
      <c r="W360" s="73"/>
      <c r="X360" s="73"/>
      <c r="Y360" s="73"/>
      <c r="Z360" s="73"/>
      <c r="AA360" s="74"/>
      <c r="AB360" s="7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93"/>
      <c r="BB360" s="93"/>
      <c r="BC360" s="93"/>
      <c r="BD360" s="93"/>
      <c r="BE360" s="93"/>
      <c r="BF360" s="93"/>
      <c r="BG360" s="93"/>
      <c r="BH360" s="93"/>
      <c r="BI360" s="93"/>
      <c r="BJ360" s="93"/>
      <c r="BK360" s="93"/>
      <c r="BL360" s="93"/>
      <c r="BM360" s="93"/>
      <c r="BN360" s="93"/>
      <c r="BO360" s="93"/>
      <c r="BP360" s="93"/>
      <c r="BQ360" s="93"/>
    </row>
    <row r="361" spans="1:69" s="71" customFormat="1" x14ac:dyDescent="0.2">
      <c r="A361" s="121" t="s">
        <v>201</v>
      </c>
      <c r="B361" s="107">
        <f t="array" aca="1" ref="B361" ca="1">_xll.GetPrice("FP-LBR-1800","Actual","Low",_LATESTvarPubDate)</f>
        <v>2530</v>
      </c>
      <c r="C361" s="107">
        <f t="array" aca="1" ref="C361" ca="1">_xll.GetPrice("FP-LBR-1805","Actual","Low",_LATESTvarPubDate)</f>
        <v>2885</v>
      </c>
      <c r="D361" s="106" t="s">
        <v>37</v>
      </c>
      <c r="E361" s="107">
        <f t="array" aca="1" ref="E361" ca="1">_xll.GetPrice("FP-LBR-1809","Actual","Low",_LATESTvarPubDate)</f>
        <v>2300</v>
      </c>
      <c r="F361" s="106" t="s">
        <v>37</v>
      </c>
      <c r="G361" s="106" t="s">
        <v>37</v>
      </c>
      <c r="I361" s="121" t="s">
        <v>201</v>
      </c>
      <c r="J361" s="107">
        <f t="array" aca="1" ref="J361" ca="1">_xll.GetPrice("FP-LBR-1530","Actual","Low",_LATESTvarPubDate)</f>
        <v>4385</v>
      </c>
      <c r="K361" s="107">
        <f t="array" aca="1" ref="K361" ca="1">_xll.GetPrice("FP-LBR-1535","Actual","Low",_LATESTvarPubDate)</f>
        <v>3960</v>
      </c>
      <c r="L361" s="107">
        <f t="array" aca="1" ref="L361" ca="1">_xll.GetPrice("FP-LBR-1540","Actual","Low",_LATESTvarPubDate)</f>
        <v>2285</v>
      </c>
      <c r="M361" s="107">
        <f t="array" aca="1" ref="M361" ca="1">_xll.GetPrice("FP-LBR-1545","Actual","Low",_LATESTvarPubDate)</f>
        <v>340</v>
      </c>
      <c r="Q361" s="73"/>
      <c r="R361" s="73"/>
      <c r="S361" s="73"/>
      <c r="T361" s="73"/>
      <c r="U361" s="73"/>
      <c r="V361" s="73"/>
      <c r="W361" s="73"/>
      <c r="X361" s="73"/>
      <c r="Y361" s="73"/>
      <c r="Z361" s="73"/>
      <c r="AA361" s="74"/>
      <c r="AB361" s="7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93"/>
      <c r="BB361" s="93"/>
      <c r="BC361" s="93"/>
      <c r="BD361" s="93"/>
      <c r="BE361" s="93"/>
      <c r="BF361" s="93"/>
      <c r="BG361" s="93"/>
      <c r="BH361" s="93"/>
      <c r="BI361" s="93"/>
      <c r="BJ361" s="93"/>
      <c r="BK361" s="93"/>
      <c r="BL361" s="93"/>
      <c r="BM361" s="93"/>
      <c r="BN361" s="93"/>
      <c r="BO361" s="93"/>
      <c r="BP361" s="93"/>
      <c r="BQ361" s="93"/>
    </row>
    <row r="362" spans="1:69" s="71" customFormat="1" x14ac:dyDescent="0.2">
      <c r="A362" s="121" t="s">
        <v>202</v>
      </c>
      <c r="B362" s="107">
        <f t="array" aca="1" ref="B362" ca="1">_xll.GetPrice("FP-LBR-1801","Actual","Low",_LATESTvarPubDate)</f>
        <v>3080</v>
      </c>
      <c r="C362" s="107">
        <f t="array" aca="1" ref="C362" ca="1">_xll.GetPrice("FP-LBR-1806","Actual","Low",_LATESTvarPubDate)</f>
        <v>3570</v>
      </c>
      <c r="D362" s="106" t="s">
        <v>37</v>
      </c>
      <c r="E362" s="106" t="s">
        <v>37</v>
      </c>
      <c r="F362" s="106" t="s">
        <v>37</v>
      </c>
      <c r="G362" s="106" t="s">
        <v>37</v>
      </c>
      <c r="I362" s="121" t="s">
        <v>202</v>
      </c>
      <c r="J362" s="107">
        <f t="array" aca="1" ref="J362" ca="1">_xll.GetPrice("FP-LBR-1531","Actual","Low",_LATESTvarPubDate)</f>
        <v>4885</v>
      </c>
      <c r="K362" s="107">
        <f t="array" aca="1" ref="K362" ca="1">_xll.GetPrice("FP-LBR-1536","Actual","Low",_LATESTvarPubDate)</f>
        <v>4645</v>
      </c>
      <c r="L362" s="107">
        <f t="array" aca="1" ref="L362" ca="1">_xll.GetPrice("FP-LBR-1541","Actual","Low",_LATESTvarPubDate)</f>
        <v>2730</v>
      </c>
      <c r="M362" s="107">
        <f t="array" aca="1" ref="M362" ca="1">_xll.GetPrice("FP-LBR-1546","Actual","Low",_LATESTvarPubDate)</f>
        <v>435</v>
      </c>
      <c r="U362" s="73"/>
      <c r="V362" s="73"/>
      <c r="W362" s="73"/>
      <c r="X362" s="73"/>
      <c r="Y362" s="73"/>
      <c r="Z362" s="73"/>
      <c r="AA362" s="74"/>
      <c r="AB362" s="7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93"/>
      <c r="BB362" s="93"/>
      <c r="BC362" s="93"/>
      <c r="BD362" s="93"/>
      <c r="BE362" s="93"/>
      <c r="BF362" s="93"/>
      <c r="BG362" s="93"/>
      <c r="BH362" s="93"/>
      <c r="BI362" s="93"/>
      <c r="BJ362" s="93"/>
      <c r="BK362" s="93"/>
      <c r="BL362" s="93"/>
      <c r="BM362" s="93"/>
      <c r="BN362" s="93"/>
      <c r="BO362" s="93"/>
      <c r="BP362" s="93"/>
      <c r="BQ362" s="93"/>
    </row>
    <row r="363" spans="1:69" s="71" customFormat="1" x14ac:dyDescent="0.2">
      <c r="A363" s="110" t="s">
        <v>232</v>
      </c>
      <c r="B363" s="73"/>
      <c r="C363" s="107">
        <f t="array" aca="1" ref="C363" ca="1">_xll.GetPrice("FP-LBR-1812","Actual","Low",_LATESTvarPubDate)</f>
        <v>2565</v>
      </c>
      <c r="D363" s="73"/>
      <c r="E363" s="73"/>
      <c r="G363" s="73"/>
      <c r="H363" s="73"/>
      <c r="U363" s="73"/>
      <c r="V363" s="73"/>
      <c r="W363" s="73"/>
      <c r="X363" s="73"/>
      <c r="Y363" s="73"/>
      <c r="Z363" s="73"/>
      <c r="AA363" s="74"/>
      <c r="AB363" s="7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93"/>
      <c r="BB363" s="93"/>
      <c r="BC363" s="93"/>
      <c r="BD363" s="93"/>
      <c r="BE363" s="93"/>
      <c r="BF363" s="93"/>
      <c r="BG363" s="93"/>
      <c r="BH363" s="93"/>
      <c r="BI363" s="93"/>
      <c r="BJ363" s="93"/>
      <c r="BK363" s="93"/>
      <c r="BL363" s="93"/>
      <c r="BM363" s="93"/>
      <c r="BN363" s="93"/>
      <c r="BO363" s="93"/>
      <c r="BP363" s="93"/>
      <c r="BQ363" s="93"/>
    </row>
    <row r="364" spans="1:69" s="71" customFormat="1" x14ac:dyDescent="0.2">
      <c r="A364" s="110" t="s">
        <v>233</v>
      </c>
      <c r="C364" s="107">
        <f t="array" aca="1" ref="C364" ca="1">_xll.GetPrice("FP-LBR-1813","Actual","Low",_LATESTvarPubDate)</f>
        <v>3025</v>
      </c>
      <c r="D364" s="73"/>
      <c r="E364" s="73"/>
      <c r="G364" s="73"/>
      <c r="U364" s="73"/>
      <c r="V364" s="73"/>
      <c r="W364" s="73"/>
      <c r="X364" s="73"/>
      <c r="Y364" s="73"/>
      <c r="Z364" s="73"/>
      <c r="AA364" s="74"/>
      <c r="AB364" s="7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93"/>
      <c r="BB364" s="93"/>
      <c r="BC364" s="93"/>
      <c r="BD364" s="93"/>
      <c r="BE364" s="93"/>
      <c r="BF364" s="93"/>
      <c r="BG364" s="93"/>
      <c r="BH364" s="93"/>
      <c r="BI364" s="93"/>
      <c r="BJ364" s="93"/>
      <c r="BK364" s="93"/>
      <c r="BL364" s="93"/>
      <c r="BM364" s="93"/>
      <c r="BN364" s="93"/>
      <c r="BO364" s="93"/>
      <c r="BP364" s="93"/>
      <c r="BQ364" s="93"/>
    </row>
    <row r="365" spans="1:69" s="71" customFormat="1" x14ac:dyDescent="0.2">
      <c r="U365" s="73"/>
      <c r="V365" s="73"/>
      <c r="W365" s="73"/>
      <c r="X365" s="73"/>
      <c r="Y365" s="73"/>
      <c r="Z365" s="73"/>
      <c r="AA365" s="74"/>
      <c r="AB365" s="7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93"/>
      <c r="BB365" s="93"/>
      <c r="BC365" s="93"/>
      <c r="BD365" s="93"/>
      <c r="BE365" s="93"/>
      <c r="BF365" s="93"/>
      <c r="BG365" s="93"/>
      <c r="BH365" s="93"/>
      <c r="BI365" s="93"/>
      <c r="BJ365" s="93"/>
      <c r="BK365" s="93"/>
      <c r="BL365" s="93"/>
      <c r="BM365" s="93"/>
      <c r="BN365" s="93"/>
      <c r="BO365" s="93"/>
      <c r="BP365" s="93"/>
      <c r="BQ365" s="93"/>
    </row>
    <row r="366" spans="1:69" s="71" customFormat="1" x14ac:dyDescent="0.2">
      <c r="O366" s="73"/>
      <c r="U366" s="73"/>
      <c r="V366" s="73"/>
      <c r="W366" s="73"/>
      <c r="X366" s="73"/>
      <c r="Y366" s="73"/>
      <c r="Z366" s="73"/>
      <c r="AA366" s="74"/>
      <c r="AB366" s="7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93"/>
      <c r="BB366" s="93"/>
      <c r="BC366" s="93"/>
      <c r="BD366" s="93"/>
      <c r="BE366" s="93"/>
      <c r="BF366" s="93"/>
      <c r="BG366" s="93"/>
      <c r="BH366" s="93"/>
      <c r="BI366" s="93"/>
      <c r="BJ366" s="93"/>
      <c r="BK366" s="93"/>
      <c r="BL366" s="93"/>
      <c r="BM366" s="93"/>
      <c r="BN366" s="93"/>
      <c r="BO366" s="93"/>
      <c r="BP366" s="93"/>
      <c r="BQ366" s="93"/>
    </row>
    <row r="367" spans="1:69" s="71" customFormat="1" x14ac:dyDescent="0.2">
      <c r="M367" s="73"/>
      <c r="N367" s="73"/>
      <c r="O367" s="73"/>
      <c r="Q367" s="73"/>
      <c r="R367" s="73"/>
      <c r="S367" s="73"/>
      <c r="T367" s="73"/>
      <c r="U367" s="73"/>
      <c r="V367" s="73"/>
      <c r="W367" s="73"/>
      <c r="X367" s="73"/>
      <c r="Y367" s="73"/>
      <c r="Z367" s="73"/>
      <c r="AA367" s="74"/>
      <c r="AB367" s="7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93"/>
      <c r="BB367" s="93"/>
      <c r="BC367" s="93"/>
      <c r="BD367" s="93"/>
      <c r="BE367" s="93"/>
      <c r="BF367" s="93"/>
      <c r="BG367" s="93"/>
      <c r="BH367" s="93"/>
      <c r="BI367" s="93"/>
      <c r="BJ367" s="93"/>
      <c r="BK367" s="93"/>
      <c r="BL367" s="93"/>
      <c r="BM367" s="93"/>
      <c r="BN367" s="93"/>
      <c r="BO367" s="93"/>
      <c r="BP367" s="93"/>
      <c r="BQ367" s="93"/>
    </row>
    <row r="368" spans="1:69" s="71" customFormat="1" x14ac:dyDescent="0.2">
      <c r="P368" s="73"/>
      <c r="Q368" s="73"/>
      <c r="R368" s="73"/>
      <c r="S368" s="73"/>
      <c r="T368" s="73"/>
      <c r="U368" s="73"/>
      <c r="V368" s="73"/>
      <c r="W368" s="73"/>
      <c r="X368" s="73"/>
      <c r="Y368" s="73"/>
      <c r="Z368" s="73"/>
      <c r="AA368" s="74"/>
      <c r="AB368" s="7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93"/>
      <c r="BB368" s="93"/>
      <c r="BC368" s="93"/>
      <c r="BD368" s="93"/>
      <c r="BE368" s="93"/>
      <c r="BF368" s="93"/>
      <c r="BG368" s="93"/>
      <c r="BH368" s="93"/>
      <c r="BI368" s="93"/>
      <c r="BJ368" s="93"/>
      <c r="BK368" s="93"/>
      <c r="BL368" s="93"/>
      <c r="BM368" s="93"/>
      <c r="BN368" s="93"/>
      <c r="BO368" s="93"/>
      <c r="BP368" s="93"/>
      <c r="BQ368" s="93"/>
    </row>
    <row r="369" spans="1:69" s="71" customFormat="1" x14ac:dyDescent="0.2">
      <c r="M369" s="73"/>
      <c r="N369" s="73"/>
      <c r="O369" s="73"/>
      <c r="S369" s="73"/>
      <c r="T369" s="73"/>
      <c r="U369" s="73"/>
      <c r="V369" s="73"/>
      <c r="W369" s="73"/>
      <c r="X369" s="73"/>
      <c r="Y369" s="73"/>
      <c r="Z369" s="73"/>
      <c r="AA369" s="74"/>
      <c r="AB369" s="7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93"/>
      <c r="BB369" s="93"/>
      <c r="BC369" s="93"/>
      <c r="BD369" s="93"/>
      <c r="BE369" s="93"/>
      <c r="BF369" s="93"/>
      <c r="BG369" s="93"/>
      <c r="BH369" s="93"/>
      <c r="BI369" s="93"/>
      <c r="BJ369" s="93"/>
      <c r="BK369" s="93"/>
      <c r="BL369" s="93"/>
      <c r="BM369" s="93"/>
      <c r="BN369" s="93"/>
      <c r="BO369" s="93"/>
      <c r="BP369" s="93"/>
      <c r="BQ369" s="93"/>
    </row>
    <row r="370" spans="1:69" s="71" customFormat="1" x14ac:dyDescent="0.2">
      <c r="M370" s="73"/>
      <c r="N370" s="73"/>
      <c r="O370" s="73"/>
      <c r="P370" s="73"/>
      <c r="Q370" s="73"/>
      <c r="R370" s="73"/>
      <c r="S370" s="73"/>
      <c r="T370" s="73"/>
      <c r="U370" s="73"/>
      <c r="V370" s="73"/>
      <c r="W370" s="73"/>
      <c r="X370" s="73"/>
      <c r="Y370" s="73"/>
      <c r="Z370" s="73"/>
      <c r="AA370" s="74"/>
      <c r="AB370" s="7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93"/>
      <c r="BB370" s="93"/>
      <c r="BC370" s="93"/>
      <c r="BD370" s="93"/>
      <c r="BE370" s="93"/>
      <c r="BF370" s="93"/>
      <c r="BG370" s="93"/>
      <c r="BH370" s="93"/>
      <c r="BI370" s="93"/>
      <c r="BJ370" s="93"/>
      <c r="BK370" s="93"/>
      <c r="BL370" s="93"/>
      <c r="BM370" s="93"/>
      <c r="BN370" s="93"/>
      <c r="BO370" s="93"/>
      <c r="BP370" s="93"/>
      <c r="BQ370" s="93"/>
    </row>
    <row r="371" spans="1:69" s="71" customFormat="1" x14ac:dyDescent="0.2">
      <c r="M371" s="73"/>
      <c r="N371" s="73"/>
      <c r="O371" s="73"/>
      <c r="P371" s="73"/>
      <c r="Q371" s="73"/>
      <c r="R371" s="73"/>
      <c r="S371" s="73"/>
      <c r="T371" s="73"/>
      <c r="U371" s="73"/>
      <c r="V371" s="73"/>
      <c r="W371" s="73"/>
      <c r="X371" s="73"/>
      <c r="Y371" s="73"/>
      <c r="Z371" s="73"/>
      <c r="AA371" s="74"/>
      <c r="AB371" s="7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93"/>
      <c r="BB371" s="93"/>
      <c r="BC371" s="93"/>
      <c r="BD371" s="93"/>
      <c r="BE371" s="93"/>
      <c r="BF371" s="93"/>
      <c r="BG371" s="93"/>
      <c r="BH371" s="93"/>
      <c r="BI371" s="93"/>
      <c r="BJ371" s="93"/>
      <c r="BK371" s="93"/>
      <c r="BL371" s="93"/>
      <c r="BM371" s="93"/>
      <c r="BN371" s="93"/>
      <c r="BO371" s="93"/>
      <c r="BP371" s="93"/>
      <c r="BQ371" s="93"/>
    </row>
    <row r="372" spans="1:69" s="71" customFormat="1" x14ac:dyDescent="0.2">
      <c r="M372" s="73"/>
      <c r="N372" s="73"/>
      <c r="O372" s="73"/>
      <c r="P372" s="73"/>
      <c r="Q372" s="73"/>
      <c r="R372" s="73"/>
      <c r="S372" s="73"/>
      <c r="T372" s="73"/>
      <c r="U372" s="73"/>
      <c r="V372" s="73"/>
      <c r="W372" s="73"/>
      <c r="X372" s="73"/>
      <c r="Y372" s="73"/>
      <c r="Z372" s="73"/>
      <c r="AA372" s="74"/>
      <c r="AB372" s="7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93"/>
      <c r="BB372" s="93"/>
      <c r="BC372" s="93"/>
      <c r="BD372" s="93"/>
      <c r="BE372" s="93"/>
      <c r="BF372" s="93"/>
      <c r="BG372" s="93"/>
      <c r="BH372" s="93"/>
      <c r="BI372" s="93"/>
      <c r="BJ372" s="93"/>
      <c r="BK372" s="93"/>
      <c r="BL372" s="93"/>
      <c r="BM372" s="93"/>
      <c r="BN372" s="93"/>
      <c r="BO372" s="93"/>
      <c r="BP372" s="93"/>
      <c r="BQ372" s="93"/>
    </row>
    <row r="373" spans="1:69" s="71" customFormat="1" x14ac:dyDescent="0.2">
      <c r="M373" s="73"/>
      <c r="N373" s="73"/>
      <c r="O373" s="73"/>
      <c r="P373" s="73"/>
      <c r="Q373" s="73"/>
      <c r="R373" s="73"/>
      <c r="S373" s="73"/>
      <c r="T373" s="73"/>
      <c r="U373" s="73"/>
      <c r="V373" s="73"/>
      <c r="W373" s="73"/>
      <c r="X373" s="73"/>
      <c r="Y373" s="73"/>
      <c r="Z373" s="73"/>
      <c r="AA373" s="74"/>
      <c r="AB373" s="7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93"/>
      <c r="BB373" s="93"/>
      <c r="BC373" s="93"/>
      <c r="BD373" s="93"/>
      <c r="BE373" s="93"/>
      <c r="BF373" s="93"/>
      <c r="BG373" s="93"/>
      <c r="BH373" s="93"/>
      <c r="BI373" s="93"/>
      <c r="BJ373" s="93"/>
      <c r="BK373" s="93"/>
      <c r="BL373" s="93"/>
      <c r="BM373" s="93"/>
      <c r="BN373" s="93"/>
      <c r="BO373" s="93"/>
      <c r="BP373" s="93"/>
      <c r="BQ373" s="93"/>
    </row>
    <row r="374" spans="1:69" s="71" customFormat="1" x14ac:dyDescent="0.2">
      <c r="A374" s="73"/>
      <c r="B374" s="73"/>
      <c r="C374" s="73"/>
      <c r="D374" s="73"/>
      <c r="E374" s="98"/>
      <c r="F374" s="73"/>
      <c r="G374" s="73"/>
      <c r="H374" s="73"/>
      <c r="I374" s="73"/>
      <c r="J374" s="73"/>
      <c r="K374" s="73"/>
      <c r="L374" s="73"/>
      <c r="M374" s="73"/>
      <c r="N374" s="73"/>
      <c r="O374" s="73"/>
      <c r="P374" s="73"/>
      <c r="Q374" s="73"/>
      <c r="R374" s="73"/>
      <c r="S374" s="73"/>
      <c r="T374" s="73"/>
      <c r="U374" s="73"/>
      <c r="V374" s="73"/>
      <c r="W374" s="73"/>
      <c r="X374" s="73"/>
      <c r="Y374" s="73"/>
      <c r="Z374" s="73"/>
      <c r="AA374" s="74"/>
      <c r="AB374" s="7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93"/>
      <c r="BB374" s="93"/>
      <c r="BC374" s="93"/>
      <c r="BD374" s="93"/>
      <c r="BE374" s="93"/>
      <c r="BF374" s="93"/>
      <c r="BG374" s="93"/>
      <c r="BH374" s="93"/>
      <c r="BI374" s="93"/>
      <c r="BJ374" s="93"/>
      <c r="BK374" s="93"/>
      <c r="BL374" s="93"/>
      <c r="BM374" s="93"/>
      <c r="BN374" s="93"/>
      <c r="BO374" s="93"/>
      <c r="BP374" s="93"/>
      <c r="BQ374" s="93"/>
    </row>
    <row r="375" spans="1:69" s="71" customFormat="1" x14ac:dyDescent="0.2">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c r="AA375" s="74"/>
      <c r="AB375" s="7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93"/>
      <c r="BB375" s="93"/>
      <c r="BC375" s="93"/>
      <c r="BD375" s="93"/>
      <c r="BE375" s="93"/>
      <c r="BF375" s="93"/>
      <c r="BG375" s="93"/>
      <c r="BH375" s="93"/>
      <c r="BI375" s="93"/>
      <c r="BJ375" s="93"/>
      <c r="BK375" s="93"/>
      <c r="BL375" s="93"/>
      <c r="BM375" s="93"/>
      <c r="BN375" s="93"/>
      <c r="BO375" s="93"/>
      <c r="BP375" s="93"/>
      <c r="BQ375" s="93"/>
    </row>
    <row r="376" spans="1:69" s="71" customFormat="1" x14ac:dyDescent="0.2">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c r="AA376" s="74"/>
      <c r="AB376" s="7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93"/>
      <c r="BB376" s="93"/>
      <c r="BC376" s="93"/>
      <c r="BD376" s="93"/>
      <c r="BE376" s="93"/>
      <c r="BF376" s="93"/>
      <c r="BG376" s="93"/>
      <c r="BH376" s="93"/>
      <c r="BI376" s="93"/>
      <c r="BJ376" s="93"/>
      <c r="BK376" s="93"/>
      <c r="BL376" s="93"/>
      <c r="BM376" s="93"/>
      <c r="BN376" s="93"/>
      <c r="BO376" s="93"/>
      <c r="BP376" s="93"/>
      <c r="BQ376" s="93"/>
    </row>
    <row r="377" spans="1:69" s="71" customFormat="1" x14ac:dyDescent="0.2">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c r="AA377" s="74"/>
      <c r="AB377" s="7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93"/>
      <c r="BB377" s="93"/>
      <c r="BC377" s="93"/>
      <c r="BD377" s="93"/>
      <c r="BE377" s="93"/>
      <c r="BF377" s="93"/>
      <c r="BG377" s="93"/>
      <c r="BH377" s="93"/>
      <c r="BI377" s="93"/>
      <c r="BJ377" s="93"/>
      <c r="BK377" s="93"/>
      <c r="BL377" s="93"/>
      <c r="BM377" s="93"/>
      <c r="BN377" s="93"/>
      <c r="BO377" s="93"/>
      <c r="BP377" s="93"/>
      <c r="BQ377" s="93"/>
    </row>
    <row r="378" spans="1:69" s="71" customFormat="1" x14ac:dyDescent="0.2">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c r="AA378" s="74"/>
      <c r="AB378" s="7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93"/>
      <c r="BB378" s="93"/>
      <c r="BC378" s="93"/>
      <c r="BD378" s="93"/>
      <c r="BE378" s="93"/>
      <c r="BF378" s="93"/>
      <c r="BG378" s="93"/>
      <c r="BH378" s="93"/>
      <c r="BI378" s="93"/>
      <c r="BJ378" s="93"/>
      <c r="BK378" s="93"/>
      <c r="BL378" s="93"/>
      <c r="BM378" s="93"/>
      <c r="BN378" s="93"/>
      <c r="BO378" s="93"/>
      <c r="BP378" s="93"/>
      <c r="BQ378" s="93"/>
    </row>
    <row r="379" spans="1:69" s="71" customFormat="1" x14ac:dyDescent="0.2">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c r="AA379" s="74"/>
      <c r="AB379" s="7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93"/>
      <c r="BB379" s="93"/>
      <c r="BC379" s="93"/>
      <c r="BD379" s="93"/>
      <c r="BE379" s="93"/>
      <c r="BF379" s="93"/>
      <c r="BG379" s="93"/>
      <c r="BH379" s="93"/>
      <c r="BI379" s="93"/>
      <c r="BJ379" s="93"/>
      <c r="BK379" s="93"/>
      <c r="BL379" s="93"/>
      <c r="BM379" s="93"/>
      <c r="BN379" s="93"/>
      <c r="BO379" s="93"/>
      <c r="BP379" s="93"/>
      <c r="BQ379" s="93"/>
    </row>
    <row r="380" spans="1:69" s="71" customFormat="1" x14ac:dyDescent="0.2">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4"/>
      <c r="AB380" s="7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93"/>
      <c r="BB380" s="93"/>
      <c r="BC380" s="93"/>
      <c r="BD380" s="93"/>
      <c r="BE380" s="93"/>
      <c r="BF380" s="93"/>
      <c r="BG380" s="93"/>
      <c r="BH380" s="93"/>
      <c r="BI380" s="93"/>
      <c r="BJ380" s="93"/>
      <c r="BK380" s="93"/>
      <c r="BL380" s="93"/>
      <c r="BM380" s="93"/>
      <c r="BN380" s="93"/>
      <c r="BO380" s="93"/>
      <c r="BP380" s="93"/>
      <c r="BQ380" s="93"/>
    </row>
    <row r="381" spans="1:69" s="71" customFormat="1" x14ac:dyDescent="0.2">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c r="AA381" s="74"/>
      <c r="AB381" s="7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93"/>
      <c r="BB381" s="93"/>
      <c r="BC381" s="93"/>
      <c r="BD381" s="93"/>
      <c r="BE381" s="93"/>
      <c r="BF381" s="93"/>
      <c r="BG381" s="93"/>
      <c r="BH381" s="93"/>
      <c r="BI381" s="93"/>
      <c r="BJ381" s="93"/>
      <c r="BK381" s="93"/>
      <c r="BL381" s="93"/>
      <c r="BM381" s="93"/>
      <c r="BN381" s="93"/>
      <c r="BO381" s="93"/>
      <c r="BP381" s="93"/>
      <c r="BQ381" s="93"/>
    </row>
    <row r="382" spans="1:69" s="71" customFormat="1" x14ac:dyDescent="0.2">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c r="AA382" s="74"/>
      <c r="AB382" s="7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93"/>
      <c r="BB382" s="93"/>
      <c r="BC382" s="93"/>
      <c r="BD382" s="93"/>
      <c r="BE382" s="93"/>
      <c r="BF382" s="93"/>
      <c r="BG382" s="93"/>
      <c r="BH382" s="93"/>
      <c r="BI382" s="93"/>
      <c r="BJ382" s="93"/>
      <c r="BK382" s="93"/>
      <c r="BL382" s="93"/>
      <c r="BM382" s="93"/>
      <c r="BN382" s="93"/>
      <c r="BO382" s="93"/>
      <c r="BP382" s="93"/>
      <c r="BQ382" s="93"/>
    </row>
    <row r="383" spans="1:69" s="71" customFormat="1" x14ac:dyDescent="0.2">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c r="AA383" s="74"/>
      <c r="AB383" s="7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93"/>
      <c r="BB383" s="93"/>
      <c r="BC383" s="93"/>
      <c r="BD383" s="93"/>
      <c r="BE383" s="93"/>
      <c r="BF383" s="93"/>
      <c r="BG383" s="93"/>
      <c r="BH383" s="93"/>
      <c r="BI383" s="93"/>
      <c r="BJ383" s="93"/>
      <c r="BK383" s="93"/>
      <c r="BL383" s="93"/>
      <c r="BM383" s="93"/>
      <c r="BN383" s="93"/>
      <c r="BO383" s="93"/>
      <c r="BP383" s="93"/>
      <c r="BQ383" s="93"/>
    </row>
    <row r="384" spans="1:69" s="71" customFormat="1" x14ac:dyDescent="0.2">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93"/>
      <c r="BB384" s="93"/>
      <c r="BC384" s="93"/>
      <c r="BD384" s="93"/>
      <c r="BE384" s="93"/>
      <c r="BF384" s="93"/>
      <c r="BG384" s="93"/>
      <c r="BH384" s="93"/>
      <c r="BI384" s="93"/>
      <c r="BJ384" s="93"/>
      <c r="BK384" s="93"/>
      <c r="BL384" s="93"/>
      <c r="BM384" s="93"/>
      <c r="BN384" s="93"/>
      <c r="BO384" s="93"/>
      <c r="BP384" s="93"/>
      <c r="BQ384" s="93"/>
    </row>
    <row r="385" spans="1:69" s="71" customFormat="1" x14ac:dyDescent="0.2">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c r="AA385" s="74"/>
      <c r="AB385" s="7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93"/>
      <c r="BB385" s="93"/>
      <c r="BC385" s="93"/>
      <c r="BD385" s="93"/>
      <c r="BE385" s="93"/>
      <c r="BF385" s="93"/>
      <c r="BG385" s="93"/>
      <c r="BH385" s="93"/>
      <c r="BI385" s="93"/>
      <c r="BJ385" s="93"/>
      <c r="BK385" s="93"/>
      <c r="BL385" s="93"/>
      <c r="BM385" s="93"/>
      <c r="BN385" s="93"/>
      <c r="BO385" s="93"/>
      <c r="BP385" s="93"/>
      <c r="BQ385" s="93"/>
    </row>
    <row r="386" spans="1:69" s="71" customFormat="1" x14ac:dyDescent="0.2">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c r="AA386" s="74"/>
      <c r="AB386" s="7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93"/>
      <c r="BB386" s="93"/>
      <c r="BC386" s="93"/>
      <c r="BD386" s="93"/>
      <c r="BE386" s="93"/>
      <c r="BF386" s="93"/>
      <c r="BG386" s="93"/>
      <c r="BH386" s="93"/>
      <c r="BI386" s="93"/>
      <c r="BJ386" s="93"/>
      <c r="BK386" s="93"/>
      <c r="BL386" s="93"/>
      <c r="BM386" s="93"/>
      <c r="BN386" s="93"/>
      <c r="BO386" s="93"/>
      <c r="BP386" s="93"/>
      <c r="BQ386" s="93"/>
    </row>
    <row r="387" spans="1:69" s="71" customFormat="1" x14ac:dyDescent="0.2">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c r="AA387" s="74"/>
      <c r="AB387" s="7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93"/>
      <c r="BB387" s="93"/>
      <c r="BC387" s="93"/>
      <c r="BD387" s="93"/>
      <c r="BE387" s="93"/>
      <c r="BF387" s="93"/>
      <c r="BG387" s="93"/>
      <c r="BH387" s="93"/>
      <c r="BI387" s="93"/>
      <c r="BJ387" s="93"/>
      <c r="BK387" s="93"/>
      <c r="BL387" s="93"/>
      <c r="BM387" s="93"/>
      <c r="BN387" s="93"/>
      <c r="BO387" s="93"/>
      <c r="BP387" s="93"/>
      <c r="BQ387" s="93"/>
    </row>
    <row r="388" spans="1:69" s="71" customFormat="1" x14ac:dyDescent="0.2">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c r="AA388" s="74"/>
      <c r="AB388" s="7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93"/>
      <c r="BB388" s="93"/>
      <c r="BC388" s="93"/>
      <c r="BD388" s="93"/>
      <c r="BE388" s="93"/>
      <c r="BF388" s="93"/>
      <c r="BG388" s="93"/>
      <c r="BH388" s="93"/>
      <c r="BI388" s="93"/>
      <c r="BJ388" s="93"/>
      <c r="BK388" s="93"/>
      <c r="BL388" s="93"/>
      <c r="BM388" s="93"/>
      <c r="BN388" s="93"/>
      <c r="BO388" s="93"/>
      <c r="BP388" s="93"/>
      <c r="BQ388" s="93"/>
    </row>
    <row r="389" spans="1:69" s="71" customFormat="1" x14ac:dyDescent="0.2">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c r="AA389" s="74"/>
      <c r="AB389" s="7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93"/>
      <c r="BB389" s="93"/>
      <c r="BC389" s="93"/>
      <c r="BD389" s="93"/>
      <c r="BE389" s="93"/>
      <c r="BF389" s="93"/>
      <c r="BG389" s="93"/>
      <c r="BH389" s="93"/>
      <c r="BI389" s="93"/>
      <c r="BJ389" s="93"/>
      <c r="BK389" s="93"/>
      <c r="BL389" s="93"/>
      <c r="BM389" s="93"/>
      <c r="BN389" s="93"/>
      <c r="BO389" s="93"/>
      <c r="BP389" s="93"/>
      <c r="BQ389" s="93"/>
    </row>
    <row r="390" spans="1:69" s="71" customFormat="1" x14ac:dyDescent="0.2">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c r="AA390" s="74"/>
      <c r="AB390" s="7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93"/>
      <c r="BB390" s="93"/>
      <c r="BC390" s="93"/>
      <c r="BD390" s="93"/>
      <c r="BE390" s="93"/>
      <c r="BF390" s="93"/>
      <c r="BG390" s="93"/>
      <c r="BH390" s="93"/>
      <c r="BI390" s="93"/>
      <c r="BJ390" s="93"/>
      <c r="BK390" s="93"/>
      <c r="BL390" s="93"/>
      <c r="BM390" s="93"/>
      <c r="BN390" s="93"/>
      <c r="BO390" s="93"/>
      <c r="BP390" s="93"/>
      <c r="BQ390" s="93"/>
    </row>
    <row r="391" spans="1:69" s="71" customFormat="1" x14ac:dyDescent="0.2">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c r="AA391" s="74"/>
      <c r="AB391" s="7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93"/>
      <c r="BB391" s="93"/>
      <c r="BC391" s="93"/>
      <c r="BD391" s="93"/>
      <c r="BE391" s="93"/>
      <c r="BF391" s="93"/>
      <c r="BG391" s="93"/>
      <c r="BH391" s="93"/>
      <c r="BI391" s="93"/>
      <c r="BJ391" s="93"/>
      <c r="BK391" s="93"/>
      <c r="BL391" s="93"/>
      <c r="BM391" s="93"/>
      <c r="BN391" s="93"/>
      <c r="BO391" s="93"/>
      <c r="BP391" s="93"/>
      <c r="BQ391" s="93"/>
    </row>
    <row r="392" spans="1:69" s="71" customFormat="1" x14ac:dyDescent="0.2">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c r="AA392" s="74"/>
      <c r="AB392" s="7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93"/>
      <c r="BB392" s="93"/>
      <c r="BC392" s="93"/>
      <c r="BD392" s="93"/>
      <c r="BE392" s="93"/>
      <c r="BF392" s="93"/>
      <c r="BG392" s="93"/>
      <c r="BH392" s="93"/>
      <c r="BI392" s="93"/>
      <c r="BJ392" s="93"/>
      <c r="BK392" s="93"/>
      <c r="BL392" s="93"/>
      <c r="BM392" s="93"/>
      <c r="BN392" s="93"/>
      <c r="BO392" s="93"/>
      <c r="BP392" s="93"/>
      <c r="BQ392" s="93"/>
    </row>
    <row r="393" spans="1:69" s="71" customFormat="1" x14ac:dyDescent="0.2">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c r="AA393" s="74"/>
      <c r="AB393" s="7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93"/>
      <c r="BB393" s="93"/>
      <c r="BC393" s="93"/>
      <c r="BD393" s="93"/>
      <c r="BE393" s="93"/>
      <c r="BF393" s="93"/>
      <c r="BG393" s="93"/>
      <c r="BH393" s="93"/>
      <c r="BI393" s="93"/>
      <c r="BJ393" s="93"/>
      <c r="BK393" s="93"/>
      <c r="BL393" s="93"/>
      <c r="BM393" s="93"/>
      <c r="BN393" s="93"/>
      <c r="BO393" s="93"/>
      <c r="BP393" s="93"/>
      <c r="BQ393" s="93"/>
    </row>
    <row r="394" spans="1:69" s="71" customFormat="1" x14ac:dyDescent="0.2">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c r="AA394" s="74"/>
      <c r="AB394" s="7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93"/>
      <c r="BB394" s="93"/>
      <c r="BC394" s="93"/>
      <c r="BD394" s="93"/>
      <c r="BE394" s="93"/>
      <c r="BF394" s="93"/>
      <c r="BG394" s="93"/>
      <c r="BH394" s="93"/>
      <c r="BI394" s="93"/>
      <c r="BJ394" s="93"/>
      <c r="BK394" s="93"/>
      <c r="BL394" s="93"/>
      <c r="BM394" s="93"/>
      <c r="BN394" s="93"/>
      <c r="BO394" s="93"/>
      <c r="BP394" s="93"/>
      <c r="BQ394" s="93"/>
    </row>
    <row r="395" spans="1:69" s="71" customFormat="1" x14ac:dyDescent="0.2">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c r="AA395" s="74"/>
      <c r="AB395" s="7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93"/>
      <c r="BB395" s="93"/>
      <c r="BC395" s="93"/>
      <c r="BD395" s="93"/>
      <c r="BE395" s="93"/>
      <c r="BF395" s="93"/>
      <c r="BG395" s="93"/>
      <c r="BH395" s="93"/>
      <c r="BI395" s="93"/>
      <c r="BJ395" s="93"/>
      <c r="BK395" s="93"/>
      <c r="BL395" s="93"/>
      <c r="BM395" s="93"/>
      <c r="BN395" s="93"/>
      <c r="BO395" s="93"/>
      <c r="BP395" s="93"/>
      <c r="BQ395" s="93"/>
    </row>
    <row r="396" spans="1:69" s="71" customFormat="1" x14ac:dyDescent="0.2">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c r="AA396" s="74"/>
      <c r="AB396" s="7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93"/>
      <c r="BB396" s="93"/>
      <c r="BC396" s="93"/>
      <c r="BD396" s="93"/>
      <c r="BE396" s="93"/>
      <c r="BF396" s="93"/>
      <c r="BG396" s="93"/>
      <c r="BH396" s="93"/>
      <c r="BI396" s="93"/>
      <c r="BJ396" s="93"/>
      <c r="BK396" s="93"/>
      <c r="BL396" s="93"/>
      <c r="BM396" s="93"/>
      <c r="BN396" s="93"/>
      <c r="BO396" s="93"/>
      <c r="BP396" s="93"/>
      <c r="BQ396" s="93"/>
    </row>
    <row r="397" spans="1:69" s="71" customFormat="1" x14ac:dyDescent="0.2">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c r="AA397" s="74"/>
      <c r="AB397" s="7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N397" s="93"/>
      <c r="BO397" s="93"/>
      <c r="BP397" s="93"/>
      <c r="BQ397" s="93"/>
    </row>
    <row r="398" spans="1:69" s="71" customFormat="1" x14ac:dyDescent="0.2">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c r="AA398" s="74"/>
      <c r="AB398" s="7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N398" s="93"/>
      <c r="BO398" s="93"/>
      <c r="BP398" s="93"/>
      <c r="BQ398" s="93"/>
    </row>
    <row r="399" spans="1:69" s="71" customFormat="1" x14ac:dyDescent="0.2">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c r="AA399" s="74"/>
      <c r="AB399" s="7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N399" s="93"/>
      <c r="BO399" s="93"/>
      <c r="BP399" s="93"/>
      <c r="BQ399" s="93"/>
    </row>
    <row r="400" spans="1:69" s="71" customFormat="1" x14ac:dyDescent="0.2">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c r="AA400" s="74"/>
      <c r="AB400" s="7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N400" s="93"/>
      <c r="BO400" s="93"/>
      <c r="BP400" s="93"/>
      <c r="BQ400" s="93"/>
    </row>
    <row r="401" spans="1:69" s="71" customFormat="1" ht="15" x14ac:dyDescent="0.2">
      <c r="A401" s="84">
        <f ca="1">_LATESTvarPubDate</f>
        <v>45848.653113425928</v>
      </c>
      <c r="B401" s="85" t="str">
        <f>$A$1</f>
        <v>RANDOM LENGTHS LUMBER REPORT</v>
      </c>
      <c r="C401" s="86"/>
      <c r="D401" s="86"/>
      <c r="E401" s="86"/>
      <c r="F401" s="86"/>
      <c r="G401" s="87"/>
      <c r="H401" s="88" t="s">
        <v>234</v>
      </c>
      <c r="P401" s="73"/>
      <c r="Q401" s="73"/>
      <c r="R401" s="73"/>
      <c r="S401" s="73"/>
      <c r="T401" s="73"/>
      <c r="U401" s="73"/>
      <c r="V401" s="73"/>
      <c r="W401" s="73"/>
      <c r="X401" s="73"/>
      <c r="Y401" s="73"/>
      <c r="Z401" s="73"/>
      <c r="AA401" s="74"/>
      <c r="AB401" s="7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N401" s="93"/>
      <c r="BO401" s="93"/>
      <c r="BP401" s="93"/>
      <c r="BQ401" s="93"/>
    </row>
    <row r="402" spans="1:69" s="71" customFormat="1" ht="14.25" x14ac:dyDescent="0.2">
      <c r="S402" s="90"/>
      <c r="T402" s="73"/>
      <c r="U402" s="73"/>
      <c r="V402" s="73"/>
      <c r="W402" s="73"/>
      <c r="X402" s="73"/>
      <c r="Y402" s="73"/>
      <c r="Z402" s="73"/>
      <c r="AA402" s="74"/>
      <c r="AB402" s="7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N402" s="93"/>
      <c r="BO402" s="93"/>
      <c r="BP402" s="93"/>
      <c r="BQ402" s="93"/>
    </row>
    <row r="403" spans="1:69" s="71" customFormat="1" ht="15.75" x14ac:dyDescent="0.25">
      <c r="A403" s="94" t="s">
        <v>235</v>
      </c>
      <c r="B403" s="73"/>
      <c r="C403" s="73"/>
      <c r="D403" s="73"/>
      <c r="E403" s="73"/>
      <c r="F403" s="73"/>
      <c r="G403" s="73"/>
      <c r="H403" s="73"/>
      <c r="I403" s="73"/>
      <c r="J403" s="73"/>
      <c r="K403" s="73"/>
      <c r="L403" s="73"/>
      <c r="M403" s="73"/>
      <c r="N403" s="73"/>
      <c r="O403" s="73"/>
      <c r="S403" s="73"/>
      <c r="T403" s="73"/>
      <c r="U403" s="73"/>
      <c r="V403" s="73"/>
      <c r="W403" s="73"/>
      <c r="X403" s="73"/>
      <c r="Y403" s="73"/>
      <c r="Z403" s="73"/>
      <c r="AA403" s="74"/>
      <c r="AB403" s="7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N403" s="93"/>
      <c r="BO403" s="93"/>
      <c r="BP403" s="93"/>
      <c r="BQ403" s="93"/>
    </row>
    <row r="404" spans="1:69" s="71" customFormat="1" x14ac:dyDescent="0.2">
      <c r="A404" s="96" t="s">
        <v>236</v>
      </c>
      <c r="B404" s="73"/>
      <c r="C404" s="73"/>
      <c r="D404" s="73"/>
      <c r="E404" s="73"/>
      <c r="F404" s="73"/>
      <c r="G404" s="73"/>
      <c r="M404" s="73"/>
      <c r="N404" s="73"/>
      <c r="O404" s="73"/>
      <c r="P404" s="73"/>
      <c r="Q404" s="73"/>
      <c r="R404" s="73"/>
      <c r="S404" s="73"/>
      <c r="T404" s="73"/>
      <c r="U404" s="73"/>
      <c r="V404" s="73"/>
      <c r="W404" s="73"/>
      <c r="X404" s="73"/>
      <c r="Y404" s="73"/>
      <c r="Z404" s="73"/>
      <c r="AA404" s="74"/>
      <c r="AB404" s="7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N404" s="93"/>
      <c r="BO404" s="93"/>
      <c r="BP404" s="93"/>
      <c r="BQ404" s="93"/>
    </row>
    <row r="405" spans="1:69" s="71" customFormat="1" x14ac:dyDescent="0.2">
      <c r="A405" s="104" t="s">
        <v>72</v>
      </c>
      <c r="B405" s="73"/>
      <c r="C405" s="73"/>
      <c r="D405" s="73"/>
      <c r="E405" s="73"/>
      <c r="F405" s="73"/>
      <c r="G405" s="73"/>
      <c r="H405" s="73"/>
      <c r="I405" s="73"/>
      <c r="J405" s="73"/>
      <c r="M405" s="104" t="s">
        <v>71</v>
      </c>
      <c r="N405" s="73"/>
      <c r="O405" s="73"/>
      <c r="P405" s="73"/>
      <c r="Q405" s="73"/>
      <c r="R405" s="73"/>
      <c r="S405" s="73"/>
      <c r="T405" s="73"/>
      <c r="U405" s="73"/>
      <c r="V405" s="73"/>
      <c r="W405" s="73"/>
      <c r="X405" s="73"/>
      <c r="Y405" s="73"/>
      <c r="Z405" s="73"/>
      <c r="AA405" s="74"/>
      <c r="AB405" s="7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N405" s="93"/>
      <c r="BO405" s="93"/>
      <c r="BP405" s="93"/>
      <c r="BQ405" s="93"/>
    </row>
    <row r="406" spans="1:69" s="71" customFormat="1" x14ac:dyDescent="0.2">
      <c r="H406" s="113" t="s">
        <v>237</v>
      </c>
      <c r="I406" s="125"/>
      <c r="J406" s="86"/>
      <c r="N406" s="98"/>
      <c r="O406" s="73"/>
      <c r="P406" s="73"/>
      <c r="Q406" s="73"/>
      <c r="R406" s="73"/>
      <c r="S406" s="73"/>
      <c r="T406" s="73"/>
      <c r="U406" s="73"/>
      <c r="V406" s="73"/>
      <c r="W406" s="73"/>
      <c r="X406" s="73"/>
      <c r="Y406" s="73"/>
      <c r="Z406" s="73"/>
      <c r="AA406" s="74"/>
      <c r="AB406" s="7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N406" s="93"/>
      <c r="BO406" s="93"/>
      <c r="BP406" s="93"/>
      <c r="BQ406" s="93"/>
    </row>
    <row r="407" spans="1:69" s="71" customFormat="1" x14ac:dyDescent="0.2">
      <c r="A407" s="73"/>
      <c r="B407" s="98" t="s">
        <v>11</v>
      </c>
      <c r="C407" s="98" t="s">
        <v>23</v>
      </c>
      <c r="D407" s="98"/>
      <c r="E407" s="127" t="s">
        <v>238</v>
      </c>
      <c r="F407" s="127"/>
      <c r="G407" s="100"/>
      <c r="H407" s="98" t="s">
        <v>16</v>
      </c>
      <c r="I407" s="98" t="s">
        <v>17</v>
      </c>
      <c r="J407" s="118"/>
      <c r="M407" s="98" t="s">
        <v>76</v>
      </c>
      <c r="O407" s="73"/>
      <c r="P407" s="73"/>
      <c r="Q407" s="73"/>
      <c r="R407" s="73"/>
      <c r="S407" s="73"/>
      <c r="T407" s="73"/>
      <c r="U407" s="73"/>
      <c r="V407" s="73"/>
      <c r="W407" s="73"/>
      <c r="X407" s="73"/>
      <c r="Y407" s="73"/>
      <c r="Z407" s="73"/>
      <c r="AA407" s="74"/>
      <c r="AB407" s="7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N407" s="93"/>
      <c r="BO407" s="93"/>
      <c r="BP407" s="93"/>
      <c r="BQ407" s="93"/>
    </row>
    <row r="408" spans="1:69" s="71" customFormat="1" x14ac:dyDescent="0.2">
      <c r="A408" s="73"/>
      <c r="B408" s="98" t="s">
        <v>19</v>
      </c>
      <c r="C408" s="98" t="s">
        <v>19</v>
      </c>
      <c r="D408" s="98" t="s">
        <v>52</v>
      </c>
      <c r="E408" s="98" t="s">
        <v>26</v>
      </c>
      <c r="F408" s="98" t="s">
        <v>75</v>
      </c>
      <c r="G408" s="98" t="s">
        <v>28</v>
      </c>
      <c r="H408" s="118"/>
      <c r="I408" s="98" t="s">
        <v>59</v>
      </c>
      <c r="J408" s="98" t="s">
        <v>239</v>
      </c>
      <c r="K408" s="98" t="s">
        <v>240</v>
      </c>
      <c r="L408" s="98" t="s">
        <v>241</v>
      </c>
      <c r="M408" s="98" t="s">
        <v>53</v>
      </c>
      <c r="P408" s="73"/>
      <c r="Q408" s="73"/>
      <c r="R408" s="73"/>
      <c r="S408" s="73"/>
      <c r="U408" s="73"/>
      <c r="V408" s="73"/>
      <c r="W408" s="73"/>
      <c r="X408" s="73"/>
      <c r="Y408" s="73"/>
      <c r="Z408" s="73"/>
      <c r="AA408" s="74"/>
      <c r="AB408" s="7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N408" s="93"/>
      <c r="BO408" s="93"/>
      <c r="BP408" s="93"/>
      <c r="BQ408" s="93"/>
    </row>
    <row r="409" spans="1:69" s="71" customFormat="1" x14ac:dyDescent="0.2">
      <c r="A409" s="82" t="s">
        <v>145</v>
      </c>
      <c r="B409" s="107">
        <f t="array" aca="1" ref="B409" ca="1">_xll.GetPrice("FP-LBR-0159","Actual","Low",_LATESTvarPubDate)</f>
        <v>200</v>
      </c>
      <c r="C409" s="107">
        <f t="array" aca="1" ref="C409" ca="1">_xll.GetPrice("FP-LBR-0239","Actual","Low",_LATESTvarPubDate)</f>
        <v>210</v>
      </c>
      <c r="D409" s="107">
        <f t="array" aca="1" ref="D409" ca="1">_xll.GetPrice("FP-LBR-0252","Actual","Low",_LATESTvarPubDate)</f>
        <v>210</v>
      </c>
      <c r="E409" s="107">
        <f t="array" aca="1" ref="E409" ca="1">_xll.GetPrice("FP-LBR-0320","Actual","Low",_LATESTvarPubDate)</f>
        <v>220</v>
      </c>
      <c r="F409" s="107">
        <f t="array" aca="1" ref="F409" ca="1">_xll.GetPrice("FP-LBR-2011","Actual","Low",_LATESTvarPubDate)</f>
        <v>205</v>
      </c>
      <c r="G409" s="107">
        <f t="array" aca="1" ref="G409" ca="1">_xll.GetPrice("FP-LBR-1991","Actual","Low",_LATESTvarPubDate)</f>
        <v>205</v>
      </c>
      <c r="H409" s="107">
        <f t="array" aca="1" ref="H409" ca="1">_xll.GetPrice("FP-LBR-0433","Actual","Low",_LATESTvarPubDate)</f>
        <v>248</v>
      </c>
      <c r="I409" s="107">
        <f t="array" aca="1" ref="I409" ca="1">_xll.GetPrice("FP-LBR-1303","Actual","Low",_LATESTvarPubDate)</f>
        <v>335</v>
      </c>
      <c r="J409" s="107">
        <f t="array" aca="1" ref="J409" ca="1">_xll.GetPrice("FP-LBR-1306","Actual","Low",_LATESTvarPubDate)</f>
        <v>325</v>
      </c>
      <c r="K409" s="107">
        <f t="array" aca="1" ref="K409" ca="1">_xll.GetPrice("FP-LBR-1309","Actual","Low",_LATESTvarPubDate)</f>
        <v>395</v>
      </c>
      <c r="L409" s="107">
        <f t="array" aca="1" ref="L409" ca="1">_xll.GetPrice("FP-LBR-1312","Actual","Low",_LATESTvarPubDate)</f>
        <v>375</v>
      </c>
      <c r="M409" s="107">
        <f t="array" aca="1" ref="M409" ca="1">_xll.GetPrice("FP-LBR-1334","Actual","Low",_LATESTvarPubDate)</f>
        <v>115</v>
      </c>
      <c r="O409" s="73"/>
      <c r="P409" s="73"/>
      <c r="Q409" s="73"/>
      <c r="R409" s="73"/>
      <c r="S409" s="73"/>
      <c r="T409" s="73"/>
      <c r="U409" s="73"/>
      <c r="V409" s="73"/>
      <c r="W409" s="73"/>
      <c r="X409" s="73"/>
      <c r="Y409" s="73"/>
      <c r="Z409" s="73"/>
      <c r="AA409" s="74"/>
      <c r="AB409" s="7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N409" s="93"/>
      <c r="BO409" s="93"/>
      <c r="BP409" s="93"/>
      <c r="BQ409" s="93"/>
    </row>
    <row r="410" spans="1:69" s="71" customFormat="1" x14ac:dyDescent="0.2">
      <c r="A410" s="82" t="s">
        <v>39</v>
      </c>
      <c r="B410" s="107">
        <f t="array" aca="1" ref="B410" ca="1">_xll.GetPrice("FP-LBR-0160","Actual","Low",_LATESTvarPubDate)</f>
        <v>160</v>
      </c>
      <c r="C410" s="107">
        <f t="array" aca="1" ref="C410" ca="1">_xll.GetPrice("FP-LBR-0240","Actual","Low",_LATESTvarPubDate)</f>
        <v>170</v>
      </c>
      <c r="D410" s="107">
        <f t="array" aca="1" ref="D410" ca="1">_xll.GetPrice("FP-LBR-0253","Actual","Low",_LATESTvarPubDate)</f>
        <v>170</v>
      </c>
      <c r="E410" s="107">
        <f t="array" aca="1" ref="E410" ca="1">_xll.GetPrice("FP-LBR-0321","Actual","Low",_LATESTvarPubDate)</f>
        <v>180</v>
      </c>
      <c r="F410" s="107">
        <f t="array" aca="1" ref="F410" ca="1">_xll.GetPrice("FP-LBR-2012","Actual","Low",_LATESTvarPubDate)</f>
        <v>190</v>
      </c>
      <c r="G410" s="107">
        <f t="array" aca="1" ref="G410" ca="1">_xll.GetPrice("FP-LBR-1992","Actual","Low",_LATESTvarPubDate)</f>
        <v>200</v>
      </c>
      <c r="H410" s="107">
        <f t="array" aca="1" ref="H410" ca="1">_xll.GetPrice("FP-LBR-0434","Actual","Low",_LATESTvarPubDate)</f>
        <v>233</v>
      </c>
      <c r="I410" s="107">
        <f t="array" aca="1" ref="I410" ca="1">_xll.GetPrice("FP-LBR-1304","Actual","Low",_LATESTvarPubDate)</f>
        <v>295</v>
      </c>
      <c r="J410" s="107">
        <f t="array" aca="1" ref="J410" ca="1">_xll.GetPrice("FP-LBR-1307","Actual","Low",_LATESTvarPubDate)</f>
        <v>305</v>
      </c>
      <c r="K410" s="107">
        <f t="array" aca="1" ref="K410" ca="1">_xll.GetPrice("FP-LBR-1310","Actual","Low",_LATESTvarPubDate)</f>
        <v>390</v>
      </c>
      <c r="L410" s="107">
        <f t="array" aca="1" ref="L410" ca="1">_xll.GetPrice("FP-LBR-1313","Actual","Low",_LATESTvarPubDate)</f>
        <v>375</v>
      </c>
      <c r="M410" s="107">
        <f t="array" aca="1" ref="M410" ca="1">_xll.GetPrice("FP-LBR-1335","Actual","Low",_LATESTvarPubDate)</f>
        <v>115</v>
      </c>
      <c r="O410" s="73"/>
      <c r="P410" s="73"/>
      <c r="Q410" s="73"/>
      <c r="R410" s="73"/>
      <c r="S410" s="73"/>
      <c r="T410" s="73"/>
      <c r="U410" s="73"/>
      <c r="V410" s="73"/>
      <c r="W410" s="73"/>
      <c r="X410" s="73"/>
      <c r="Y410" s="73"/>
      <c r="Z410" s="73"/>
      <c r="AA410" s="74"/>
      <c r="AB410" s="7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N410" s="93"/>
      <c r="BO410" s="93"/>
      <c r="BP410" s="93"/>
      <c r="BQ410" s="93"/>
    </row>
    <row r="411" spans="1:69" s="71" customFormat="1" x14ac:dyDescent="0.2">
      <c r="A411" s="82" t="s">
        <v>40</v>
      </c>
      <c r="B411" s="106" t="s">
        <v>37</v>
      </c>
      <c r="C411" s="106" t="s">
        <v>37</v>
      </c>
      <c r="D411" s="106" t="s">
        <v>37</v>
      </c>
      <c r="E411" s="107">
        <f t="array" aca="1" ref="E411" ca="1">_xll.GetPrice("FP-LBR-0322","Actual","Low",_LATESTvarPubDate)</f>
        <v>205</v>
      </c>
      <c r="F411" s="107">
        <f t="array" aca="1" ref="F411" ca="1">_xll.GetPrice("FP-LBR-2013","Actual","Low",_LATESTvarPubDate)</f>
        <v>225</v>
      </c>
      <c r="G411" s="107">
        <f t="array" aca="1" ref="G411" ca="1">_xll.GetPrice("FP-LBR-1993","Actual","Low",_LATESTvarPubDate)</f>
        <v>225</v>
      </c>
      <c r="H411" s="107">
        <f t="array" aca="1" ref="H411" ca="1">_xll.GetPrice("FP-LBR-0435","Actual","Low",_LATESTvarPubDate)</f>
        <v>240</v>
      </c>
      <c r="I411" s="106" t="s">
        <v>37</v>
      </c>
      <c r="J411" s="106" t="s">
        <v>37</v>
      </c>
      <c r="K411" s="106" t="s">
        <v>37</v>
      </c>
      <c r="L411" s="106" t="s">
        <v>37</v>
      </c>
      <c r="M411" s="107">
        <f t="array" aca="1" ref="M411" ca="1">_xll.GetPrice("FP-LBR-1336","Actual","Low",_LATESTvarPubDate)</f>
        <v>145</v>
      </c>
      <c r="O411" s="73"/>
      <c r="P411" s="73"/>
      <c r="Q411" s="73"/>
      <c r="R411" s="73"/>
      <c r="S411" s="73"/>
      <c r="T411" s="73"/>
      <c r="U411" s="73"/>
      <c r="V411" s="73"/>
      <c r="W411" s="73"/>
      <c r="X411" s="73"/>
      <c r="Y411" s="73"/>
      <c r="Z411" s="73"/>
      <c r="AA411" s="74"/>
      <c r="AB411" s="7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N411" s="93"/>
      <c r="BO411" s="93"/>
      <c r="BP411" s="93"/>
      <c r="BQ411" s="93"/>
    </row>
    <row r="412" spans="1:69" s="71" customFormat="1" x14ac:dyDescent="0.2">
      <c r="A412" s="82" t="s">
        <v>41</v>
      </c>
      <c r="B412" s="106" t="s">
        <v>37</v>
      </c>
      <c r="C412" s="106" t="s">
        <v>37</v>
      </c>
      <c r="D412" s="106" t="s">
        <v>37</v>
      </c>
      <c r="E412" s="107">
        <f t="array" aca="1" ref="E412" ca="1">_xll.GetPrice("FP-LBR-0323","Actual","Low",_LATESTvarPubDate)</f>
        <v>195</v>
      </c>
      <c r="F412" s="107">
        <f t="array" aca="1" ref="F412" ca="1">_xll.GetPrice("FP-LBR-2014","Actual","Low",_LATESTvarPubDate)</f>
        <v>210</v>
      </c>
      <c r="G412" s="107">
        <f t="array" aca="1" ref="G412" ca="1">_xll.GetPrice("FP-LBR-1994","Actual","Low",_LATESTvarPubDate)</f>
        <v>190</v>
      </c>
      <c r="H412" s="107">
        <f t="array" aca="1" ref="H412" ca="1">_xll.GetPrice("FP-LBR-0436","Actual","Low",_LATESTvarPubDate)</f>
        <v>235</v>
      </c>
      <c r="I412" s="106" t="s">
        <v>37</v>
      </c>
      <c r="J412" s="106" t="s">
        <v>37</v>
      </c>
      <c r="K412" s="106" t="s">
        <v>37</v>
      </c>
      <c r="L412" s="106" t="s">
        <v>37</v>
      </c>
      <c r="M412" s="107">
        <f t="array" aca="1" ref="M412" ca="1">_xll.GetPrice("FP-LBR-1337","Actual","Low",_LATESTvarPubDate)</f>
        <v>145</v>
      </c>
      <c r="O412" s="73"/>
      <c r="P412" s="73"/>
      <c r="Q412" s="73"/>
      <c r="R412" s="73"/>
      <c r="S412" s="73"/>
      <c r="T412" s="73"/>
      <c r="U412" s="73"/>
      <c r="V412" s="73"/>
      <c r="W412" s="73"/>
      <c r="X412" s="73"/>
      <c r="Y412" s="73"/>
      <c r="Z412" s="73"/>
      <c r="AA412" s="74"/>
      <c r="AB412" s="7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N412" s="93"/>
      <c r="BO412" s="93"/>
      <c r="BP412" s="93"/>
      <c r="BQ412" s="93"/>
    </row>
    <row r="413" spans="1:69" s="71" customFormat="1" x14ac:dyDescent="0.2">
      <c r="A413" s="82" t="s">
        <v>42</v>
      </c>
      <c r="B413" s="106" t="s">
        <v>37</v>
      </c>
      <c r="C413" s="106" t="s">
        <v>37</v>
      </c>
      <c r="D413" s="106" t="s">
        <v>37</v>
      </c>
      <c r="E413" s="107">
        <f t="array" aca="1" ref="E413" ca="1">_xll.GetPrice("FP-LBR-0324","Actual","Low",_LATESTvarPubDate)</f>
        <v>205</v>
      </c>
      <c r="F413" s="107">
        <f t="array" aca="1" ref="F413" ca="1">_xll.GetPrice("FP-LBR-2015","Actual","Low",_LATESTvarPubDate)</f>
        <v>240</v>
      </c>
      <c r="G413" s="107">
        <f t="array" aca="1" ref="G413" ca="1">_xll.GetPrice("FP-LBR-1995","Actual","Low",_LATESTvarPubDate)</f>
        <v>245</v>
      </c>
      <c r="H413" s="107">
        <f t="array" aca="1" ref="H413" ca="1">_xll.GetPrice("FP-LBR-0437","Actual","Low",_LATESTvarPubDate)</f>
        <v>230</v>
      </c>
      <c r="I413" s="106" t="s">
        <v>37</v>
      </c>
      <c r="J413" s="106" t="s">
        <v>37</v>
      </c>
      <c r="K413" s="106" t="s">
        <v>37</v>
      </c>
      <c r="L413" s="106" t="s">
        <v>37</v>
      </c>
      <c r="M413" s="107">
        <f t="array" aca="1" ref="M413" ca="1">_xll.GetPrice("FP-LBR-1315","Actual","Low",_LATESTvarPubDate)</f>
        <v>145</v>
      </c>
      <c r="O413" s="73"/>
      <c r="P413" s="73"/>
      <c r="Q413" s="73"/>
      <c r="R413" s="73"/>
      <c r="S413" s="73"/>
      <c r="T413" s="73"/>
      <c r="U413" s="73"/>
      <c r="V413" s="73"/>
      <c r="W413" s="73"/>
      <c r="X413" s="73"/>
      <c r="Y413" s="73"/>
      <c r="Z413" s="73"/>
      <c r="AA413" s="74"/>
      <c r="AB413" s="7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N413" s="93"/>
      <c r="BO413" s="93"/>
      <c r="BP413" s="93"/>
      <c r="BQ413" s="93"/>
    </row>
    <row r="414" spans="1:69" s="71" customFormat="1" x14ac:dyDescent="0.2">
      <c r="A414" s="82" t="s">
        <v>110</v>
      </c>
      <c r="B414" s="106" t="s">
        <v>37</v>
      </c>
      <c r="C414" s="106" t="s">
        <v>37</v>
      </c>
      <c r="D414" s="106" t="s">
        <v>37</v>
      </c>
      <c r="E414" s="106" t="s">
        <v>37</v>
      </c>
      <c r="F414" s="106" t="s">
        <v>37</v>
      </c>
      <c r="G414" s="106" t="s">
        <v>37</v>
      </c>
      <c r="H414" s="106" t="s">
        <v>37</v>
      </c>
      <c r="I414" s="107">
        <f t="array" aca="1" ref="I414" ca="1">_xll.GetPrice("FP-LBR-1305","Actual","Low",_LATESTvarPubDate)</f>
        <v>325</v>
      </c>
      <c r="J414" s="107">
        <f t="array" aca="1" ref="J414" ca="1">_xll.GetPrice("FP-LBR-1308","Actual","Low",_LATESTvarPubDate)</f>
        <v>330</v>
      </c>
      <c r="K414" s="107">
        <f t="array" aca="1" ref="K414" ca="1">_xll.GetPrice("FP-LBR-1311","Actual","Low",_LATESTvarPubDate)</f>
        <v>380</v>
      </c>
      <c r="L414" s="107">
        <f t="array" aca="1" ref="L414" ca="1">_xll.GetPrice("FP-LBR-1314","Actual","Low",_LATESTvarPubDate)</f>
        <v>360</v>
      </c>
      <c r="M414" s="106" t="s">
        <v>37</v>
      </c>
      <c r="O414" s="73"/>
      <c r="P414" s="73"/>
      <c r="Q414" s="73"/>
      <c r="R414" s="73"/>
      <c r="S414" s="73"/>
      <c r="T414" s="73"/>
      <c r="U414" s="73"/>
      <c r="V414" s="73"/>
      <c r="W414" s="73"/>
      <c r="X414" s="73"/>
      <c r="Y414" s="73"/>
      <c r="Z414" s="73"/>
      <c r="AA414" s="74"/>
      <c r="AB414" s="7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N414" s="93"/>
      <c r="BO414" s="93"/>
      <c r="BP414" s="93"/>
      <c r="BQ414" s="93"/>
    </row>
    <row r="415" spans="1:69" s="71" customFormat="1" x14ac:dyDescent="0.2">
      <c r="P415" s="73"/>
      <c r="Q415" s="73"/>
      <c r="R415" s="73"/>
      <c r="S415" s="73"/>
      <c r="T415" s="73"/>
      <c r="U415" s="73"/>
      <c r="V415" s="73"/>
      <c r="W415" s="73"/>
      <c r="X415" s="73"/>
      <c r="Y415" s="73"/>
      <c r="Z415" s="73"/>
      <c r="AA415" s="74"/>
      <c r="AB415" s="7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N415" s="93"/>
      <c r="BO415" s="93"/>
      <c r="BP415" s="93"/>
      <c r="BQ415" s="93"/>
    </row>
    <row r="416" spans="1:69" s="71" customFormat="1" x14ac:dyDescent="0.2">
      <c r="A416" s="96" t="s">
        <v>242</v>
      </c>
      <c r="B416" s="73"/>
      <c r="C416" s="73"/>
      <c r="D416" s="73"/>
      <c r="E416" s="73"/>
      <c r="F416" s="73"/>
      <c r="G416" s="73"/>
      <c r="H416" s="73"/>
      <c r="I416" s="73"/>
      <c r="J416" s="73"/>
      <c r="K416" s="73"/>
      <c r="L416" s="73"/>
      <c r="M416" s="73"/>
      <c r="N416" s="73"/>
      <c r="O416" s="73"/>
      <c r="Q416" s="73"/>
      <c r="R416" s="73"/>
      <c r="S416" s="73"/>
      <c r="T416" s="73"/>
      <c r="U416" s="73"/>
      <c r="V416" s="73"/>
      <c r="W416" s="73"/>
      <c r="X416" s="73"/>
      <c r="Y416" s="73"/>
      <c r="Z416" s="73"/>
      <c r="AA416" s="74"/>
      <c r="AB416" s="7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N416" s="93"/>
      <c r="BO416" s="93"/>
      <c r="BP416" s="93"/>
      <c r="BQ416" s="93"/>
    </row>
    <row r="417" spans="1:69" s="71" customFormat="1" x14ac:dyDescent="0.2">
      <c r="A417" s="117" t="s">
        <v>243</v>
      </c>
      <c r="B417" s="73"/>
      <c r="C417" s="73"/>
      <c r="D417" s="73"/>
      <c r="E417" s="73"/>
      <c r="F417" s="73"/>
      <c r="G417" s="73"/>
      <c r="H417" s="73"/>
      <c r="I417" s="73"/>
      <c r="J417" s="104" t="s">
        <v>244</v>
      </c>
      <c r="K417" s="73"/>
      <c r="L417" s="73"/>
      <c r="M417" s="73"/>
      <c r="N417" s="73"/>
      <c r="O417" s="73"/>
      <c r="P417" s="73"/>
      <c r="Q417" s="73"/>
      <c r="R417" s="73"/>
      <c r="S417" s="73"/>
      <c r="T417" s="73"/>
      <c r="U417" s="73"/>
      <c r="V417" s="73"/>
      <c r="W417" s="73"/>
      <c r="X417" s="73"/>
      <c r="Y417" s="73"/>
      <c r="Z417" s="73"/>
      <c r="AA417" s="74"/>
      <c r="AB417" s="7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N417" s="93"/>
      <c r="BO417" s="93"/>
      <c r="BP417" s="93"/>
      <c r="BQ417" s="93"/>
    </row>
    <row r="418" spans="1:69" s="71" customFormat="1" x14ac:dyDescent="0.2">
      <c r="A418" s="73"/>
      <c r="B418" s="98" t="s">
        <v>127</v>
      </c>
      <c r="C418" s="98" t="s">
        <v>128</v>
      </c>
      <c r="D418" s="98" t="s">
        <v>129</v>
      </c>
      <c r="E418" s="98" t="s">
        <v>130</v>
      </c>
      <c r="F418" s="98" t="s">
        <v>131</v>
      </c>
      <c r="G418" s="73"/>
      <c r="H418" s="73"/>
      <c r="I418" s="73"/>
      <c r="J418" s="73"/>
      <c r="K418" s="98" t="s">
        <v>127</v>
      </c>
      <c r="L418" s="98" t="s">
        <v>128</v>
      </c>
      <c r="M418" s="98" t="s">
        <v>129</v>
      </c>
      <c r="N418" s="98" t="s">
        <v>130</v>
      </c>
      <c r="O418" s="98" t="s">
        <v>131</v>
      </c>
      <c r="P418" s="73"/>
      <c r="Q418" s="73"/>
      <c r="R418" s="73"/>
      <c r="S418" s="73"/>
      <c r="T418" s="73"/>
      <c r="U418" s="73"/>
      <c r="V418" s="73"/>
      <c r="W418" s="73"/>
      <c r="X418" s="73"/>
      <c r="Y418" s="73"/>
      <c r="Z418" s="73"/>
      <c r="AA418" s="74"/>
      <c r="AB418" s="7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N418" s="93"/>
      <c r="BO418" s="93"/>
      <c r="BP418" s="93"/>
      <c r="BQ418" s="93"/>
    </row>
    <row r="419" spans="1:69" s="71" customFormat="1" x14ac:dyDescent="0.2">
      <c r="A419" s="82" t="s">
        <v>136</v>
      </c>
      <c r="B419" s="107">
        <f t="array" aca="1" ref="B419" ca="1">_xll.GetPrice("FP-LBR-0751","Actual","Low",_LATESTvarPubDate)</f>
        <v>555</v>
      </c>
      <c r="C419" s="107">
        <f t="array" aca="1" ref="C419" ca="1">_xll.GetPrice("FP-LBR-0752","Actual","Low",_LATESTvarPubDate)</f>
        <v>500</v>
      </c>
      <c r="D419" s="107">
        <f t="array" aca="1" ref="D419" ca="1">_xll.GetPrice("FP-LBR-0753","Actual","Low",_LATESTvarPubDate)</f>
        <v>505</v>
      </c>
      <c r="E419" s="107">
        <f t="array" aca="1" ref="E419" ca="1">_xll.GetPrice("FP-LBR-0754","Actual","Low",_LATESTvarPubDate)</f>
        <v>550</v>
      </c>
      <c r="F419" s="107">
        <f t="array" aca="1" ref="F419" ca="1">_xll.GetPrice("FP-LBR-0755","Actual","Low",_LATESTvarPubDate)</f>
        <v>570</v>
      </c>
      <c r="J419" s="82" t="s">
        <v>245</v>
      </c>
      <c r="K419" s="107">
        <f t="array" aca="1" ref="K419" ca="1">_xll.GetPrice("FP-LBR-0796","Actual","Low",_LATESTvarPubDate)</f>
        <v>710</v>
      </c>
      <c r="L419" s="107">
        <f t="array" aca="1" ref="L419" ca="1">_xll.GetPrice("FP-LBR-0797","Actual","Low",_LATESTvarPubDate)</f>
        <v>710</v>
      </c>
      <c r="M419" s="107">
        <f t="array" aca="1" ref="M419" ca="1">_xll.GetPrice("FP-LBR-0798","Actual","Low",_LATESTvarPubDate)</f>
        <v>640</v>
      </c>
      <c r="N419" s="107">
        <f t="array" aca="1" ref="N419" ca="1">_xll.GetPrice("FP-LBR-0799","Actual","Low",_LATESTvarPubDate)</f>
        <v>610</v>
      </c>
      <c r="O419" s="107">
        <f t="array" aca="1" ref="O419" ca="1">_xll.GetPrice("FP-LBR-0800","Actual","Low",_LATESTvarPubDate)</f>
        <v>700</v>
      </c>
      <c r="P419" s="73"/>
      <c r="Q419" s="73"/>
      <c r="R419" s="73"/>
      <c r="S419" s="73"/>
      <c r="T419" s="73"/>
      <c r="U419" s="73"/>
      <c r="V419" s="73"/>
      <c r="W419" s="73"/>
      <c r="X419" s="73"/>
      <c r="Y419" s="73"/>
      <c r="Z419" s="73"/>
      <c r="AA419" s="74"/>
      <c r="AB419" s="7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N419" s="93"/>
      <c r="BO419" s="93"/>
      <c r="BP419" s="93"/>
      <c r="BQ419" s="93"/>
    </row>
    <row r="420" spans="1:69" s="71" customFormat="1" x14ac:dyDescent="0.2">
      <c r="A420" s="82" t="s">
        <v>39</v>
      </c>
      <c r="B420" s="107">
        <f t="array" aca="1" ref="B420" ca="1">_xll.GetPrice("FP-LBR-0756","Actual","Low",_LATESTvarPubDate)</f>
        <v>450</v>
      </c>
      <c r="C420" s="107">
        <f t="array" aca="1" ref="C420" ca="1">_xll.GetPrice("FP-LBR-0757","Actual","Low",_LATESTvarPubDate)</f>
        <v>460</v>
      </c>
      <c r="D420" s="107">
        <f t="array" aca="1" ref="D420" ca="1">_xll.GetPrice("FP-LBR-0758","Actual","Low",_LATESTvarPubDate)</f>
        <v>470</v>
      </c>
      <c r="E420" s="107">
        <f t="array" aca="1" ref="E420" ca="1">_xll.GetPrice("FP-LBR-0759","Actual","Low",_LATESTvarPubDate)</f>
        <v>495</v>
      </c>
      <c r="F420" s="107">
        <f t="array" aca="1" ref="F420" ca="1">_xll.GetPrice("FP-LBR-0760","Actual","Low",_LATESTvarPubDate)</f>
        <v>480</v>
      </c>
      <c r="J420" s="82" t="s">
        <v>246</v>
      </c>
      <c r="K420" s="107">
        <f t="array" aca="1" ref="K420" ca="1">_xll.GetPrice("FP-LBR-0801","Actual","Low",_LATESTvarPubDate)</f>
        <v>685</v>
      </c>
      <c r="L420" s="107">
        <f t="array" aca="1" ref="L420" ca="1">_xll.GetPrice("FP-LBR-0802","Actual","Low",_LATESTvarPubDate)</f>
        <v>650</v>
      </c>
      <c r="M420" s="107">
        <f t="array" aca="1" ref="M420" ca="1">_xll.GetPrice("FP-LBR-0803","Actual","Low",_LATESTvarPubDate)</f>
        <v>690</v>
      </c>
      <c r="N420" s="107">
        <f t="array" aca="1" ref="N420" ca="1">_xll.GetPrice("FP-LBR-0804","Actual","Low",_LATESTvarPubDate)</f>
        <v>655</v>
      </c>
      <c r="O420" s="107">
        <f t="array" aca="1" ref="O420" ca="1">_xll.GetPrice("FP-LBR-0805","Actual","Low",_LATESTvarPubDate)</f>
        <v>690</v>
      </c>
      <c r="P420" s="73"/>
      <c r="Q420" s="73"/>
      <c r="R420" s="73"/>
      <c r="S420" s="73"/>
      <c r="T420" s="73"/>
      <c r="U420" s="73"/>
      <c r="V420" s="73"/>
      <c r="W420" s="73"/>
      <c r="X420" s="73"/>
      <c r="Y420" s="73"/>
      <c r="Z420" s="73"/>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N420" s="93"/>
      <c r="BO420" s="93"/>
      <c r="BP420" s="93"/>
      <c r="BQ420" s="93"/>
    </row>
    <row r="421" spans="1:69" s="71" customFormat="1" x14ac:dyDescent="0.2">
      <c r="A421" s="82" t="s">
        <v>40</v>
      </c>
      <c r="B421" s="107">
        <f t="array" aca="1" ref="B421" ca="1">_xll.GetPrice("FP-LBR-0761","Actual","Low",_LATESTvarPubDate)</f>
        <v>470</v>
      </c>
      <c r="C421" s="107">
        <f t="array" aca="1" ref="C421" ca="1">_xll.GetPrice("FP-LBR-0762","Actual","Low",_LATESTvarPubDate)</f>
        <v>460</v>
      </c>
      <c r="D421" s="107">
        <f t="array" aca="1" ref="D421" ca="1">_xll.GetPrice("FP-LBR-0763","Actual","Low",_LATESTvarPubDate)</f>
        <v>465</v>
      </c>
      <c r="E421" s="107">
        <f t="array" aca="1" ref="E421" ca="1">_xll.GetPrice("FP-LBR-0764","Actual","Low",_LATESTvarPubDate)</f>
        <v>465</v>
      </c>
      <c r="F421" s="107">
        <f t="array" aca="1" ref="F421" ca="1">_xll.GetPrice("FP-LBR-0765","Actual","Low",_LATESTvarPubDate)</f>
        <v>475</v>
      </c>
      <c r="J421" s="82" t="s">
        <v>247</v>
      </c>
      <c r="K421" s="107">
        <f t="array" aca="1" ref="K421" ca="1">_xll.GetPrice("FP-LBR-0806","Actual","Low",_LATESTvarPubDate)</f>
        <v>795</v>
      </c>
      <c r="L421" s="107">
        <f t="array" aca="1" ref="L421" ca="1">_xll.GetPrice("FP-LBR-0807","Actual","Low",_LATESTvarPubDate)</f>
        <v>845</v>
      </c>
      <c r="M421" s="107">
        <f t="array" aca="1" ref="M421" ca="1">_xll.GetPrice("FP-LBR-0808","Actual","Low",_LATESTvarPubDate)</f>
        <v>740</v>
      </c>
      <c r="N421" s="107">
        <f t="array" aca="1" ref="N421" ca="1">_xll.GetPrice("FP-LBR-0809","Actual","Low",_LATESTvarPubDate)</f>
        <v>675</v>
      </c>
      <c r="O421" s="107">
        <f t="array" aca="1" ref="O421" ca="1">_xll.GetPrice("FP-LBR-0810","Actual","Low",_LATESTvarPubDate)</f>
        <v>785</v>
      </c>
      <c r="P421" s="73"/>
      <c r="Q421" s="73"/>
      <c r="R421" s="73"/>
      <c r="S421" s="73"/>
      <c r="T421" s="73"/>
      <c r="U421" s="73"/>
      <c r="V421" s="73"/>
      <c r="W421" s="73"/>
      <c r="X421" s="73"/>
      <c r="Y421" s="73"/>
      <c r="Z421" s="73"/>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N421" s="93"/>
      <c r="BO421" s="93"/>
      <c r="BP421" s="93"/>
      <c r="BQ421" s="93"/>
    </row>
    <row r="422" spans="1:69" s="71" customFormat="1" x14ac:dyDescent="0.2">
      <c r="A422" s="82" t="s">
        <v>41</v>
      </c>
      <c r="B422" s="107">
        <f t="array" aca="1" ref="B422" ca="1">_xll.GetPrice("FP-LBR-0766","Actual","Low",_LATESTvarPubDate)</f>
        <v>450</v>
      </c>
      <c r="C422" s="107">
        <f t="array" aca="1" ref="C422" ca="1">_xll.GetPrice("FP-LBR-0767","Actual","Low",_LATESTvarPubDate)</f>
        <v>500</v>
      </c>
      <c r="D422" s="107">
        <f t="array" aca="1" ref="D422" ca="1">_xll.GetPrice("FP-LBR-0768","Actual","Low",_LATESTvarPubDate)</f>
        <v>515</v>
      </c>
      <c r="E422" s="107">
        <f t="array" aca="1" ref="E422" ca="1">_xll.GetPrice("FP-LBR-0769","Actual","Low",_LATESTvarPubDate)</f>
        <v>540</v>
      </c>
      <c r="F422" s="107">
        <f t="array" aca="1" ref="F422" ca="1">_xll.GetPrice("FP-LBR-0770","Actual","Low",_LATESTvarPubDate)</f>
        <v>535</v>
      </c>
      <c r="J422" s="104" t="s">
        <v>248</v>
      </c>
      <c r="K422" s="73"/>
      <c r="L422" s="73"/>
      <c r="M422" s="73"/>
      <c r="N422" s="73"/>
      <c r="O422" s="73"/>
      <c r="P422" s="73"/>
      <c r="Q422" s="73"/>
      <c r="R422" s="73"/>
      <c r="S422" s="73"/>
      <c r="T422" s="73"/>
      <c r="U422" s="73"/>
      <c r="V422" s="73"/>
      <c r="W422" s="73"/>
      <c r="X422" s="73"/>
      <c r="Y422" s="73"/>
      <c r="Z422" s="73"/>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N422" s="93"/>
      <c r="BO422" s="93"/>
      <c r="BP422" s="93"/>
      <c r="BQ422" s="93"/>
    </row>
    <row r="423" spans="1:69" s="71" customFormat="1" x14ac:dyDescent="0.2">
      <c r="A423" s="82" t="s">
        <v>42</v>
      </c>
      <c r="B423" s="107">
        <f t="array" aca="1" ref="B423" ca="1">_xll.GetPrice("FP-LBR-0771","Actual","Low",_LATESTvarPubDate)</f>
        <v>445</v>
      </c>
      <c r="C423" s="107">
        <f t="array" aca="1" ref="C423" ca="1">_xll.GetPrice("FP-LBR-0772","Actual","Low",_LATESTvarPubDate)</f>
        <v>445</v>
      </c>
      <c r="D423" s="107">
        <f t="array" aca="1" ref="D423" ca="1">_xll.GetPrice("FP-LBR-0773","Actual","Low",_LATESTvarPubDate)</f>
        <v>485</v>
      </c>
      <c r="E423" s="107">
        <f t="array" aca="1" ref="E423" ca="1">_xll.GetPrice("FP-LBR-0774","Actual","Low",_LATESTvarPubDate)</f>
        <v>445</v>
      </c>
      <c r="F423" s="107">
        <f t="array" aca="1" ref="F423" ca="1">_xll.GetPrice("FP-LBR-0775","Actual","Low",_LATESTvarPubDate)</f>
        <v>500</v>
      </c>
      <c r="J423" s="82" t="s">
        <v>249</v>
      </c>
      <c r="K423" s="107">
        <f t="array" aca="1" ref="K423" ca="1">_xll.GetPrice("FP-LBR-0776","Actual","Low",_LATESTvarPubDate)</f>
        <v>915</v>
      </c>
      <c r="L423" s="107">
        <f t="array" aca="1" ref="L423" ca="1">_xll.GetPrice("FP-LBR-0777","Actual","Low",_LATESTvarPubDate)</f>
        <v>870</v>
      </c>
      <c r="M423" s="107">
        <f t="array" aca="1" ref="M423" ca="1">_xll.GetPrice("FP-LBR-0778","Actual","Low",_LATESTvarPubDate)</f>
        <v>805</v>
      </c>
      <c r="N423" s="107">
        <f t="array" aca="1" ref="N423" ca="1">_xll.GetPrice("FP-LBR-0779","Actual","Low",_LATESTvarPubDate)</f>
        <v>780</v>
      </c>
      <c r="O423" s="107">
        <f t="array" aca="1" ref="O423" ca="1">_xll.GetPrice("FP-LBR-0780","Actual","Low",_LATESTvarPubDate)</f>
        <v>895</v>
      </c>
      <c r="P423" s="73"/>
      <c r="Q423" s="73"/>
      <c r="R423" s="73"/>
      <c r="S423" s="73"/>
      <c r="T423" s="73"/>
      <c r="U423" s="73"/>
      <c r="V423" s="73"/>
      <c r="W423" s="73"/>
      <c r="X423" s="73"/>
      <c r="Y423" s="73"/>
      <c r="Z423" s="73"/>
      <c r="AA423" s="74"/>
      <c r="AB423" s="7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N423" s="93"/>
      <c r="BO423" s="93"/>
      <c r="BP423" s="93"/>
      <c r="BQ423" s="93"/>
    </row>
    <row r="424" spans="1:69" s="71" customFormat="1" x14ac:dyDescent="0.2">
      <c r="A424" s="110" t="s">
        <v>250</v>
      </c>
      <c r="C424" s="107">
        <f t="array" aca="1" ref="C424" ca="1">_xll.GetPrice("FP-LBR-0903","Actual","Low",_LATESTvarPubDate)</f>
        <v>60</v>
      </c>
      <c r="D424" s="107">
        <f t="array" aca="1" ref="D424" ca="1">_xll.GetPrice("FP-LBR-0903","Actual","High",_LATESTvarPubDate)</f>
        <v>70</v>
      </c>
      <c r="E424" s="114"/>
      <c r="J424" s="82" t="s">
        <v>251</v>
      </c>
      <c r="K424" s="107">
        <f t="array" aca="1" ref="K424" ca="1">_xll.GetPrice("FP-LBR-0781","Actual","Low",_LATESTvarPubDate)</f>
        <v>860</v>
      </c>
      <c r="L424" s="107">
        <f t="array" aca="1" ref="L424" ca="1">_xll.GetPrice("FP-LBR-0782","Actual","Low",_LATESTvarPubDate)</f>
        <v>885</v>
      </c>
      <c r="M424" s="107">
        <f t="array" aca="1" ref="M424" ca="1">_xll.GetPrice("FP-LBR-0783","Actual","Low",_LATESTvarPubDate)</f>
        <v>965</v>
      </c>
      <c r="N424" s="107">
        <f t="array" aca="1" ref="N424" ca="1">_xll.GetPrice("FP-LBR-0784","Actual","Low",_LATESTvarPubDate)</f>
        <v>745</v>
      </c>
      <c r="O424" s="107">
        <f t="array" aca="1" ref="O424" ca="1">_xll.GetPrice("FP-LBR-0785","Actual","Low",_LATESTvarPubDate)</f>
        <v>1110</v>
      </c>
      <c r="P424" s="73"/>
      <c r="Q424" s="73"/>
      <c r="R424" s="73"/>
      <c r="S424" s="73"/>
      <c r="T424" s="73"/>
      <c r="U424" s="73"/>
      <c r="V424" s="73"/>
      <c r="W424" s="73"/>
      <c r="X424" s="73"/>
      <c r="Y424" s="73"/>
      <c r="Z424" s="73"/>
      <c r="AA424" s="74"/>
      <c r="AB424" s="7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N424" s="93"/>
      <c r="BO424" s="93"/>
      <c r="BP424" s="93"/>
      <c r="BQ424" s="93"/>
    </row>
    <row r="425" spans="1:69" s="71" customFormat="1" x14ac:dyDescent="0.2">
      <c r="A425" s="74"/>
      <c r="B425" s="74"/>
      <c r="C425" s="74"/>
      <c r="D425" s="74"/>
      <c r="J425" s="82" t="s">
        <v>252</v>
      </c>
      <c r="K425" s="107">
        <f t="array" aca="1" ref="K425" ca="1">_xll.GetPrice("FP-LBR-0786","Actual","Low",_LATESTvarPubDate)</f>
        <v>720</v>
      </c>
      <c r="L425" s="107">
        <f t="array" aca="1" ref="L425" ca="1">_xll.GetPrice("FP-LBR-0787","Actual","Low",_LATESTvarPubDate)</f>
        <v>715</v>
      </c>
      <c r="M425" s="107">
        <f t="array" aca="1" ref="M425" ca="1">_xll.GetPrice("FP-LBR-0788","Actual","Low",_LATESTvarPubDate)</f>
        <v>650</v>
      </c>
      <c r="N425" s="107">
        <f t="array" aca="1" ref="N425" ca="1">_xll.GetPrice("FP-LBR-0789","Actual","Low",_LATESTvarPubDate)</f>
        <v>580</v>
      </c>
      <c r="O425" s="107">
        <f t="array" aca="1" ref="O425" ca="1">_xll.GetPrice("FP-LBR-0790","Actual","Low",_LATESTvarPubDate)</f>
        <v>660</v>
      </c>
      <c r="P425" s="73"/>
      <c r="Q425" s="73"/>
      <c r="R425" s="73"/>
      <c r="S425" s="73"/>
      <c r="T425" s="73"/>
      <c r="U425" s="73"/>
      <c r="V425" s="73"/>
      <c r="W425" s="73"/>
      <c r="X425" s="73"/>
      <c r="Y425" s="73"/>
      <c r="Z425" s="73"/>
      <c r="AA425" s="74"/>
      <c r="AB425" s="7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N425" s="93"/>
      <c r="BO425" s="93"/>
      <c r="BP425" s="93"/>
      <c r="BQ425" s="93"/>
    </row>
    <row r="426" spans="1:69" s="71" customFormat="1" x14ac:dyDescent="0.2">
      <c r="A426" s="73"/>
      <c r="J426" s="82" t="s">
        <v>206</v>
      </c>
      <c r="K426" s="107">
        <f t="array" aca="1" ref="K426" ca="1">_xll.GetPrice("FP-LBR-0791","Actual","Low",_LATESTvarPubDate)</f>
        <v>825</v>
      </c>
      <c r="L426" s="107">
        <f t="array" aca="1" ref="L426" ca="1">_xll.GetPrice("FP-LBR-0792","Actual","Low",_LATESTvarPubDate)</f>
        <v>800</v>
      </c>
      <c r="M426" s="107">
        <f t="array" aca="1" ref="M426" ca="1">_xll.GetPrice("FP-LBR-0793","Actual","Low",_LATESTvarPubDate)</f>
        <v>770</v>
      </c>
      <c r="N426" s="107">
        <f t="array" aca="1" ref="N426" ca="1">_xll.GetPrice("FP-LBR-0794","Actual","Low",_LATESTvarPubDate)</f>
        <v>705</v>
      </c>
      <c r="O426" s="107">
        <f t="array" aca="1" ref="O426" ca="1">_xll.GetPrice("FP-LBR-0795","Actual","Low",_LATESTvarPubDate)</f>
        <v>845</v>
      </c>
      <c r="P426" s="73"/>
      <c r="Q426" s="73"/>
      <c r="R426" s="73"/>
      <c r="S426" s="73"/>
      <c r="T426" s="73"/>
      <c r="U426" s="73"/>
      <c r="V426" s="73"/>
      <c r="W426" s="73"/>
      <c r="X426" s="73"/>
      <c r="Y426" s="73"/>
      <c r="Z426" s="73"/>
      <c r="AA426" s="74"/>
      <c r="AB426" s="7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N426" s="93"/>
      <c r="BO426" s="93"/>
      <c r="BP426" s="93"/>
      <c r="BQ426" s="93"/>
    </row>
    <row r="427" spans="1:69" s="71" customFormat="1" x14ac:dyDescent="0.2">
      <c r="A427" s="73"/>
      <c r="B427" s="73"/>
      <c r="C427" s="73"/>
      <c r="D427" s="73"/>
      <c r="E427" s="73"/>
      <c r="F427" s="73"/>
      <c r="G427" s="73"/>
      <c r="H427" s="73"/>
      <c r="I427" s="73"/>
      <c r="J427" s="110" t="s">
        <v>253</v>
      </c>
      <c r="L427" s="107">
        <f t="array" aca="1" ref="L427" ca="1">_xll.GetPrice("FP-LBR-0902","Actual","Low",_LATESTvarPubDate)</f>
        <v>60</v>
      </c>
      <c r="M427" s="107">
        <f t="array" aca="1" ref="M427" ca="1">_xll.GetPrice("FP-LBR-0902","Actual","High",_LATESTvarPubDate)</f>
        <v>70</v>
      </c>
      <c r="N427" s="73"/>
      <c r="O427" s="73"/>
      <c r="P427" s="73"/>
      <c r="Q427" s="73"/>
      <c r="R427" s="73"/>
      <c r="S427" s="73"/>
      <c r="T427" s="73"/>
      <c r="U427" s="73"/>
      <c r="V427" s="73"/>
      <c r="W427" s="73"/>
      <c r="X427" s="73"/>
      <c r="Y427" s="73"/>
      <c r="Z427" s="73"/>
      <c r="AA427" s="74"/>
      <c r="AB427" s="7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N427" s="93"/>
      <c r="BO427" s="93"/>
      <c r="BP427" s="93"/>
      <c r="BQ427" s="93"/>
    </row>
    <row r="428" spans="1:69" s="71" customFormat="1" x14ac:dyDescent="0.2">
      <c r="A428" s="96" t="s">
        <v>254</v>
      </c>
      <c r="B428" s="73"/>
      <c r="C428" s="73"/>
      <c r="D428" s="73"/>
      <c r="E428" s="73"/>
      <c r="F428" s="73"/>
      <c r="G428" s="73"/>
      <c r="H428" s="73"/>
      <c r="I428" s="73"/>
      <c r="J428" s="114"/>
      <c r="N428" s="73"/>
      <c r="O428" s="73"/>
      <c r="P428" s="73"/>
      <c r="Q428" s="73"/>
      <c r="R428" s="73"/>
      <c r="S428" s="73"/>
      <c r="T428" s="73"/>
      <c r="U428" s="73"/>
      <c r="V428" s="73"/>
      <c r="W428" s="73"/>
      <c r="X428" s="73"/>
      <c r="Y428" s="73"/>
      <c r="Z428" s="73"/>
      <c r="AA428" s="74"/>
      <c r="AB428" s="7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N428" s="93"/>
      <c r="BO428" s="93"/>
      <c r="BP428" s="93"/>
      <c r="BQ428" s="93"/>
    </row>
    <row r="429" spans="1:69" s="71" customFormat="1" x14ac:dyDescent="0.2">
      <c r="A429" s="104" t="s">
        <v>255</v>
      </c>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c r="AA429" s="74"/>
      <c r="AB429" s="7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N429" s="93"/>
      <c r="BO429" s="93"/>
      <c r="BP429" s="93"/>
      <c r="BQ429" s="93"/>
    </row>
    <row r="430" spans="1:69" s="71" customFormat="1" x14ac:dyDescent="0.2">
      <c r="A430" s="73"/>
      <c r="C430" s="98" t="s">
        <v>53</v>
      </c>
      <c r="D430" s="98" t="s">
        <v>21</v>
      </c>
      <c r="E430" s="128" t="s">
        <v>256</v>
      </c>
      <c r="F430" s="104"/>
      <c r="G430" s="98" t="s">
        <v>257</v>
      </c>
      <c r="H430" s="98" t="s">
        <v>258</v>
      </c>
      <c r="I430" s="73"/>
      <c r="P430" s="73"/>
      <c r="Q430" s="73"/>
      <c r="R430" s="73"/>
      <c r="S430" s="73"/>
      <c r="T430" s="73"/>
      <c r="U430" s="73"/>
      <c r="V430" s="73"/>
      <c r="W430" s="73"/>
      <c r="X430" s="73"/>
      <c r="Y430" s="73"/>
      <c r="Z430" s="73"/>
      <c r="AA430" s="74"/>
      <c r="AB430" s="7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N430" s="93"/>
      <c r="BO430" s="93"/>
      <c r="BP430" s="93"/>
      <c r="BQ430" s="93"/>
    </row>
    <row r="431" spans="1:69" s="71" customFormat="1" x14ac:dyDescent="0.2">
      <c r="A431" s="82" t="s">
        <v>259</v>
      </c>
      <c r="C431" s="107">
        <f t="array" aca="1" ref="C431" ca="1">_xll.GetPrice("FP-LBR-1399","Actual","Low",_LATESTvarPubDate)</f>
        <v>555</v>
      </c>
      <c r="D431" s="107">
        <f t="array" aca="1" ref="D431" ca="1">_xll.GetPrice("FP-LBR-1404","Actual","Low",_LATESTvarPubDate)</f>
        <v>575</v>
      </c>
      <c r="E431" s="129" t="s">
        <v>260</v>
      </c>
      <c r="G431" s="107">
        <f t="array" aca="1" ref="G431" ca="1">_xll.GetPrice("FP-LBR-1409","Actual","Low",_LATESTvarPubDate)</f>
        <v>1600</v>
      </c>
      <c r="H431" s="107">
        <f t="array" aca="1" ref="H431" ca="1">_xll.GetPrice("FP-LBR-1415","Actual","Low",_LATESTvarPubDate)</f>
        <v>1275</v>
      </c>
      <c r="J431" s="96" t="s">
        <v>261</v>
      </c>
      <c r="K431" s="73"/>
      <c r="L431" s="73"/>
      <c r="N431" s="74"/>
      <c r="O431" s="74"/>
      <c r="P431" s="73"/>
      <c r="Q431" s="73"/>
      <c r="R431" s="73"/>
      <c r="S431" s="73"/>
      <c r="T431" s="73"/>
      <c r="U431" s="73"/>
      <c r="V431" s="73"/>
      <c r="W431" s="73"/>
      <c r="X431" s="73"/>
      <c r="Y431" s="73"/>
      <c r="Z431" s="73"/>
      <c r="AA431" s="74"/>
      <c r="AB431" s="7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N431" s="93"/>
      <c r="BO431" s="93"/>
      <c r="BP431" s="93"/>
      <c r="BQ431" s="93"/>
    </row>
    <row r="432" spans="1:69" s="71" customFormat="1" x14ac:dyDescent="0.2">
      <c r="A432" s="82" t="s">
        <v>262</v>
      </c>
      <c r="C432" s="107">
        <f t="array" aca="1" ref="C432" ca="1">_xll.GetPrice("FP-LBR-1400","Actual","Low",_LATESTvarPubDate)</f>
        <v>505</v>
      </c>
      <c r="D432" s="107">
        <f t="array" aca="1" ref="D432" ca="1">_xll.GetPrice("FP-LBR-1405","Actual","Low",_LATESTvarPubDate)</f>
        <v>540</v>
      </c>
      <c r="E432" s="129" t="s">
        <v>263</v>
      </c>
      <c r="G432" s="107">
        <f t="array" aca="1" ref="G432" ca="1">_xll.GetPrice("FP-LBR-1410","Actual","Low",_LATESTvarPubDate)</f>
        <v>1510</v>
      </c>
      <c r="H432" s="107">
        <f t="array" aca="1" ref="H432" ca="1">_xll.GetPrice("FP-LBR-1416","Actual","Low",_LATESTvarPubDate)</f>
        <v>1255</v>
      </c>
      <c r="J432" s="104" t="s">
        <v>264</v>
      </c>
      <c r="M432" s="118"/>
      <c r="O432" s="104" t="s">
        <v>265</v>
      </c>
      <c r="P432" s="74"/>
      <c r="Q432" s="73"/>
      <c r="R432" s="73"/>
      <c r="S432" s="73"/>
      <c r="T432" s="73"/>
      <c r="U432" s="73"/>
      <c r="V432" s="73"/>
      <c r="W432" s="73"/>
      <c r="X432" s="73"/>
      <c r="Y432" s="73"/>
      <c r="Z432" s="73"/>
      <c r="AA432" s="74"/>
      <c r="AB432" s="7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N432" s="93"/>
      <c r="BO432" s="93"/>
      <c r="BP432" s="93"/>
      <c r="BQ432" s="93"/>
    </row>
    <row r="433" spans="1:69" s="71" customFormat="1" x14ac:dyDescent="0.2">
      <c r="A433" s="82" t="s">
        <v>266</v>
      </c>
      <c r="C433" s="107">
        <f t="array" aca="1" ref="C433" ca="1">_xll.GetPrice("FP-LBR-1401","Actual","Low",_LATESTvarPubDate)</f>
        <v>635</v>
      </c>
      <c r="D433" s="107">
        <f t="array" aca="1" ref="D433" ca="1">_xll.GetPrice("FP-LBR-1406","Actual","Low",_LATESTvarPubDate)</f>
        <v>640</v>
      </c>
      <c r="E433" s="129" t="s">
        <v>267</v>
      </c>
      <c r="G433" s="107">
        <f t="array" aca="1" ref="G433" ca="1">_xll.GetPrice("FP-LBR-1411","Actual","Low",_LATESTvarPubDate)</f>
        <v>1685</v>
      </c>
      <c r="H433" s="106" t="s">
        <v>37</v>
      </c>
      <c r="K433" s="98" t="s">
        <v>268</v>
      </c>
      <c r="L433" s="98" t="s">
        <v>257</v>
      </c>
      <c r="M433" s="98" t="s">
        <v>258</v>
      </c>
      <c r="O433" s="118"/>
      <c r="P433" s="98" t="s">
        <v>268</v>
      </c>
      <c r="Q433" s="98" t="s">
        <v>257</v>
      </c>
      <c r="R433" s="98" t="s">
        <v>258</v>
      </c>
      <c r="S433" s="73"/>
      <c r="T433" s="73"/>
      <c r="U433" s="73"/>
      <c r="V433" s="73"/>
      <c r="W433" s="73"/>
      <c r="X433" s="73"/>
      <c r="Y433" s="73"/>
      <c r="Z433" s="73"/>
      <c r="AA433" s="74"/>
      <c r="AB433" s="7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N433" s="93"/>
      <c r="BO433" s="93"/>
      <c r="BP433" s="93"/>
      <c r="BQ433" s="93"/>
    </row>
    <row r="434" spans="1:69" s="71" customFormat="1" x14ac:dyDescent="0.2">
      <c r="A434" s="82" t="s">
        <v>269</v>
      </c>
      <c r="C434" s="107">
        <f t="array" aca="1" ref="C434" ca="1">_xll.GetPrice("FP-LBR-1402","Actual","Low",_LATESTvarPubDate)</f>
        <v>635</v>
      </c>
      <c r="D434" s="107">
        <f t="array" aca="1" ref="D434" ca="1">_xll.GetPrice("FP-LBR-1407","Actual","Low",_LATESTvarPubDate)</f>
        <v>600</v>
      </c>
      <c r="E434" s="129" t="s">
        <v>270</v>
      </c>
      <c r="F434" s="129"/>
      <c r="G434" s="107">
        <f t="array" aca="1" ref="G434" ca="1">_xll.GetPrice("FP-LBR-1412","Actual","Low",_LATESTvarPubDate)</f>
        <v>2240</v>
      </c>
      <c r="H434" s="106" t="s">
        <v>37</v>
      </c>
      <c r="J434" s="82" t="s">
        <v>36</v>
      </c>
      <c r="K434" s="107">
        <f t="array" aca="1" ref="K434" ca="1">_xll.GetPrice("FP-LBR-1814","Actual","Low",_LATESTvarPubDate)</f>
        <v>1785</v>
      </c>
      <c r="L434" s="107">
        <f t="array" aca="1" ref="L434" ca="1">_xll.GetPrice("FP-LBR-1819","Actual","Low",_LATESTvarPubDate)</f>
        <v>1485</v>
      </c>
      <c r="M434" s="107">
        <f t="array" aca="1" ref="M434" ca="1">_xll.GetPrice("FP-LBR-1824","Actual","Low",_LATESTvarPubDate)</f>
        <v>1390</v>
      </c>
      <c r="O434" s="82" t="s">
        <v>271</v>
      </c>
      <c r="P434" s="107">
        <f t="array" aca="1" ref="P434" ca="1">_xll.GetPrice("FP-LBR-1831","Actual","Low",_LATESTvarPubDate)</f>
        <v>2885</v>
      </c>
      <c r="Q434" s="107">
        <f t="array" aca="1" ref="Q434" ca="1">_xll.GetPrice("FP-LBR-2186","Actual","Low",_LATESTvarPubDate)</f>
        <v>2435</v>
      </c>
      <c r="R434" s="107">
        <f t="array" aca="1" ref="R434" ca="1">_xll.GetPrice("FP-LBR-2192","Actual","Low",_LATESTvarPubDate)</f>
        <v>2490</v>
      </c>
      <c r="S434" s="73"/>
      <c r="T434" s="73"/>
      <c r="U434" s="73"/>
      <c r="V434" s="73"/>
      <c r="W434" s="73"/>
      <c r="X434" s="73"/>
      <c r="Y434" s="73"/>
      <c r="Z434" s="73"/>
      <c r="AA434" s="74"/>
      <c r="AB434" s="7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N434" s="93"/>
      <c r="BO434" s="93"/>
      <c r="BP434" s="93"/>
      <c r="BQ434" s="93"/>
    </row>
    <row r="435" spans="1:69" s="71" customFormat="1" x14ac:dyDescent="0.2">
      <c r="A435" s="82" t="s">
        <v>272</v>
      </c>
      <c r="C435" s="107">
        <f t="array" aca="1" ref="C435" ca="1">_xll.GetPrice("FP-LBR-1403","Actual","Low",_LATESTvarPubDate)</f>
        <v>680</v>
      </c>
      <c r="D435" s="107">
        <f t="array" aca="1" ref="D435" ca="1">_xll.GetPrice("FP-LBR-1408","Actual","Low",_LATESTvarPubDate)</f>
        <v>620</v>
      </c>
      <c r="E435" s="129" t="s">
        <v>273</v>
      </c>
      <c r="G435" s="107">
        <f t="array" aca="1" ref="G435" ca="1">_xll.GetPrice("FP-LBR-1413","Actual","Low",_LATESTvarPubDate)</f>
        <v>2025</v>
      </c>
      <c r="H435" s="106" t="s">
        <v>37</v>
      </c>
      <c r="J435" s="82" t="s">
        <v>274</v>
      </c>
      <c r="K435" s="107">
        <f t="array" aca="1" ref="K435" ca="1">_xll.GetPrice("FP-LBR-1815","Actual","Low",_LATESTvarPubDate)</f>
        <v>1850</v>
      </c>
      <c r="L435" s="107">
        <f t="array" aca="1" ref="L435" ca="1">_xll.GetPrice("FP-LBR-1820","Actual","Low",_LATESTvarPubDate)</f>
        <v>1535</v>
      </c>
      <c r="M435" s="107">
        <f t="array" aca="1" ref="M435" ca="1">_xll.GetPrice("FP-LBR-1825","Actual","Low",_LATESTvarPubDate)</f>
        <v>1435</v>
      </c>
      <c r="O435" s="82" t="s">
        <v>275</v>
      </c>
      <c r="P435" s="107">
        <f t="array" aca="1" ref="P435" ca="1">_xll.GetPrice("FP-LBR-1832","Actual","Low",_LATESTvarPubDate)</f>
        <v>2735</v>
      </c>
      <c r="Q435" s="107">
        <f t="array" aca="1" ref="Q435" ca="1">_xll.GetPrice("FP-LBR-2187","Actual","Low",_LATESTvarPubDate)</f>
        <v>2330</v>
      </c>
      <c r="R435" s="106" t="s">
        <v>37</v>
      </c>
      <c r="S435" s="73"/>
      <c r="T435" s="73"/>
      <c r="U435" s="73"/>
      <c r="V435" s="73"/>
      <c r="W435" s="73"/>
      <c r="X435" s="73"/>
      <c r="Y435" s="73"/>
      <c r="Z435" s="73"/>
      <c r="AA435" s="74"/>
      <c r="AB435" s="7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N435" s="93"/>
      <c r="BO435" s="93"/>
      <c r="BP435" s="93"/>
      <c r="BQ435" s="93"/>
    </row>
    <row r="436" spans="1:69" s="71" customFormat="1" x14ac:dyDescent="0.2">
      <c r="E436" s="129" t="s">
        <v>276</v>
      </c>
      <c r="G436" s="107">
        <f t="array" aca="1" ref="G436" ca="1">_xll.GetPrice("FP-LBR-1414","Actual","Low",_LATESTvarPubDate)</f>
        <v>2140</v>
      </c>
      <c r="H436" s="106" t="s">
        <v>37</v>
      </c>
      <c r="J436" s="82" t="s">
        <v>40</v>
      </c>
      <c r="K436" s="107">
        <f t="array" aca="1" ref="K436" ca="1">_xll.GetPrice("FP-LBR-1816","Actual","Low",_LATESTvarPubDate)</f>
        <v>2540</v>
      </c>
      <c r="L436" s="107">
        <f t="array" aca="1" ref="L436" ca="1">_xll.GetPrice("FP-LBR-1821","Actual","Low",_LATESTvarPubDate)</f>
        <v>2285</v>
      </c>
      <c r="M436" s="107">
        <f t="array" aca="1" ref="M436" ca="1">_xll.GetPrice("FP-LBR-1826","Actual","Low",_LATESTvarPubDate)</f>
        <v>2165</v>
      </c>
      <c r="O436" s="82" t="s">
        <v>277</v>
      </c>
      <c r="P436" s="107">
        <f t="array" aca="1" ref="P436" ca="1">_xll.GetPrice("FP-LBR-1833","Actual","Low",_LATESTvarPubDate)</f>
        <v>2770</v>
      </c>
      <c r="Q436" s="107">
        <f t="array" aca="1" ref="Q436" ca="1">_xll.GetPrice("FP-LBR-2188","Actual","Low",_LATESTvarPubDate)</f>
        <v>2365</v>
      </c>
      <c r="R436" s="106" t="s">
        <v>37</v>
      </c>
      <c r="S436" s="73"/>
      <c r="T436" s="73"/>
      <c r="U436" s="73"/>
      <c r="V436" s="73"/>
      <c r="W436" s="73"/>
      <c r="X436" s="73"/>
      <c r="Y436" s="73"/>
      <c r="Z436" s="73"/>
      <c r="AA436" s="74"/>
      <c r="AB436" s="7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N436" s="93"/>
      <c r="BO436" s="93"/>
      <c r="BP436" s="93"/>
      <c r="BQ436" s="93"/>
    </row>
    <row r="437" spans="1:69" s="71" customFormat="1" x14ac:dyDescent="0.2">
      <c r="E437" s="130" t="s">
        <v>278</v>
      </c>
      <c r="G437" s="107">
        <f t="array" aca="1" ref="G437" ca="1">_xll.GetPrice("FP-LBR-1204","Actual","Low",_LATESTvarPubDate)</f>
        <v>90</v>
      </c>
      <c r="H437" s="74"/>
      <c r="I437" s="73"/>
      <c r="J437" s="82" t="s">
        <v>41</v>
      </c>
      <c r="K437" s="107">
        <f t="array" aca="1" ref="K437" ca="1">_xll.GetPrice("FP-LBR-1817","Actual","Low",_LATESTvarPubDate)</f>
        <v>2805</v>
      </c>
      <c r="L437" s="107">
        <f t="array" aca="1" ref="L437" ca="1">_xll.GetPrice("FP-LBR-1822","Actual","Low",_LATESTvarPubDate)</f>
        <v>2350</v>
      </c>
      <c r="M437" s="107">
        <f t="array" aca="1" ref="M437" ca="1">_xll.GetPrice("FP-LBR-1827","Actual","Low",_LATESTvarPubDate)</f>
        <v>2175</v>
      </c>
      <c r="O437" s="82" t="s">
        <v>279</v>
      </c>
      <c r="P437" s="107">
        <f t="array" aca="1" ref="P437" ca="1">_xll.GetPrice("FP-LBR-1834","Actual","Low",_LATESTvarPubDate)</f>
        <v>3030</v>
      </c>
      <c r="Q437" s="107">
        <f t="array" aca="1" ref="Q437" ca="1">_xll.GetPrice("FP-LBR-2189","Actual","Low",_LATESTvarPubDate)</f>
        <v>2595</v>
      </c>
      <c r="R437" s="106" t="s">
        <v>37</v>
      </c>
      <c r="S437" s="73"/>
      <c r="T437" s="73"/>
      <c r="U437" s="73"/>
      <c r="V437" s="73"/>
      <c r="W437" s="73"/>
      <c r="X437" s="73"/>
      <c r="Y437" s="73"/>
      <c r="Z437" s="73"/>
      <c r="AA437" s="74"/>
      <c r="AB437" s="7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N437" s="93"/>
      <c r="BO437" s="93"/>
      <c r="BP437" s="93"/>
      <c r="BQ437" s="93"/>
    </row>
    <row r="438" spans="1:69" s="71" customFormat="1" x14ac:dyDescent="0.2">
      <c r="E438" s="130" t="s">
        <v>280</v>
      </c>
      <c r="F438" s="74"/>
      <c r="G438" s="107">
        <f t="array" aca="1" ref="G438" ca="1">_xll.GetPrice("FP-LBR-1205","Actual","Low",_LATESTvarPubDate)</f>
        <v>130</v>
      </c>
      <c r="H438" s="74"/>
      <c r="J438" s="82" t="s">
        <v>42</v>
      </c>
      <c r="K438" s="107">
        <f t="array" aca="1" ref="K438" ca="1">_xll.GetPrice("FP-LBR-1818","Actual","Low",_LATESTvarPubDate)</f>
        <v>3110</v>
      </c>
      <c r="L438" s="107">
        <f t="array" aca="1" ref="L438" ca="1">_xll.GetPrice("FP-LBR-1823","Actual","Low",_LATESTvarPubDate)</f>
        <v>2625</v>
      </c>
      <c r="M438" s="107">
        <f t="array" aca="1" ref="M438" ca="1">_xll.GetPrice("FP-LBR-1828","Actual","Low",_LATESTvarPubDate)</f>
        <v>2410</v>
      </c>
      <c r="O438" s="82" t="s">
        <v>281</v>
      </c>
      <c r="P438" s="107">
        <f t="array" aca="1" ref="P438" ca="1">_xll.GetPrice("FP-LBR-2184","Actual","Low",_LATESTvarPubDate)</f>
        <v>3535</v>
      </c>
      <c r="Q438" s="107">
        <f t="array" aca="1" ref="Q438" ca="1">_xll.GetPrice("FP-LBR-2190","Actual","Low",_LATESTvarPubDate)</f>
        <v>3055</v>
      </c>
      <c r="R438" s="106" t="s">
        <v>37</v>
      </c>
      <c r="S438" s="73"/>
      <c r="T438" s="73"/>
      <c r="U438" s="73"/>
      <c r="V438" s="73"/>
      <c r="W438" s="73"/>
      <c r="X438" s="73"/>
      <c r="Y438" s="73"/>
      <c r="Z438" s="73"/>
      <c r="AA438" s="74"/>
      <c r="AB438" s="7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N438" s="93"/>
      <c r="BO438" s="93"/>
      <c r="BP438" s="93"/>
      <c r="BQ438" s="93"/>
    </row>
    <row r="439" spans="1:69" s="71" customFormat="1" x14ac:dyDescent="0.2">
      <c r="O439" s="82" t="s">
        <v>247</v>
      </c>
      <c r="P439" s="107">
        <f t="array" aca="1" ref="P439" ca="1">_xll.GetPrice("FP-LBR-2185","Actual","Low",_LATESTvarPubDate)</f>
        <v>3635</v>
      </c>
      <c r="Q439" s="107">
        <f t="array" aca="1" ref="Q439" ca="1">_xll.GetPrice("FP-LBR-2191","Actual","Low",_LATESTvarPubDate)</f>
        <v>3085</v>
      </c>
      <c r="R439" s="106" t="s">
        <v>37</v>
      </c>
      <c r="S439" s="73"/>
      <c r="T439" s="73"/>
      <c r="U439" s="73"/>
      <c r="V439" s="73"/>
      <c r="W439" s="73"/>
      <c r="X439" s="73"/>
      <c r="Y439" s="73"/>
      <c r="Z439" s="73"/>
      <c r="AA439" s="74"/>
      <c r="AB439" s="7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N439" s="93"/>
      <c r="BO439" s="93"/>
      <c r="BP439" s="93"/>
      <c r="BQ439" s="93"/>
    </row>
    <row r="440" spans="1:69" s="71" customFormat="1" x14ac:dyDescent="0.2">
      <c r="A440" s="104" t="s">
        <v>209</v>
      </c>
      <c r="B440" s="73"/>
      <c r="C440" s="73"/>
      <c r="D440" s="73"/>
      <c r="E440" s="73"/>
      <c r="F440" s="73"/>
      <c r="I440" s="73"/>
      <c r="J440" s="110" t="s">
        <v>282</v>
      </c>
      <c r="L440" s="107">
        <f t="array" aca="1" ref="L440" ca="1">_xll.GetPrice("FP-LBR-2193","Actual","Low",_LATESTvarPubDate)</f>
        <v>2150</v>
      </c>
      <c r="O440" s="74"/>
      <c r="S440" s="73"/>
      <c r="T440" s="73"/>
      <c r="U440" s="73"/>
      <c r="V440" s="73"/>
      <c r="W440" s="73"/>
      <c r="X440" s="73"/>
      <c r="Y440" s="73"/>
      <c r="Z440" s="73"/>
      <c r="AA440" s="74"/>
      <c r="AB440" s="7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P440" s="93"/>
      <c r="BQ440" s="93"/>
    </row>
    <row r="441" spans="1:69" s="71" customFormat="1" x14ac:dyDescent="0.2">
      <c r="A441" s="98" t="s">
        <v>26</v>
      </c>
      <c r="B441" s="98" t="s">
        <v>127</v>
      </c>
      <c r="C441" s="98" t="s">
        <v>128</v>
      </c>
      <c r="D441" s="98" t="s">
        <v>129</v>
      </c>
      <c r="E441" s="98" t="s">
        <v>130</v>
      </c>
      <c r="F441" s="98" t="s">
        <v>131</v>
      </c>
      <c r="I441" s="73"/>
      <c r="J441" s="110" t="s">
        <v>283</v>
      </c>
      <c r="L441" s="107">
        <f t="array" aca="1" ref="L441" ca="1">_xll.GetPrice("FP-LBR-2194","Actual","Low",_LATESTvarPubDate)</f>
        <v>2635</v>
      </c>
      <c r="S441" s="73"/>
      <c r="T441" s="73"/>
      <c r="U441" s="73"/>
      <c r="V441" s="73"/>
      <c r="W441" s="73"/>
      <c r="X441" s="73"/>
      <c r="Y441" s="73"/>
      <c r="Z441" s="73"/>
      <c r="AA441" s="74"/>
      <c r="AB441" s="7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P441" s="93"/>
      <c r="BQ441" s="93"/>
    </row>
    <row r="442" spans="1:69" s="71" customFormat="1" x14ac:dyDescent="0.2">
      <c r="A442" s="82" t="s">
        <v>245</v>
      </c>
      <c r="B442" s="107">
        <f t="array" aca="1" ref="B442" ca="1">_xll.GetPrice("FP-LBR-0826","Actual","Low",_LATESTvarPubDate)</f>
        <v>445</v>
      </c>
      <c r="C442" s="107">
        <f t="array" aca="1" ref="C442" ca="1">_xll.GetPrice("FP-LBR-0827","Actual","Low",_LATESTvarPubDate)</f>
        <v>410</v>
      </c>
      <c r="D442" s="107">
        <f t="array" aca="1" ref="D442" ca="1">_xll.GetPrice("FP-LBR-0828","Actual","Low",_LATESTvarPubDate)</f>
        <v>350</v>
      </c>
      <c r="E442" s="107">
        <f t="array" aca="1" ref="E442" ca="1">_xll.GetPrice("FP-LBR-0829","Actual","Low",_LATESTvarPubDate)</f>
        <v>335</v>
      </c>
      <c r="F442" s="107">
        <f t="array" aca="1" ref="F442" ca="1">_xll.GetPrice("FP-LBR-0830","Actual","Low",_LATESTvarPubDate)</f>
        <v>425</v>
      </c>
      <c r="G442" s="73"/>
      <c r="H442" s="73"/>
      <c r="I442" s="73"/>
      <c r="J442" s="110" t="s">
        <v>284</v>
      </c>
      <c r="K442" s="74"/>
      <c r="L442" s="107">
        <f t="array" aca="1" ref="L442" ca="1">_xll.GetPrice("FP-LBR-2195","Actual","Low",_LATESTvarPubDate)</f>
        <v>3095</v>
      </c>
      <c r="T442" s="73"/>
      <c r="U442" s="73"/>
      <c r="V442" s="73"/>
      <c r="W442" s="73"/>
      <c r="X442" s="73"/>
      <c r="Y442" s="73"/>
      <c r="Z442" s="73"/>
      <c r="AA442" s="74"/>
      <c r="AB442" s="7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N442" s="93"/>
      <c r="BO442" s="93"/>
      <c r="BP442" s="93"/>
      <c r="BQ442" s="93"/>
    </row>
    <row r="443" spans="1:69" s="71" customFormat="1" x14ac:dyDescent="0.2">
      <c r="A443" s="82" t="s">
        <v>246</v>
      </c>
      <c r="B443" s="107">
        <f t="array" aca="1" ref="B443" ca="1">_xll.GetPrice("FP-LBR-0831","Actual","Low",_LATESTvarPubDate)</f>
        <v>430</v>
      </c>
      <c r="C443" s="107">
        <f t="array" aca="1" ref="C443" ca="1">_xll.GetPrice("FP-LBR-0832","Actual","Low",_LATESTvarPubDate)</f>
        <v>400</v>
      </c>
      <c r="D443" s="107">
        <f t="array" aca="1" ref="D443" ca="1">_xll.GetPrice("FP-LBR-0833","Actual","Low",_LATESTvarPubDate)</f>
        <v>440</v>
      </c>
      <c r="E443" s="107">
        <f t="array" aca="1" ref="E443" ca="1">_xll.GetPrice("FP-LBR-0834","Actual","Low",_LATESTvarPubDate)</f>
        <v>405</v>
      </c>
      <c r="F443" s="107">
        <f t="array" aca="1" ref="F443" ca="1">_xll.GetPrice("FP-LBR-0835","Actual","Low",_LATESTvarPubDate)</f>
        <v>435</v>
      </c>
      <c r="G443" s="73"/>
      <c r="H443" s="73"/>
      <c r="T443" s="73"/>
      <c r="U443" s="73"/>
      <c r="V443" s="73"/>
      <c r="W443" s="73"/>
      <c r="X443" s="73"/>
      <c r="Y443" s="73"/>
      <c r="Z443" s="73"/>
      <c r="AA443" s="74"/>
      <c r="AB443" s="7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N443" s="93"/>
      <c r="BO443" s="93"/>
      <c r="BP443" s="93"/>
      <c r="BQ443" s="93"/>
    </row>
    <row r="444" spans="1:69" s="71" customFormat="1" x14ac:dyDescent="0.2">
      <c r="A444" s="82" t="s">
        <v>247</v>
      </c>
      <c r="B444" s="107">
        <f t="array" aca="1" ref="B444" ca="1">_xll.GetPrice("FP-LBR-0836","Actual","Low",_LATESTvarPubDate)</f>
        <v>540</v>
      </c>
      <c r="C444" s="107">
        <f t="array" aca="1" ref="C444" ca="1">_xll.GetPrice("FP-LBR-0837","Actual","Low",_LATESTvarPubDate)</f>
        <v>535</v>
      </c>
      <c r="D444" s="107">
        <f t="array" aca="1" ref="D444" ca="1">_xll.GetPrice("FP-LBR-0838","Actual","Low",_LATESTvarPubDate)</f>
        <v>475</v>
      </c>
      <c r="E444" s="107">
        <f t="array" aca="1" ref="E444" ca="1">_xll.GetPrice("FP-LBR-0839","Actual","Low",_LATESTvarPubDate)</f>
        <v>450</v>
      </c>
      <c r="F444" s="107">
        <f t="array" aca="1" ref="F444" ca="1">_xll.GetPrice("FP-LBR-0840","Actual","Low",_LATESTvarPubDate)</f>
        <v>510</v>
      </c>
      <c r="H444" s="73"/>
      <c r="J444" s="104" t="s">
        <v>285</v>
      </c>
      <c r="O444" s="104" t="s">
        <v>223</v>
      </c>
      <c r="V444" s="73"/>
      <c r="W444" s="73"/>
      <c r="X444" s="73"/>
      <c r="Y444" s="73"/>
      <c r="Z444" s="73"/>
      <c r="AA444" s="74"/>
      <c r="AB444" s="7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N444" s="93"/>
      <c r="BO444" s="93"/>
      <c r="BP444" s="93"/>
      <c r="BQ444" s="93"/>
    </row>
    <row r="445" spans="1:69" s="71" customFormat="1" x14ac:dyDescent="0.2">
      <c r="A445" s="98" t="s">
        <v>28</v>
      </c>
      <c r="K445" s="98" t="s">
        <v>286</v>
      </c>
      <c r="L445" s="113" t="s">
        <v>287</v>
      </c>
      <c r="M445" s="112"/>
      <c r="P445" s="113" t="s">
        <v>288</v>
      </c>
      <c r="S445" s="73"/>
      <c r="V445" s="73"/>
      <c r="W445" s="73"/>
      <c r="X445" s="73"/>
      <c r="Y445" s="73"/>
      <c r="Z445" s="73"/>
      <c r="AA445" s="74"/>
      <c r="AB445" s="7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N445" s="93"/>
      <c r="BO445" s="93"/>
      <c r="BP445" s="93"/>
      <c r="BQ445" s="93"/>
    </row>
    <row r="446" spans="1:69" s="71" customFormat="1" x14ac:dyDescent="0.2">
      <c r="A446" s="82" t="s">
        <v>245</v>
      </c>
      <c r="B446" s="107">
        <f t="array" aca="1" ref="B446" ca="1">_xll.GetPrice("FP-LBR-0841","Actual","Low",_LATESTvarPubDate)</f>
        <v>490</v>
      </c>
      <c r="C446" s="107">
        <f t="array" aca="1" ref="C446" ca="1">_xll.GetPrice("FP-LBR-0842","Actual","Low",_LATESTvarPubDate)</f>
        <v>490</v>
      </c>
      <c r="D446" s="107">
        <f t="array" aca="1" ref="D446" ca="1">_xll.GetPrice("FP-LBR-0843","Actual","Low",_LATESTvarPubDate)</f>
        <v>420</v>
      </c>
      <c r="E446" s="107">
        <f t="array" aca="1" ref="E446" ca="1">_xll.GetPrice("FP-LBR-0844","Actual","Low",_LATESTvarPubDate)</f>
        <v>405</v>
      </c>
      <c r="F446" s="107">
        <f t="array" aca="1" ref="F446" ca="1">_xll.GetPrice("FP-LBR-0845","Actual","Low",_LATESTvarPubDate)</f>
        <v>475</v>
      </c>
      <c r="H446" s="74"/>
      <c r="I446" s="73"/>
      <c r="K446" s="98" t="s">
        <v>71</v>
      </c>
      <c r="L446" s="98" t="s">
        <v>71</v>
      </c>
      <c r="M446" s="98" t="s">
        <v>72</v>
      </c>
      <c r="P446" s="98" t="s">
        <v>289</v>
      </c>
      <c r="Q446" s="98" t="s">
        <v>290</v>
      </c>
      <c r="R446" s="98" t="s">
        <v>291</v>
      </c>
      <c r="S446" s="73"/>
      <c r="V446" s="73"/>
      <c r="W446" s="73"/>
      <c r="X446" s="73"/>
      <c r="Y446" s="73"/>
      <c r="Z446" s="73"/>
      <c r="AA446" s="74"/>
      <c r="AB446" s="7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93"/>
      <c r="BB446" s="93"/>
      <c r="BC446" s="93"/>
      <c r="BD446" s="93"/>
      <c r="BE446" s="93"/>
      <c r="BF446" s="93"/>
      <c r="BG446" s="93"/>
      <c r="BH446" s="93"/>
      <c r="BI446" s="93"/>
      <c r="BJ446" s="93"/>
      <c r="BK446" s="93"/>
      <c r="BL446" s="93"/>
      <c r="BM446" s="93"/>
      <c r="BN446" s="93"/>
      <c r="BO446" s="93"/>
      <c r="BP446" s="93"/>
      <c r="BQ446" s="93"/>
    </row>
    <row r="447" spans="1:69" s="71" customFormat="1" x14ac:dyDescent="0.2">
      <c r="A447" s="82" t="s">
        <v>246</v>
      </c>
      <c r="B447" s="107">
        <f t="array" aca="1" ref="B447" ca="1">_xll.GetPrice("FP-LBR-0846","Actual","Low",_LATESTvarPubDate)</f>
        <v>475</v>
      </c>
      <c r="C447" s="107">
        <f t="array" aca="1" ref="C447" ca="1">_xll.GetPrice("FP-LBR-0847","Actual","Low",_LATESTvarPubDate)</f>
        <v>440</v>
      </c>
      <c r="D447" s="107">
        <f t="array" aca="1" ref="D447" ca="1">_xll.GetPrice("FP-LBR-0848","Actual","Low",_LATESTvarPubDate)</f>
        <v>480</v>
      </c>
      <c r="E447" s="107">
        <f t="array" aca="1" ref="E447" ca="1">_xll.GetPrice("FP-LBR-0849","Actual","Low",_LATESTvarPubDate)</f>
        <v>445</v>
      </c>
      <c r="F447" s="107">
        <f t="array" aca="1" ref="F447" ca="1">_xll.GetPrice("FP-LBR-0850","Actual","Low",_LATESTvarPubDate)</f>
        <v>480</v>
      </c>
      <c r="G447" s="74"/>
      <c r="I447" s="73"/>
      <c r="J447" s="82" t="s">
        <v>145</v>
      </c>
      <c r="K447" s="107">
        <f t="array" aca="1" ref="K447" ca="1">_xll.GetPrice("FP-LBR-2196","Actual","Low",_LATESTvarPubDate)</f>
        <v>720</v>
      </c>
      <c r="L447" s="107">
        <f t="array" aca="1" ref="L447" ca="1">_xll.GetPrice("FP-LBR-2198","Actual","Low",_LATESTvarPubDate)</f>
        <v>865</v>
      </c>
      <c r="M447" s="107">
        <f t="array" aca="1" ref="M447" ca="1">_xll.GetPrice("FP-LBR-2201","Actual","Low",_LATESTvarPubDate)</f>
        <v>1135</v>
      </c>
      <c r="O447" s="82" t="s">
        <v>292</v>
      </c>
      <c r="P447" s="107">
        <f t="array" aca="1" ref="P447" ca="1">_xll.GetPrice("FP-LBR-2204","Actual","Low",_LATESTvarPubDate)</f>
        <v>2655</v>
      </c>
      <c r="Q447" s="107">
        <f t="array" aca="1" ref="Q447" ca="1">_xll.GetPrice("FP-LBR-2206","Actual","Low",_LATESTvarPubDate)</f>
        <v>2380</v>
      </c>
      <c r="R447" s="107">
        <f t="array" aca="1" ref="R447" ca="1">_xll.GetPrice("FP-LBR-2208","Actual","Low",_LATESTvarPubDate)</f>
        <v>1995</v>
      </c>
      <c r="S447" s="73"/>
      <c r="T447" s="73"/>
      <c r="U447" s="73"/>
      <c r="V447" s="73"/>
      <c r="W447" s="73"/>
      <c r="X447" s="73"/>
      <c r="Y447" s="73"/>
      <c r="Z447" s="73"/>
      <c r="AA447" s="74"/>
      <c r="AB447" s="7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93"/>
      <c r="BB447" s="93"/>
      <c r="BC447" s="93"/>
      <c r="BD447" s="93"/>
      <c r="BE447" s="93"/>
      <c r="BF447" s="93"/>
      <c r="BG447" s="93"/>
      <c r="BH447" s="93"/>
      <c r="BI447" s="93"/>
      <c r="BJ447" s="93"/>
      <c r="BK447" s="93"/>
      <c r="BL447" s="93"/>
      <c r="BM447" s="93"/>
      <c r="BN447" s="93"/>
      <c r="BO447" s="93"/>
      <c r="BP447" s="93"/>
      <c r="BQ447" s="93"/>
    </row>
    <row r="448" spans="1:69" s="71" customFormat="1" x14ac:dyDescent="0.2">
      <c r="A448" s="82" t="s">
        <v>247</v>
      </c>
      <c r="B448" s="107">
        <f t="array" aca="1" ref="B448" ca="1">_xll.GetPrice("FP-LBR-0851","Actual","Low",_LATESTvarPubDate)</f>
        <v>560</v>
      </c>
      <c r="C448" s="107">
        <f t="array" aca="1" ref="C448" ca="1">_xll.GetPrice("FP-LBR-0852","Actual","Low",_LATESTvarPubDate)</f>
        <v>610</v>
      </c>
      <c r="D448" s="107">
        <f t="array" aca="1" ref="D448" ca="1">_xll.GetPrice("FP-LBR-0853","Actual","Low",_LATESTvarPubDate)</f>
        <v>505</v>
      </c>
      <c r="E448" s="107">
        <f t="array" aca="1" ref="E448" ca="1">_xll.GetPrice("FP-LBR-0854","Actual","Low",_LATESTvarPubDate)</f>
        <v>460</v>
      </c>
      <c r="F448" s="107">
        <f t="array" aca="1" ref="F448" ca="1">_xll.GetPrice("FP-LBR-0855","Actual","Low",_LATESTvarPubDate)</f>
        <v>555</v>
      </c>
      <c r="H448" s="73"/>
      <c r="I448" s="73"/>
      <c r="J448" s="82" t="s">
        <v>39</v>
      </c>
      <c r="K448" s="107">
        <f t="array" aca="1" ref="K448" ca="1">_xll.GetPrice("FP-LBR-2197","Actual","Low",_LATESTvarPubDate)</f>
        <v>1285</v>
      </c>
      <c r="L448" s="107">
        <f t="array" aca="1" ref="L448" ca="1">_xll.GetPrice("FP-LBR-2199","Actual","Low",_LATESTvarPubDate)</f>
        <v>1695</v>
      </c>
      <c r="M448" s="107">
        <f t="array" aca="1" ref="M448" ca="1">_xll.GetPrice("FP-LBR-2202","Actual","Low",_LATESTvarPubDate)</f>
        <v>2270</v>
      </c>
      <c r="O448" s="82" t="s">
        <v>293</v>
      </c>
      <c r="P448" s="107">
        <f t="array" aca="1" ref="P448" ca="1">_xll.GetPrice("FP-LBR-2205","Actual","Low",_LATESTvarPubDate)</f>
        <v>2715</v>
      </c>
      <c r="Q448" s="107">
        <f t="array" aca="1" ref="Q448" ca="1">_xll.GetPrice("FP-LBR-2207","Actual","Low",_LATESTvarPubDate)</f>
        <v>2510</v>
      </c>
      <c r="R448" s="106" t="s">
        <v>37</v>
      </c>
      <c r="S448" s="73"/>
      <c r="T448" s="73"/>
      <c r="U448" s="73"/>
      <c r="V448" s="73"/>
      <c r="W448" s="73"/>
      <c r="X448" s="73"/>
      <c r="Y448" s="73"/>
      <c r="Z448" s="73"/>
      <c r="AA448" s="74"/>
      <c r="AB448" s="7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93"/>
      <c r="BB448" s="93"/>
      <c r="BC448" s="93"/>
      <c r="BD448" s="93"/>
      <c r="BE448" s="93"/>
      <c r="BF448" s="93"/>
      <c r="BG448" s="93"/>
      <c r="BH448" s="93"/>
      <c r="BI448" s="93"/>
      <c r="BJ448" s="93"/>
      <c r="BK448" s="93"/>
      <c r="BL448" s="93"/>
      <c r="BM448" s="93"/>
      <c r="BN448" s="93"/>
      <c r="BO448" s="93"/>
      <c r="BP448" s="93"/>
      <c r="BQ448" s="93"/>
    </row>
    <row r="449" spans="1:69" s="71" customFormat="1" x14ac:dyDescent="0.2">
      <c r="H449" s="73"/>
      <c r="I449" s="73"/>
      <c r="J449" s="82" t="s">
        <v>294</v>
      </c>
      <c r="K449" s="106" t="s">
        <v>37</v>
      </c>
      <c r="L449" s="107">
        <f t="array" aca="1" ref="L449" ca="1">_xll.GetPrice("FP-LBR-2200","Actual","Low",_LATESTvarPubDate)</f>
        <v>2460</v>
      </c>
      <c r="M449" s="107">
        <f t="array" aca="1" ref="M449" ca="1">_xll.GetPrice("FP-LBR-2203","Actual","Low",_LATESTvarPubDate)</f>
        <v>2785</v>
      </c>
      <c r="N449" s="73"/>
      <c r="O449" s="73"/>
      <c r="P449" s="113" t="s">
        <v>295</v>
      </c>
      <c r="Q449" s="112"/>
      <c r="R449" s="73"/>
      <c r="S449" s="73"/>
      <c r="T449" s="73"/>
      <c r="U449" s="73"/>
      <c r="V449" s="73"/>
      <c r="W449" s="73"/>
      <c r="X449" s="73"/>
      <c r="Y449" s="73"/>
      <c r="Z449" s="73"/>
      <c r="AA449" s="74"/>
      <c r="AB449" s="7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93"/>
      <c r="BB449" s="93"/>
      <c r="BC449" s="93"/>
      <c r="BD449" s="93"/>
      <c r="BE449" s="93"/>
      <c r="BF449" s="93"/>
      <c r="BG449" s="93"/>
      <c r="BH449" s="93"/>
      <c r="BI449" s="93"/>
      <c r="BJ449" s="93"/>
      <c r="BK449" s="93"/>
      <c r="BL449" s="93"/>
      <c r="BM449" s="93"/>
      <c r="BN449" s="93"/>
      <c r="BO449" s="93"/>
      <c r="BP449" s="93"/>
      <c r="BQ449" s="93"/>
    </row>
    <row r="450" spans="1:69" s="71" customFormat="1" x14ac:dyDescent="0.2">
      <c r="H450" s="73"/>
      <c r="P450" s="98" t="s">
        <v>289</v>
      </c>
      <c r="Q450" s="98" t="s">
        <v>296</v>
      </c>
      <c r="R450" s="73"/>
      <c r="S450" s="73"/>
      <c r="T450" s="73"/>
      <c r="U450" s="73"/>
      <c r="V450" s="73"/>
      <c r="W450" s="73"/>
      <c r="X450" s="73"/>
      <c r="Y450" s="73"/>
      <c r="Z450" s="73"/>
      <c r="AA450" s="74"/>
      <c r="AB450" s="7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93"/>
      <c r="BB450" s="93"/>
      <c r="BC450" s="93"/>
      <c r="BD450" s="93"/>
      <c r="BE450" s="93"/>
      <c r="BF450" s="93"/>
      <c r="BG450" s="93"/>
      <c r="BH450" s="93"/>
      <c r="BI450" s="93"/>
      <c r="BJ450" s="93"/>
      <c r="BK450" s="93"/>
      <c r="BL450" s="93"/>
      <c r="BM450" s="93"/>
      <c r="BN450" s="93"/>
      <c r="BO450" s="93"/>
      <c r="BP450" s="93"/>
      <c r="BQ450" s="93"/>
    </row>
    <row r="451" spans="1:69" s="71" customFormat="1" x14ac:dyDescent="0.2">
      <c r="A451" s="96" t="s">
        <v>297</v>
      </c>
      <c r="B451" s="73"/>
      <c r="C451" s="73"/>
      <c r="D451" s="73"/>
      <c r="E451" s="73"/>
      <c r="F451" s="73"/>
      <c r="G451" s="73"/>
      <c r="H451" s="73"/>
      <c r="O451" s="82" t="s">
        <v>292</v>
      </c>
      <c r="P451" s="107">
        <f t="array" aca="1" ref="P451" ca="1">_xll.GetPrice("FP-LBR-2209","Actual","Low",_LATESTvarPubDate)</f>
        <v>1815</v>
      </c>
      <c r="Q451" s="107">
        <f t="array" aca="1" ref="Q451" ca="1">_xll.GetPrice("FP-LBR-2210","Actual","Low",_LATESTvarPubDate)</f>
        <v>1620</v>
      </c>
      <c r="R451" s="73"/>
      <c r="S451" s="73"/>
      <c r="T451" s="73"/>
      <c r="U451" s="73"/>
      <c r="V451" s="73"/>
      <c r="W451" s="73"/>
      <c r="X451" s="73"/>
      <c r="Y451" s="73"/>
      <c r="Z451" s="73"/>
      <c r="AA451" s="74"/>
      <c r="AB451" s="7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93"/>
      <c r="BB451" s="93"/>
      <c r="BC451" s="93"/>
      <c r="BD451" s="93"/>
      <c r="BE451" s="93"/>
      <c r="BF451" s="93"/>
      <c r="BG451" s="93"/>
      <c r="BH451" s="93"/>
      <c r="BI451" s="93"/>
      <c r="BJ451" s="93"/>
      <c r="BK451" s="93"/>
      <c r="BL451" s="93"/>
      <c r="BM451" s="93"/>
      <c r="BN451" s="93"/>
      <c r="BO451" s="93"/>
      <c r="BP451" s="93"/>
      <c r="BQ451" s="93"/>
    </row>
    <row r="452" spans="1:69" s="71" customFormat="1" x14ac:dyDescent="0.2">
      <c r="A452" s="104" t="s">
        <v>298</v>
      </c>
      <c r="B452" s="73"/>
      <c r="C452" s="73"/>
      <c r="D452" s="73"/>
      <c r="E452" s="73"/>
      <c r="F452" s="73"/>
      <c r="G452" s="73"/>
      <c r="S452" s="73"/>
      <c r="T452" s="73"/>
      <c r="U452" s="73"/>
      <c r="V452" s="73"/>
      <c r="W452" s="73"/>
      <c r="X452" s="73"/>
      <c r="Y452" s="73"/>
      <c r="Z452" s="73"/>
      <c r="AA452" s="74"/>
      <c r="AB452" s="7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93"/>
      <c r="BB452" s="93"/>
      <c r="BC452" s="93"/>
      <c r="BD452" s="93"/>
      <c r="BE452" s="93"/>
      <c r="BF452" s="93"/>
      <c r="BG452" s="93"/>
      <c r="BH452" s="93"/>
      <c r="BI452" s="93"/>
      <c r="BJ452" s="93"/>
      <c r="BK452" s="93"/>
      <c r="BL452" s="93"/>
      <c r="BM452" s="93"/>
      <c r="BN452" s="93"/>
      <c r="BO452" s="93"/>
      <c r="BP452" s="93"/>
      <c r="BQ452" s="93"/>
    </row>
    <row r="453" spans="1:69" s="71" customFormat="1" x14ac:dyDescent="0.2">
      <c r="A453" s="73"/>
      <c r="B453" s="98" t="s">
        <v>299</v>
      </c>
      <c r="C453" s="98" t="s">
        <v>300</v>
      </c>
      <c r="D453" s="98" t="s">
        <v>301</v>
      </c>
      <c r="E453" s="98" t="s">
        <v>302</v>
      </c>
      <c r="F453" s="98" t="s">
        <v>303</v>
      </c>
      <c r="G453" s="74"/>
      <c r="H453" s="98"/>
      <c r="R453" s="73"/>
      <c r="S453" s="73"/>
      <c r="T453" s="73"/>
      <c r="U453" s="73"/>
      <c r="V453" s="73"/>
      <c r="W453" s="73"/>
      <c r="X453" s="73"/>
      <c r="Y453" s="73"/>
      <c r="Z453" s="73"/>
      <c r="AA453" s="74"/>
      <c r="AB453" s="7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93"/>
      <c r="BB453" s="93"/>
      <c r="BC453" s="93"/>
      <c r="BD453" s="93"/>
      <c r="BE453" s="93"/>
      <c r="BF453" s="93"/>
      <c r="BG453" s="93"/>
      <c r="BH453" s="93"/>
      <c r="BI453" s="93"/>
      <c r="BJ453" s="93"/>
      <c r="BK453" s="93"/>
      <c r="BL453" s="93"/>
      <c r="BM453" s="93"/>
      <c r="BN453" s="93"/>
      <c r="BO453" s="93"/>
      <c r="BP453" s="93"/>
      <c r="BQ453" s="93"/>
    </row>
    <row r="454" spans="1:69" s="71" customFormat="1" x14ac:dyDescent="0.2">
      <c r="A454" s="82" t="s">
        <v>304</v>
      </c>
      <c r="B454" s="107">
        <f t="array" aca="1" ref="B454" ca="1">_xll.GetPrice("FP-LBR-0908","Actual","Low",_LATESTvarPubDate)</f>
        <v>1960</v>
      </c>
      <c r="C454" s="107">
        <f t="array" aca="1" ref="C454" ca="1">_xll.GetPrice("FP-LBR-0911","Actual","Low",_LATESTvarPubDate)</f>
        <v>1255</v>
      </c>
      <c r="D454" s="107">
        <f t="array" aca="1" ref="D454" ca="1">_xll.GetPrice("FP-LBR-0914","Actual","Low",_LATESTvarPubDate)</f>
        <v>1065</v>
      </c>
      <c r="E454" s="106" t="s">
        <v>37</v>
      </c>
      <c r="F454" s="106" t="s">
        <v>37</v>
      </c>
      <c r="G454" s="74"/>
      <c r="H454" s="107"/>
      <c r="I454" s="73"/>
      <c r="O454" s="73"/>
      <c r="P454" s="73"/>
      <c r="Q454" s="73"/>
      <c r="R454" s="73"/>
      <c r="S454" s="73"/>
      <c r="T454" s="73"/>
      <c r="U454" s="73"/>
      <c r="V454" s="73"/>
      <c r="W454" s="73"/>
      <c r="X454" s="73"/>
      <c r="Y454" s="73"/>
      <c r="Z454" s="73"/>
      <c r="AA454" s="74"/>
      <c r="AB454" s="7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93"/>
      <c r="BB454" s="93"/>
      <c r="BC454" s="93"/>
      <c r="BD454" s="93"/>
      <c r="BE454" s="93"/>
      <c r="BF454" s="93"/>
      <c r="BG454" s="93"/>
      <c r="BH454" s="93"/>
      <c r="BI454" s="93"/>
      <c r="BJ454" s="93"/>
      <c r="BK454" s="93"/>
      <c r="BL454" s="93"/>
      <c r="BM454" s="93"/>
      <c r="BN454" s="93"/>
      <c r="BO454" s="93"/>
      <c r="BP454" s="93"/>
      <c r="BQ454" s="93"/>
    </row>
    <row r="455" spans="1:69" s="71" customFormat="1" x14ac:dyDescent="0.2">
      <c r="A455" s="82" t="s">
        <v>305</v>
      </c>
      <c r="B455" s="107">
        <f t="array" aca="1" ref="B455" ca="1">_xll.GetPrice("FP-LBR-0909","Actual","Low",_LATESTvarPubDate)</f>
        <v>2105</v>
      </c>
      <c r="C455" s="107">
        <f t="array" aca="1" ref="C455" ca="1">_xll.GetPrice("FP-LBR-0912","Actual","Low",_LATESTvarPubDate)</f>
        <v>1210</v>
      </c>
      <c r="D455" s="107">
        <f t="array" aca="1" ref="D455" ca="1">_xll.GetPrice("FP-LBR-0915","Actual","Low",_LATESTvarPubDate)</f>
        <v>980</v>
      </c>
      <c r="E455" s="107">
        <f t="array" aca="1" ref="E455" ca="1">_xll.GetPrice("FP-LBR-0917","Actual","Low",_LATESTvarPubDate)</f>
        <v>730</v>
      </c>
      <c r="F455" s="107">
        <f t="array" aca="1" ref="F455" ca="1">_xll.GetPrice("FP-LBR-0919","Actual","Low",_LATESTvarPubDate)</f>
        <v>535</v>
      </c>
      <c r="G455" s="74"/>
      <c r="H455" s="107"/>
      <c r="I455" s="73"/>
      <c r="J455" s="104" t="s">
        <v>306</v>
      </c>
      <c r="L455" s="98" t="s">
        <v>307</v>
      </c>
      <c r="M455" s="98" t="s">
        <v>196</v>
      </c>
      <c r="N455" s="118"/>
      <c r="O455" s="73"/>
      <c r="P455" s="73"/>
      <c r="Q455" s="73"/>
      <c r="R455" s="73"/>
      <c r="S455" s="73"/>
      <c r="T455" s="73"/>
      <c r="U455" s="73"/>
      <c r="V455" s="73"/>
      <c r="W455" s="73"/>
      <c r="X455" s="73"/>
      <c r="Y455" s="73"/>
      <c r="Z455" s="73"/>
      <c r="AA455" s="74"/>
      <c r="AB455" s="7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93"/>
      <c r="BB455" s="93"/>
      <c r="BC455" s="93"/>
      <c r="BD455" s="93"/>
      <c r="BE455" s="93"/>
      <c r="BF455" s="93"/>
      <c r="BG455" s="93"/>
      <c r="BH455" s="93"/>
      <c r="BI455" s="93"/>
      <c r="BJ455" s="93"/>
      <c r="BK455" s="93"/>
      <c r="BL455" s="93"/>
      <c r="BM455" s="93"/>
      <c r="BN455" s="93"/>
      <c r="BO455" s="93"/>
      <c r="BP455" s="93"/>
      <c r="BQ455" s="93"/>
    </row>
    <row r="456" spans="1:69" s="71" customFormat="1" x14ac:dyDescent="0.2">
      <c r="A456" s="82" t="s">
        <v>308</v>
      </c>
      <c r="B456" s="107">
        <f t="array" aca="1" ref="B456" ca="1">_xll.GetPrice("FP-LBR-0910","Actual","Low",_LATESTvarPubDate)</f>
        <v>2130</v>
      </c>
      <c r="C456" s="107">
        <f t="array" aca="1" ref="C456" ca="1">_xll.GetPrice("FP-LBR-0913","Actual","Low",_LATESTvarPubDate)</f>
        <v>1310</v>
      </c>
      <c r="D456" s="107">
        <f t="array" aca="1" ref="D456" ca="1">_xll.GetPrice("FP-LBR-0916","Actual","Low",_LATESTvarPubDate)</f>
        <v>1110</v>
      </c>
      <c r="E456" s="107">
        <f t="array" aca="1" ref="E456" ca="1">_xll.GetPrice("FP-LBR-0918","Actual","Low",_LATESTvarPubDate)</f>
        <v>745</v>
      </c>
      <c r="F456" s="107">
        <f t="array" aca="1" ref="F456" ca="1">_xll.GetPrice("FP-LBR-0920","Actual","Low",_LATESTvarPubDate)</f>
        <v>530</v>
      </c>
      <c r="G456" s="74"/>
      <c r="H456" s="107"/>
      <c r="I456" s="73"/>
      <c r="L456" s="98" t="s">
        <v>257</v>
      </c>
      <c r="M456" s="98" t="s">
        <v>257</v>
      </c>
      <c r="N456" s="98" t="s">
        <v>309</v>
      </c>
      <c r="O456" s="73"/>
      <c r="P456" s="73"/>
      <c r="Q456" s="73"/>
      <c r="R456" s="73"/>
      <c r="S456" s="73"/>
      <c r="T456" s="73"/>
      <c r="U456" s="73"/>
      <c r="V456" s="73"/>
      <c r="W456" s="73"/>
      <c r="X456" s="73"/>
      <c r="Y456" s="73"/>
      <c r="Z456" s="73"/>
      <c r="AA456" s="74"/>
      <c r="AB456" s="7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93"/>
      <c r="BB456" s="93"/>
      <c r="BC456" s="93"/>
      <c r="BD456" s="93"/>
      <c r="BE456" s="93"/>
      <c r="BF456" s="93"/>
      <c r="BG456" s="93"/>
      <c r="BH456" s="93"/>
      <c r="BI456" s="93"/>
      <c r="BJ456" s="93"/>
      <c r="BK456" s="93"/>
      <c r="BL456" s="93"/>
      <c r="BM456" s="93"/>
      <c r="BN456" s="93"/>
      <c r="BO456" s="93"/>
      <c r="BP456" s="93"/>
      <c r="BQ456" s="93"/>
    </row>
    <row r="457" spans="1:69" s="71" customFormat="1" x14ac:dyDescent="0.2">
      <c r="A457" s="104" t="s">
        <v>310</v>
      </c>
      <c r="B457" s="73"/>
      <c r="C457" s="73"/>
      <c r="D457" s="73"/>
      <c r="E457" s="73"/>
      <c r="F457" s="73"/>
      <c r="G457" s="74"/>
      <c r="H457" s="73"/>
      <c r="I457" s="73"/>
      <c r="J457" s="82" t="s">
        <v>311</v>
      </c>
      <c r="L457" s="107">
        <f t="array" aca="1" ref="L457" ca="1">_xll.GetPrice("FP-LBR-2211","Actual","Low",_LATESTvarPubDate)</f>
        <v>860</v>
      </c>
      <c r="M457" s="106" t="s">
        <v>37</v>
      </c>
      <c r="N457" s="107">
        <f t="array" aca="1" ref="N457" ca="1">_xll.GetPrice("FP-LBR-2212","Actual","Low",_LATESTvarPubDate)</f>
        <v>800</v>
      </c>
      <c r="O457" s="73"/>
      <c r="P457" s="73"/>
      <c r="Q457" s="73"/>
      <c r="R457" s="73"/>
      <c r="S457" s="73"/>
      <c r="T457" s="73"/>
      <c r="U457" s="73"/>
      <c r="V457" s="73"/>
      <c r="W457" s="73"/>
      <c r="X457" s="73"/>
      <c r="Y457" s="73"/>
      <c r="Z457" s="73"/>
      <c r="AA457" s="74"/>
      <c r="AB457" s="7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93"/>
      <c r="BB457" s="93"/>
      <c r="BC457" s="93"/>
      <c r="BD457" s="93"/>
      <c r="BE457" s="93"/>
      <c r="BF457" s="93"/>
      <c r="BG457" s="93"/>
      <c r="BH457" s="93"/>
      <c r="BI457" s="93"/>
      <c r="BJ457" s="93"/>
      <c r="BK457" s="93"/>
      <c r="BL457" s="93"/>
      <c r="BM457" s="93"/>
      <c r="BN457" s="93"/>
      <c r="BO457" s="93"/>
      <c r="BP457" s="93"/>
      <c r="BQ457" s="93"/>
    </row>
    <row r="458" spans="1:69" s="71" customFormat="1" x14ac:dyDescent="0.2">
      <c r="A458" s="82" t="s">
        <v>305</v>
      </c>
      <c r="B458" s="107">
        <f t="array" aca="1" ref="B458" ca="1">_xll.GetPrice("FP-LBR-0921","Actual","Low",_LATESTvarPubDate)</f>
        <v>1160</v>
      </c>
      <c r="C458" s="107">
        <f t="array" aca="1" ref="C458" ca="1">_xll.GetPrice("FP-LBR-0922","Actual","Low",_LATESTvarPubDate)</f>
        <v>690</v>
      </c>
      <c r="D458" s="107">
        <f t="array" aca="1" ref="D458" ca="1">_xll.GetPrice("FP-LBR-0923","Actual","Low",_LATESTvarPubDate)</f>
        <v>600</v>
      </c>
      <c r="E458" s="107">
        <f t="array" aca="1" ref="E458" ca="1">_xll.GetPrice("FP-LBR-0924","Actual","Low",_LATESTvarPubDate)</f>
        <v>530</v>
      </c>
      <c r="F458" s="106" t="s">
        <v>37</v>
      </c>
      <c r="G458" s="74"/>
      <c r="H458" s="106"/>
      <c r="I458" s="73"/>
      <c r="J458" s="82" t="s">
        <v>312</v>
      </c>
      <c r="L458" s="107">
        <f t="array" aca="1" ref="L458" ca="1">_xll.GetPrice("FP-LBR-2213","Actual","Low",_LATESTvarPubDate)</f>
        <v>830</v>
      </c>
      <c r="M458" s="107">
        <f t="array" aca="1" ref="M458" ca="1">_xll.GetPrice("FP-LBR-2214","Actual","Low",_LATESTvarPubDate)</f>
        <v>735</v>
      </c>
      <c r="N458" s="107">
        <f t="array" aca="1" ref="N458" ca="1">_xll.GetPrice("FP-LBR-2215","Actual","Low",_LATESTvarPubDate)</f>
        <v>730</v>
      </c>
      <c r="P458" s="73"/>
      <c r="Q458" s="73"/>
      <c r="R458" s="73"/>
      <c r="S458" s="73"/>
      <c r="T458" s="73"/>
      <c r="U458" s="73"/>
      <c r="V458" s="73"/>
      <c r="W458" s="73"/>
      <c r="X458" s="73"/>
      <c r="Y458" s="73"/>
      <c r="Z458" s="73"/>
      <c r="AA458" s="74"/>
      <c r="AB458" s="7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93"/>
      <c r="BB458" s="93"/>
      <c r="BC458" s="93"/>
      <c r="BD458" s="93"/>
      <c r="BE458" s="93"/>
      <c r="BF458" s="93"/>
      <c r="BG458" s="93"/>
      <c r="BH458" s="93"/>
      <c r="BI458" s="93"/>
      <c r="BJ458" s="93"/>
      <c r="BK458" s="93"/>
      <c r="BL458" s="93"/>
      <c r="BM458" s="93"/>
      <c r="BN458" s="93"/>
      <c r="BO458" s="93"/>
      <c r="BP458" s="93"/>
      <c r="BQ458" s="93"/>
    </row>
    <row r="459" spans="1:69" s="71" customFormat="1" x14ac:dyDescent="0.2">
      <c r="A459" s="104" t="s">
        <v>313</v>
      </c>
      <c r="B459" s="73"/>
      <c r="C459" s="73"/>
      <c r="D459" s="73"/>
      <c r="E459" s="73"/>
      <c r="F459" s="73"/>
      <c r="G459" s="74"/>
      <c r="H459" s="73"/>
      <c r="I459" s="73"/>
      <c r="J459" s="82" t="s">
        <v>314</v>
      </c>
      <c r="L459" s="107">
        <f t="array" aca="1" ref="L459" ca="1">_xll.GetPrice("FP-LBR-2216","Actual","Low",_LATESTvarPubDate)</f>
        <v>1280</v>
      </c>
      <c r="M459" s="106" t="s">
        <v>37</v>
      </c>
      <c r="N459" s="107">
        <f t="array" aca="1" ref="N459" ca="1">_xll.GetPrice("FP-LBR-2217","Actual","Low",_LATESTvarPubDate)</f>
        <v>1230</v>
      </c>
      <c r="O459" s="74"/>
      <c r="P459" s="73"/>
      <c r="Q459" s="73"/>
      <c r="R459" s="73"/>
      <c r="S459" s="73"/>
      <c r="T459" s="73"/>
      <c r="U459" s="73"/>
      <c r="V459" s="73"/>
      <c r="W459" s="73"/>
      <c r="X459" s="73"/>
      <c r="Y459" s="73"/>
      <c r="Z459" s="73"/>
      <c r="AA459" s="74"/>
      <c r="AB459" s="7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93"/>
      <c r="BB459" s="93"/>
      <c r="BC459" s="93"/>
      <c r="BD459" s="93"/>
      <c r="BE459" s="93"/>
      <c r="BF459" s="93"/>
      <c r="BG459" s="93"/>
      <c r="BH459" s="93"/>
      <c r="BI459" s="93"/>
      <c r="BJ459" s="93"/>
      <c r="BK459" s="93"/>
      <c r="BL459" s="93"/>
      <c r="BM459" s="93"/>
      <c r="BN459" s="93"/>
      <c r="BO459" s="93"/>
      <c r="BP459" s="93"/>
      <c r="BQ459" s="93"/>
    </row>
    <row r="460" spans="1:69" s="71" customFormat="1" x14ac:dyDescent="0.2">
      <c r="A460" s="82" t="s">
        <v>305</v>
      </c>
      <c r="B460" s="107">
        <f t="array" aca="1" ref="B460" ca="1">_xll.GetPrice("FP-LBR-0925","Actual","Low",_LATESTvarPubDate)</f>
        <v>1900</v>
      </c>
      <c r="C460" s="107">
        <f t="array" aca="1" ref="C460" ca="1">_xll.GetPrice("FP-LBR-0927","Actual","Low",_LATESTvarPubDate)</f>
        <v>1800</v>
      </c>
      <c r="D460" s="107">
        <f t="array" aca="1" ref="D460" ca="1">_xll.GetPrice("FP-LBR-0929","Actual","Low",_LATESTvarPubDate)</f>
        <v>1600</v>
      </c>
      <c r="E460" s="107">
        <f t="array" aca="1" ref="E460" ca="1">_xll.GetPrice("FP-LBR-0931","Actual","Low",_LATESTvarPubDate)</f>
        <v>560</v>
      </c>
      <c r="F460" s="106" t="s">
        <v>37</v>
      </c>
      <c r="G460" s="74"/>
      <c r="H460" s="106"/>
      <c r="I460" s="73"/>
      <c r="J460" s="82" t="s">
        <v>315</v>
      </c>
      <c r="L460" s="107">
        <f t="array" aca="1" ref="L460" ca="1">_xll.GetPrice("FP-LBR-2218","Actual","Low",_LATESTvarPubDate)</f>
        <v>1290</v>
      </c>
      <c r="M460" s="107">
        <f t="array" aca="1" ref="M460" ca="1">_xll.GetPrice("FP-LBR-2219","Actual","Low",_LATESTvarPubDate)</f>
        <v>1185</v>
      </c>
      <c r="N460" s="107">
        <f t="array" aca="1" ref="N460" ca="1">_xll.GetPrice("FP-LBR-2220","Actual","Low",_LATESTvarPubDate)</f>
        <v>1085</v>
      </c>
      <c r="O460" s="74"/>
      <c r="P460" s="74"/>
      <c r="Q460" s="74"/>
      <c r="R460" s="74"/>
      <c r="S460" s="73"/>
      <c r="T460" s="73"/>
      <c r="U460" s="73"/>
      <c r="V460" s="73"/>
      <c r="W460" s="73"/>
      <c r="X460" s="73"/>
      <c r="Y460" s="73"/>
      <c r="Z460" s="73"/>
      <c r="AA460" s="74"/>
      <c r="AB460" s="7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93"/>
      <c r="BB460" s="93"/>
      <c r="BC460" s="93"/>
      <c r="BD460" s="93"/>
      <c r="BE460" s="93"/>
      <c r="BF460" s="93"/>
      <c r="BG460" s="93"/>
      <c r="BH460" s="93"/>
      <c r="BI460" s="93"/>
      <c r="BJ460" s="93"/>
      <c r="BK460" s="93"/>
      <c r="BL460" s="93"/>
      <c r="BM460" s="93"/>
      <c r="BN460" s="93"/>
      <c r="BO460" s="93"/>
      <c r="BP460" s="93"/>
      <c r="BQ460" s="93"/>
    </row>
    <row r="461" spans="1:69" s="71" customFormat="1" x14ac:dyDescent="0.2">
      <c r="A461" s="82" t="s">
        <v>308</v>
      </c>
      <c r="B461" s="107">
        <f t="array" aca="1" ref="B461" ca="1">_xll.GetPrice("FP-LBR-0926","Actual","Low",_LATESTvarPubDate)</f>
        <v>1880</v>
      </c>
      <c r="C461" s="107">
        <f t="array" aca="1" ref="C461" ca="1">_xll.GetPrice("FP-LBR-0928","Actual","Low",_LATESTvarPubDate)</f>
        <v>1840</v>
      </c>
      <c r="D461" s="107">
        <f t="array" aca="1" ref="D461" ca="1">_xll.GetPrice("FP-LBR-0930","Actual","Low",_LATESTvarPubDate)</f>
        <v>1620</v>
      </c>
      <c r="E461" s="107">
        <f t="array" aca="1" ref="E461" ca="1">_xll.GetPrice("FP-LBR-0932","Actual","Low",_LATESTvarPubDate)</f>
        <v>560</v>
      </c>
      <c r="F461" s="106" t="s">
        <v>37</v>
      </c>
      <c r="G461" s="74"/>
      <c r="H461" s="106"/>
      <c r="J461" s="110" t="s">
        <v>316</v>
      </c>
      <c r="L461" s="107">
        <f t="array" aca="1" ref="L461" ca="1">_xll.GetPrice("FP-LBR-0904","Actual","Low",_LATESTvarPubDate)</f>
        <v>10</v>
      </c>
      <c r="M461" s="107">
        <f t="array" aca="1" ref="M461" ca="1">_xll.GetPrice("FP-LBR-0904","Actual","High",_LATESTvarPubDate)</f>
        <v>25</v>
      </c>
      <c r="N461" s="73"/>
      <c r="O461" s="74"/>
      <c r="P461" s="74"/>
      <c r="Q461" s="74"/>
      <c r="R461" s="74"/>
      <c r="S461" s="73"/>
      <c r="T461" s="73"/>
      <c r="U461" s="73"/>
      <c r="V461" s="73"/>
      <c r="W461" s="73"/>
      <c r="X461" s="73"/>
      <c r="Y461" s="73"/>
      <c r="Z461" s="73"/>
      <c r="AA461" s="74"/>
      <c r="AB461" s="7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93"/>
      <c r="BB461" s="93"/>
      <c r="BC461" s="93"/>
      <c r="BD461" s="93"/>
      <c r="BE461" s="93"/>
      <c r="BF461" s="93"/>
      <c r="BG461" s="93"/>
      <c r="BH461" s="93"/>
      <c r="BI461" s="93"/>
      <c r="BJ461" s="93"/>
      <c r="BK461" s="93"/>
      <c r="BL461" s="93"/>
      <c r="BM461" s="93"/>
      <c r="BN461" s="93"/>
      <c r="BO461" s="93"/>
      <c r="BP461" s="93"/>
      <c r="BQ461" s="93"/>
    </row>
    <row r="462" spans="1:69" s="71" customFormat="1" x14ac:dyDescent="0.2">
      <c r="A462" s="73"/>
      <c r="B462" s="73"/>
      <c r="C462" s="73"/>
      <c r="D462" s="73"/>
      <c r="E462" s="73"/>
      <c r="F462" s="73"/>
      <c r="G462" s="73"/>
      <c r="H462" s="73"/>
      <c r="J462" s="74"/>
      <c r="K462" s="74"/>
      <c r="L462" s="74"/>
      <c r="M462" s="74"/>
      <c r="N462" s="74"/>
      <c r="O462" s="74"/>
      <c r="P462" s="74"/>
      <c r="Q462" s="74"/>
      <c r="R462" s="74"/>
      <c r="S462" s="73"/>
      <c r="T462" s="73"/>
      <c r="U462" s="73"/>
      <c r="V462" s="73"/>
      <c r="W462" s="73"/>
      <c r="X462" s="73"/>
      <c r="Y462" s="73"/>
      <c r="Z462" s="73"/>
      <c r="AA462" s="74"/>
      <c r="AB462" s="7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93"/>
      <c r="BB462" s="93"/>
      <c r="BC462" s="93"/>
      <c r="BD462" s="93"/>
      <c r="BE462" s="93"/>
      <c r="BF462" s="93"/>
      <c r="BG462" s="93"/>
      <c r="BH462" s="93"/>
      <c r="BI462" s="93"/>
      <c r="BJ462" s="93"/>
      <c r="BK462" s="93"/>
      <c r="BL462" s="93"/>
      <c r="BM462" s="93"/>
      <c r="BN462" s="93"/>
      <c r="BO462" s="93"/>
      <c r="BP462" s="93"/>
      <c r="BQ462" s="93"/>
    </row>
    <row r="463" spans="1:69" s="71" customFormat="1" x14ac:dyDescent="0.2">
      <c r="A463" s="104" t="s">
        <v>317</v>
      </c>
      <c r="B463" s="73"/>
      <c r="C463" s="73"/>
      <c r="D463" s="73"/>
      <c r="E463" s="73"/>
      <c r="F463" s="73"/>
      <c r="G463" s="73"/>
      <c r="J463" s="74"/>
      <c r="K463" s="74"/>
      <c r="L463" s="74"/>
      <c r="M463" s="74"/>
      <c r="N463" s="74"/>
      <c r="O463" s="74"/>
      <c r="P463" s="74"/>
      <c r="Q463" s="73"/>
      <c r="R463" s="74"/>
      <c r="S463" s="73"/>
      <c r="T463" s="73"/>
      <c r="U463" s="73"/>
      <c r="V463" s="73"/>
      <c r="W463" s="73"/>
      <c r="X463" s="73"/>
      <c r="Y463" s="73"/>
      <c r="Z463" s="73"/>
      <c r="AA463" s="74"/>
      <c r="AB463" s="7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93"/>
      <c r="BB463" s="93"/>
      <c r="BC463" s="93"/>
      <c r="BD463" s="93"/>
      <c r="BE463" s="93"/>
      <c r="BF463" s="93"/>
      <c r="BG463" s="93"/>
      <c r="BH463" s="93"/>
      <c r="BI463" s="93"/>
      <c r="BJ463" s="93"/>
      <c r="BK463" s="93"/>
      <c r="BL463" s="93"/>
      <c r="BM463" s="93"/>
      <c r="BN463" s="93"/>
      <c r="BO463" s="93"/>
      <c r="BP463" s="93"/>
      <c r="BQ463" s="93"/>
    </row>
    <row r="464" spans="1:69" s="71" customFormat="1" x14ac:dyDescent="0.2">
      <c r="A464" s="73"/>
      <c r="B464" s="98" t="s">
        <v>318</v>
      </c>
      <c r="C464" s="98" t="s">
        <v>319</v>
      </c>
      <c r="D464" s="98" t="s">
        <v>320</v>
      </c>
      <c r="E464" s="73"/>
      <c r="F464" s="73"/>
      <c r="G464" s="73"/>
      <c r="J464" s="74"/>
      <c r="K464" s="74"/>
      <c r="L464" s="74"/>
      <c r="M464" s="74"/>
      <c r="N464" s="74"/>
      <c r="O464" s="74"/>
      <c r="P464" s="74"/>
      <c r="Q464" s="74"/>
      <c r="R464" s="73"/>
      <c r="S464" s="73"/>
      <c r="T464" s="73"/>
      <c r="U464" s="73"/>
      <c r="V464" s="73"/>
      <c r="W464" s="73"/>
      <c r="X464" s="73"/>
      <c r="Y464" s="73"/>
      <c r="Z464" s="73"/>
      <c r="AA464" s="74"/>
      <c r="AB464" s="7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93"/>
      <c r="BB464" s="93"/>
      <c r="BC464" s="93"/>
      <c r="BD464" s="93"/>
      <c r="BE464" s="93"/>
      <c r="BF464" s="93"/>
      <c r="BG464" s="93"/>
      <c r="BH464" s="93"/>
      <c r="BI464" s="93"/>
      <c r="BJ464" s="93"/>
      <c r="BK464" s="93"/>
      <c r="BL464" s="93"/>
      <c r="BM464" s="93"/>
      <c r="BN464" s="93"/>
      <c r="BO464" s="93"/>
      <c r="BP464" s="93"/>
      <c r="BQ464" s="93"/>
    </row>
    <row r="465" spans="1:69" s="71" customFormat="1" x14ac:dyDescent="0.2">
      <c r="A465" s="82" t="s">
        <v>321</v>
      </c>
      <c r="B465" s="107">
        <f t="array" aca="1" ref="B465" ca="1">_xll.GetPrice("FP-LBR-0933","Actual","Low",_LATESTvarPubDate)</f>
        <v>1735</v>
      </c>
      <c r="C465" s="107">
        <f t="array" aca="1" ref="C465" ca="1">_xll.GetPrice("FP-LBR-0935","Actual","Low",_LATESTvarPubDate)</f>
        <v>1500</v>
      </c>
      <c r="D465" s="107">
        <f t="array" aca="1" ref="D465" ca="1">_xll.GetPrice("FP-LBR-0936","Actual","Low",_LATESTvarPubDate)</f>
        <v>1985</v>
      </c>
      <c r="Q465" s="73"/>
      <c r="R465" s="73"/>
      <c r="T465" s="73"/>
      <c r="U465" s="73"/>
      <c r="V465" s="73"/>
      <c r="W465" s="73"/>
      <c r="X465" s="73"/>
      <c r="Y465" s="73"/>
      <c r="Z465" s="73"/>
      <c r="AA465" s="74"/>
      <c r="AB465" s="7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93"/>
      <c r="BB465" s="93"/>
      <c r="BC465" s="93"/>
      <c r="BD465" s="93"/>
      <c r="BE465" s="93"/>
      <c r="BF465" s="93"/>
      <c r="BG465" s="93"/>
      <c r="BH465" s="93"/>
      <c r="BI465" s="93"/>
      <c r="BJ465" s="93"/>
      <c r="BK465" s="93"/>
      <c r="BL465" s="93"/>
      <c r="BM465" s="93"/>
      <c r="BN465" s="93"/>
      <c r="BO465" s="93"/>
      <c r="BP465" s="93"/>
      <c r="BQ465" s="93"/>
    </row>
    <row r="466" spans="1:69" s="71" customFormat="1" x14ac:dyDescent="0.2">
      <c r="A466" s="82" t="s">
        <v>322</v>
      </c>
      <c r="B466" s="107">
        <f t="array" aca="1" ref="B466" ca="1">_xll.GetPrice("FP-LBR-0934","Actual","Low",_LATESTvarPubDate)</f>
        <v>1770</v>
      </c>
      <c r="C466" s="106" t="s">
        <v>37</v>
      </c>
      <c r="D466" s="107">
        <f t="array" aca="1" ref="D466" ca="1">_xll.GetPrice("FP-LBR-0937","Actual","Low",_LATESTvarPubDate)</f>
        <v>2045</v>
      </c>
      <c r="I466" s="73"/>
      <c r="J466" s="104" t="s">
        <v>323</v>
      </c>
      <c r="K466" s="73"/>
      <c r="L466" s="73"/>
      <c r="M466" s="73"/>
      <c r="O466" s="104" t="s">
        <v>324</v>
      </c>
      <c r="P466" s="74"/>
      <c r="Q466" s="73"/>
      <c r="R466" s="73"/>
      <c r="T466" s="73"/>
      <c r="U466" s="73"/>
      <c r="V466" s="73"/>
      <c r="W466" s="73"/>
      <c r="X466" s="73"/>
      <c r="Y466" s="73"/>
      <c r="Z466" s="73"/>
      <c r="AA466" s="74"/>
      <c r="AB466" s="7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93"/>
      <c r="BB466" s="93"/>
      <c r="BC466" s="93"/>
      <c r="BD466" s="93"/>
      <c r="BE466" s="93"/>
      <c r="BF466" s="93"/>
      <c r="BG466" s="93"/>
      <c r="BH466" s="93"/>
      <c r="BI466" s="93"/>
      <c r="BJ466" s="93"/>
      <c r="BK466" s="93"/>
      <c r="BL466" s="93"/>
      <c r="BM466" s="93"/>
      <c r="BN466" s="93"/>
      <c r="BO466" s="93"/>
      <c r="BP466" s="93"/>
      <c r="BQ466" s="93"/>
    </row>
    <row r="467" spans="1:69" s="71" customFormat="1" x14ac:dyDescent="0.2">
      <c r="H467" s="73"/>
      <c r="I467" s="73"/>
      <c r="J467" s="104" t="s">
        <v>325</v>
      </c>
      <c r="K467" s="73"/>
      <c r="L467" s="73"/>
      <c r="M467" s="73"/>
      <c r="O467" s="104" t="s">
        <v>326</v>
      </c>
      <c r="P467" s="73"/>
      <c r="Q467" s="73"/>
      <c r="R467" s="73"/>
      <c r="S467" s="73"/>
      <c r="T467" s="73"/>
      <c r="U467" s="73"/>
      <c r="V467" s="73"/>
      <c r="W467" s="73"/>
      <c r="X467" s="73"/>
      <c r="Y467" s="73"/>
      <c r="Z467" s="73"/>
      <c r="AA467" s="74"/>
      <c r="AB467" s="7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93"/>
      <c r="BB467" s="93"/>
      <c r="BC467" s="93"/>
      <c r="BD467" s="93"/>
      <c r="BE467" s="93"/>
      <c r="BF467" s="93"/>
      <c r="BG467" s="93"/>
      <c r="BH467" s="93"/>
      <c r="BI467" s="93"/>
      <c r="BJ467" s="93"/>
      <c r="BK467" s="93"/>
      <c r="BL467" s="93"/>
      <c r="BM467" s="93"/>
      <c r="BN467" s="93"/>
      <c r="BO467" s="93"/>
      <c r="BP467" s="93"/>
      <c r="BQ467" s="93"/>
    </row>
    <row r="468" spans="1:69" s="71" customFormat="1" x14ac:dyDescent="0.2">
      <c r="A468" s="104" t="s">
        <v>327</v>
      </c>
      <c r="H468" s="73"/>
      <c r="I468" s="73"/>
      <c r="J468" s="104" t="s">
        <v>328</v>
      </c>
      <c r="L468" s="98" t="s">
        <v>329</v>
      </c>
      <c r="M468" s="98" t="s">
        <v>210</v>
      </c>
      <c r="O468" s="104" t="s">
        <v>328</v>
      </c>
      <c r="P468" s="73"/>
      <c r="Q468" s="73"/>
      <c r="R468" s="73"/>
      <c r="S468" s="73"/>
      <c r="T468" s="73"/>
      <c r="U468" s="73"/>
      <c r="V468" s="73"/>
      <c r="W468" s="73"/>
      <c r="X468" s="73"/>
      <c r="Y468" s="73"/>
      <c r="Z468" s="73"/>
      <c r="AA468" s="74"/>
      <c r="AB468" s="7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93"/>
      <c r="BB468" s="93"/>
      <c r="BC468" s="93"/>
      <c r="BD468" s="93"/>
      <c r="BE468" s="93"/>
      <c r="BF468" s="93"/>
      <c r="BG468" s="93"/>
      <c r="BH468" s="93"/>
      <c r="BI468" s="93"/>
      <c r="BJ468" s="93"/>
      <c r="BK468" s="93"/>
      <c r="BL468" s="93"/>
      <c r="BM468" s="93"/>
      <c r="BN468" s="93"/>
      <c r="BO468" s="93"/>
      <c r="BP468" s="93"/>
      <c r="BQ468" s="93"/>
    </row>
    <row r="469" spans="1:69" s="71" customFormat="1" x14ac:dyDescent="0.2">
      <c r="A469" s="74"/>
      <c r="B469" s="73"/>
      <c r="C469" s="98" t="s">
        <v>330</v>
      </c>
      <c r="D469" s="98" t="s">
        <v>331</v>
      </c>
      <c r="E469" s="73"/>
      <c r="F469" s="73"/>
      <c r="G469" s="73"/>
      <c r="H469" s="73"/>
      <c r="I469" s="73"/>
      <c r="J469" s="121" t="s">
        <v>332</v>
      </c>
      <c r="L469" s="131">
        <f t="array" aca="1" ref="L469" ca="1">_xll.GetPrice("FP-LBR-0891","Actual","Low",_LATESTvarPubDate)</f>
        <v>368</v>
      </c>
      <c r="M469" s="131">
        <f t="array" aca="1" ref="M469" ca="1">_xll.GetPrice("FP-LBR-0894","Actual","Low",_LATESTvarPubDate)</f>
        <v>147</v>
      </c>
      <c r="O469" s="121" t="s">
        <v>333</v>
      </c>
      <c r="P469" s="131">
        <f t="array" aca="1" ref="P469" ca="1">_xll.GetPrice("FP-LBR-0896","Actual","Low",_LATESTvarPubDate)</f>
        <v>439</v>
      </c>
      <c r="Q469" s="73"/>
      <c r="R469" s="73"/>
      <c r="S469" s="73"/>
      <c r="T469" s="73"/>
      <c r="U469" s="73"/>
      <c r="V469" s="73"/>
      <c r="W469" s="73"/>
      <c r="X469" s="73"/>
      <c r="Y469" s="73"/>
      <c r="Z469" s="73"/>
      <c r="AA469" s="74"/>
      <c r="AB469" s="7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93"/>
      <c r="BB469" s="93"/>
      <c r="BC469" s="93"/>
      <c r="BD469" s="93"/>
      <c r="BE469" s="93"/>
      <c r="BF469" s="93"/>
      <c r="BG469" s="93"/>
      <c r="BH469" s="93"/>
      <c r="BI469" s="93"/>
      <c r="BJ469" s="93"/>
      <c r="BK469" s="93"/>
      <c r="BL469" s="93"/>
      <c r="BM469" s="93"/>
      <c r="BN469" s="93"/>
      <c r="BO469" s="93"/>
      <c r="BP469" s="93"/>
      <c r="BQ469" s="93"/>
    </row>
    <row r="470" spans="1:69" s="71" customFormat="1" x14ac:dyDescent="0.2">
      <c r="A470" s="82" t="s">
        <v>334</v>
      </c>
      <c r="B470" s="73"/>
      <c r="C470" s="107">
        <f t="array" aca="1" ref="C470" ca="1">_xll.GetPrice("FP-LBR-0938","Actual","Low",_LATESTvarPubDate)</f>
        <v>1060</v>
      </c>
      <c r="D470" s="107">
        <f t="array" aca="1" ref="D470" ca="1">_xll.GetPrice("FP-LBR-0941","Actual","Low",_LATESTvarPubDate)</f>
        <v>1150</v>
      </c>
      <c r="E470" s="73"/>
      <c r="F470" s="73"/>
      <c r="G470" s="73"/>
      <c r="H470" s="73"/>
      <c r="I470" s="73"/>
      <c r="J470" s="132" t="s">
        <v>335</v>
      </c>
      <c r="L470" s="131">
        <f t="array" aca="1" ref="L470" ca="1">_xll.GetPrice("FP-LBR-0892","Actual","Low",_LATESTvarPubDate)</f>
        <v>409</v>
      </c>
      <c r="M470" s="131">
        <f t="array" aca="1" ref="M470" ca="1">_xll.GetPrice("FP-LBR-0895","Actual","Low",_LATESTvarPubDate)</f>
        <v>162</v>
      </c>
      <c r="O470" s="121" t="s">
        <v>336</v>
      </c>
      <c r="P470" s="131">
        <f t="array" aca="1" ref="P470" ca="1">_xll.GetPrice("FP-LBR-0897","Actual","Low",_LATESTvarPubDate)</f>
        <v>483</v>
      </c>
      <c r="S470" s="73"/>
      <c r="T470" s="73"/>
      <c r="U470" s="73"/>
      <c r="V470" s="73"/>
      <c r="W470" s="73"/>
      <c r="X470" s="73"/>
      <c r="Y470" s="73"/>
      <c r="Z470" s="73"/>
      <c r="AA470" s="74"/>
      <c r="AB470" s="7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93"/>
      <c r="BB470" s="93"/>
      <c r="BC470" s="93"/>
      <c r="BD470" s="93"/>
      <c r="BE470" s="93"/>
      <c r="BF470" s="93"/>
      <c r="BG470" s="93"/>
      <c r="BH470" s="93"/>
      <c r="BI470" s="93"/>
      <c r="BJ470" s="93"/>
      <c r="BK470" s="93"/>
      <c r="BL470" s="93"/>
      <c r="BM470" s="93"/>
      <c r="BN470" s="93"/>
      <c r="BO470" s="93"/>
      <c r="BP470" s="93"/>
      <c r="BQ470" s="93"/>
    </row>
    <row r="471" spans="1:69" s="71" customFormat="1" x14ac:dyDescent="0.2">
      <c r="A471" s="82" t="s">
        <v>337</v>
      </c>
      <c r="C471" s="107">
        <f t="array" aca="1" ref="C471" ca="1">_xll.GetPrice("FP-LBR-0939","Actual","Low",_LATESTvarPubDate)</f>
        <v>1070</v>
      </c>
      <c r="D471" s="107">
        <f t="array" aca="1" ref="D471" ca="1">_xll.GetPrice("FP-LBR-0942","Actual","Low",_LATESTvarPubDate)</f>
        <v>1160</v>
      </c>
      <c r="E471" s="73"/>
      <c r="F471" s="73"/>
      <c r="G471" s="73"/>
      <c r="H471" s="73"/>
      <c r="I471" s="73"/>
      <c r="J471" s="121" t="s">
        <v>338</v>
      </c>
      <c r="L471" s="131">
        <f t="array" aca="1" ref="L471" ca="1">_xll.GetPrice("FP-LBR-0893","Actual","Low",_LATESTvarPubDate)</f>
        <v>333</v>
      </c>
      <c r="M471" s="120" t="s">
        <v>37</v>
      </c>
      <c r="O471" s="73"/>
      <c r="P471" s="73"/>
      <c r="Q471" s="74"/>
      <c r="R471" s="73"/>
      <c r="S471" s="73"/>
      <c r="T471" s="73"/>
      <c r="U471" s="73"/>
      <c r="V471" s="73"/>
      <c r="W471" s="73"/>
      <c r="X471" s="73"/>
      <c r="Y471" s="73"/>
      <c r="Z471" s="73"/>
      <c r="AA471" s="74"/>
      <c r="AB471" s="7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93"/>
      <c r="BB471" s="93"/>
      <c r="BC471" s="93"/>
      <c r="BD471" s="93"/>
      <c r="BE471" s="93"/>
      <c r="BF471" s="93"/>
      <c r="BG471" s="93"/>
      <c r="BH471" s="93"/>
      <c r="BI471" s="93"/>
      <c r="BJ471" s="93"/>
      <c r="BK471" s="93"/>
      <c r="BL471" s="93"/>
      <c r="BM471" s="93"/>
      <c r="BN471" s="93"/>
      <c r="BO471" s="93"/>
      <c r="BP471" s="93"/>
      <c r="BQ471" s="93"/>
    </row>
    <row r="472" spans="1:69" s="71" customFormat="1" x14ac:dyDescent="0.2">
      <c r="A472" s="82" t="s">
        <v>339</v>
      </c>
      <c r="B472" s="73"/>
      <c r="C472" s="107">
        <f t="array" aca="1" ref="C472" ca="1">_xll.GetPrice("FP-LBR-0940","Actual","Low",_LATESTvarPubDate)</f>
        <v>1050</v>
      </c>
      <c r="D472" s="107">
        <f t="array" aca="1" ref="D472" ca="1">_xll.GetPrice("FP-LBR-0943","Actual","Low",_LATESTvarPubDate)</f>
        <v>1090</v>
      </c>
      <c r="E472" s="73"/>
      <c r="F472" s="73"/>
      <c r="G472" s="73"/>
      <c r="H472" s="73"/>
      <c r="I472" s="73"/>
      <c r="N472" s="110" t="s">
        <v>340</v>
      </c>
      <c r="O472" s="73"/>
      <c r="P472" s="131">
        <f t="array" aca="1" ref="P472" ca="1">_xll.GetPrice("FP-LBR-0898","Actual","Low",_LATESTvarPubDate)</f>
        <v>425</v>
      </c>
      <c r="Q472" s="73"/>
      <c r="R472" s="73"/>
      <c r="S472" s="73"/>
      <c r="T472" s="73"/>
      <c r="U472" s="73"/>
      <c r="V472" s="73"/>
      <c r="W472" s="73"/>
      <c r="X472" s="73"/>
      <c r="Y472" s="73"/>
      <c r="Z472" s="73"/>
      <c r="AA472" s="74"/>
      <c r="AB472" s="7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93"/>
      <c r="BB472" s="93"/>
      <c r="BC472" s="93"/>
      <c r="BD472" s="93"/>
      <c r="BE472" s="93"/>
      <c r="BF472" s="93"/>
      <c r="BG472" s="93"/>
      <c r="BH472" s="93"/>
      <c r="BI472" s="93"/>
      <c r="BJ472" s="93"/>
      <c r="BK472" s="93"/>
      <c r="BL472" s="93"/>
      <c r="BM472" s="93"/>
      <c r="BN472" s="93"/>
      <c r="BO472" s="93"/>
      <c r="BP472" s="93"/>
      <c r="BQ472" s="93"/>
    </row>
    <row r="473" spans="1:69" s="71" customFormat="1" x14ac:dyDescent="0.2">
      <c r="E473" s="73"/>
      <c r="F473" s="73"/>
      <c r="G473" s="73"/>
      <c r="H473" s="73"/>
      <c r="I473" s="73"/>
      <c r="J473" s="73"/>
      <c r="K473" s="73"/>
      <c r="L473" s="73"/>
      <c r="M473" s="73"/>
      <c r="N473" s="73"/>
      <c r="O473" s="73"/>
      <c r="P473" s="73"/>
      <c r="Q473" s="73"/>
      <c r="R473" s="73"/>
      <c r="S473" s="73"/>
      <c r="T473" s="73"/>
      <c r="U473" s="73"/>
      <c r="V473" s="73"/>
      <c r="W473" s="73"/>
      <c r="X473" s="73"/>
      <c r="Y473" s="73"/>
      <c r="Z473" s="73"/>
      <c r="AA473" s="74"/>
      <c r="AB473" s="7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93"/>
      <c r="BB473" s="93"/>
      <c r="BC473" s="93"/>
      <c r="BD473" s="93"/>
      <c r="BE473" s="93"/>
      <c r="BF473" s="93"/>
      <c r="BG473" s="93"/>
      <c r="BH473" s="93"/>
      <c r="BI473" s="93"/>
      <c r="BJ473" s="93"/>
      <c r="BK473" s="93"/>
      <c r="BL473" s="93"/>
      <c r="BM473" s="93"/>
      <c r="BN473" s="93"/>
      <c r="BO473" s="93"/>
      <c r="BP473" s="93"/>
      <c r="BQ473" s="93"/>
    </row>
    <row r="474" spans="1:69" s="71" customFormat="1" x14ac:dyDescent="0.2">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c r="AA474" s="74"/>
      <c r="AB474" s="7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93"/>
      <c r="BB474" s="93"/>
      <c r="BC474" s="93"/>
      <c r="BD474" s="93"/>
      <c r="BE474" s="93"/>
      <c r="BF474" s="93"/>
      <c r="BG474" s="93"/>
      <c r="BH474" s="93"/>
      <c r="BI474" s="93"/>
      <c r="BJ474" s="93"/>
      <c r="BK474" s="93"/>
      <c r="BL474" s="93"/>
      <c r="BM474" s="93"/>
      <c r="BN474" s="93"/>
      <c r="BO474" s="93"/>
      <c r="BP474" s="93"/>
      <c r="BQ474" s="93"/>
    </row>
    <row r="475" spans="1:69" s="71" customFormat="1" x14ac:dyDescent="0.2">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c r="AA475" s="74"/>
      <c r="AB475" s="7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93"/>
      <c r="BB475" s="93"/>
      <c r="BC475" s="93"/>
      <c r="BD475" s="93"/>
      <c r="BE475" s="93"/>
      <c r="BF475" s="93"/>
      <c r="BG475" s="93"/>
      <c r="BH475" s="93"/>
      <c r="BI475" s="93"/>
      <c r="BJ475" s="93"/>
      <c r="BK475" s="93"/>
      <c r="BL475" s="93"/>
      <c r="BM475" s="93"/>
      <c r="BN475" s="93"/>
      <c r="BO475" s="93"/>
      <c r="BP475" s="93"/>
      <c r="BQ475" s="93"/>
    </row>
    <row r="476" spans="1:69" s="71" customFormat="1" x14ac:dyDescent="0.2">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c r="AA476" s="74"/>
      <c r="AB476" s="7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93"/>
      <c r="BB476" s="93"/>
      <c r="BC476" s="93"/>
      <c r="BD476" s="93"/>
      <c r="BE476" s="93"/>
      <c r="BF476" s="93"/>
      <c r="BG476" s="93"/>
      <c r="BH476" s="93"/>
      <c r="BI476" s="93"/>
      <c r="BJ476" s="93"/>
      <c r="BK476" s="93"/>
      <c r="BL476" s="93"/>
      <c r="BM476" s="93"/>
      <c r="BN476" s="93"/>
      <c r="BO476" s="93"/>
      <c r="BP476" s="93"/>
      <c r="BQ476" s="93"/>
    </row>
    <row r="477" spans="1:69" s="71" customFormat="1" x14ac:dyDescent="0.2">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c r="AA477" s="74"/>
      <c r="AB477" s="7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93"/>
      <c r="BB477" s="93"/>
      <c r="BC477" s="93"/>
      <c r="BD477" s="93"/>
      <c r="BE477" s="93"/>
      <c r="BF477" s="93"/>
      <c r="BG477" s="93"/>
      <c r="BH477" s="93"/>
      <c r="BI477" s="93"/>
      <c r="BJ477" s="93"/>
      <c r="BK477" s="93"/>
      <c r="BL477" s="93"/>
      <c r="BM477" s="93"/>
      <c r="BN477" s="93"/>
      <c r="BO477" s="93"/>
      <c r="BP477" s="93"/>
      <c r="BQ477" s="93"/>
    </row>
    <row r="478" spans="1:69" s="71" customFormat="1" x14ac:dyDescent="0.2">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c r="AA478" s="74"/>
      <c r="AB478" s="7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93"/>
      <c r="BB478" s="93"/>
      <c r="BC478" s="93"/>
      <c r="BD478" s="93"/>
      <c r="BE478" s="93"/>
      <c r="BF478" s="93"/>
      <c r="BG478" s="93"/>
      <c r="BH478" s="93"/>
      <c r="BI478" s="93"/>
      <c r="BJ478" s="93"/>
      <c r="BK478" s="93"/>
      <c r="BL478" s="93"/>
      <c r="BM478" s="93"/>
      <c r="BN478" s="93"/>
      <c r="BO478" s="93"/>
      <c r="BP478" s="93"/>
      <c r="BQ478" s="93"/>
    </row>
    <row r="479" spans="1:69" s="71" customFormat="1" x14ac:dyDescent="0.2">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c r="AA479" s="74"/>
      <c r="AB479" s="7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93"/>
      <c r="BB479" s="93"/>
      <c r="BC479" s="93"/>
      <c r="BD479" s="93"/>
      <c r="BE479" s="93"/>
      <c r="BF479" s="93"/>
      <c r="BG479" s="93"/>
      <c r="BH479" s="93"/>
      <c r="BI479" s="93"/>
      <c r="BJ479" s="93"/>
      <c r="BK479" s="93"/>
      <c r="BL479" s="93"/>
      <c r="BM479" s="93"/>
      <c r="BN479" s="93"/>
      <c r="BO479" s="93"/>
      <c r="BP479" s="93"/>
      <c r="BQ479" s="93"/>
    </row>
    <row r="480" spans="1:69" s="71" customFormat="1" x14ac:dyDescent="0.2">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c r="AA480" s="74"/>
      <c r="AB480" s="7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93"/>
      <c r="BB480" s="93"/>
      <c r="BC480" s="93"/>
      <c r="BD480" s="93"/>
      <c r="BE480" s="93"/>
      <c r="BF480" s="93"/>
      <c r="BG480" s="93"/>
      <c r="BH480" s="93"/>
      <c r="BI480" s="93"/>
      <c r="BJ480" s="93"/>
      <c r="BK480" s="93"/>
      <c r="BL480" s="93"/>
      <c r="BM480" s="93"/>
      <c r="BN480" s="93"/>
      <c r="BO480" s="93"/>
      <c r="BP480" s="93"/>
      <c r="BQ480" s="93"/>
    </row>
    <row r="481" spans="1:69" s="71" customFormat="1" x14ac:dyDescent="0.2">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c r="AA481" s="74"/>
      <c r="AB481" s="7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93"/>
      <c r="BB481" s="93"/>
      <c r="BC481" s="93"/>
      <c r="BD481" s="93"/>
      <c r="BE481" s="93"/>
      <c r="BF481" s="93"/>
      <c r="BG481" s="93"/>
      <c r="BH481" s="93"/>
      <c r="BI481" s="93"/>
      <c r="BJ481" s="93"/>
      <c r="BK481" s="93"/>
      <c r="BL481" s="93"/>
      <c r="BM481" s="93"/>
      <c r="BN481" s="93"/>
      <c r="BO481" s="93"/>
      <c r="BP481" s="93"/>
      <c r="BQ481" s="93"/>
    </row>
    <row r="482" spans="1:69" s="71" customFormat="1" x14ac:dyDescent="0.2">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c r="AA482" s="74"/>
      <c r="AB482" s="7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93"/>
      <c r="BB482" s="93"/>
      <c r="BC482" s="93"/>
      <c r="BD482" s="93"/>
      <c r="BE482" s="93"/>
      <c r="BF482" s="93"/>
      <c r="BG482" s="93"/>
      <c r="BH482" s="93"/>
      <c r="BI482" s="93"/>
      <c r="BJ482" s="93"/>
      <c r="BK482" s="93"/>
      <c r="BL482" s="93"/>
      <c r="BM482" s="93"/>
      <c r="BN482" s="93"/>
      <c r="BO482" s="93"/>
      <c r="BP482" s="93"/>
      <c r="BQ482" s="93"/>
    </row>
    <row r="483" spans="1:69" s="71" customFormat="1" x14ac:dyDescent="0.2">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93"/>
      <c r="BB483" s="93"/>
      <c r="BC483" s="93"/>
      <c r="BD483" s="93"/>
      <c r="BE483" s="93"/>
      <c r="BF483" s="93"/>
      <c r="BG483" s="93"/>
      <c r="BH483" s="93"/>
      <c r="BI483" s="93"/>
      <c r="BJ483" s="93"/>
      <c r="BK483" s="93"/>
      <c r="BL483" s="93"/>
      <c r="BM483" s="93"/>
      <c r="BN483" s="93"/>
      <c r="BO483" s="93"/>
      <c r="BP483" s="93"/>
      <c r="BQ483" s="93"/>
    </row>
    <row r="484" spans="1:69" s="71" customFormat="1" x14ac:dyDescent="0.2">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93"/>
      <c r="BB484" s="93"/>
      <c r="BC484" s="93"/>
      <c r="BD484" s="93"/>
      <c r="BE484" s="93"/>
      <c r="BF484" s="93"/>
      <c r="BG484" s="93"/>
      <c r="BH484" s="93"/>
      <c r="BI484" s="93"/>
      <c r="BJ484" s="93"/>
      <c r="BK484" s="93"/>
      <c r="BL484" s="93"/>
      <c r="BM484" s="93"/>
      <c r="BN484" s="93"/>
      <c r="BO484" s="93"/>
      <c r="BP484" s="93"/>
      <c r="BQ484" s="93"/>
    </row>
    <row r="485" spans="1:69" s="71" customFormat="1" x14ac:dyDescent="0.2">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c r="AA485" s="74"/>
      <c r="AB485" s="7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93"/>
      <c r="BB485" s="93"/>
      <c r="BC485" s="93"/>
      <c r="BD485" s="93"/>
      <c r="BE485" s="93"/>
      <c r="BF485" s="93"/>
      <c r="BG485" s="93"/>
      <c r="BH485" s="93"/>
      <c r="BI485" s="93"/>
      <c r="BJ485" s="93"/>
      <c r="BK485" s="93"/>
      <c r="BL485" s="93"/>
      <c r="BM485" s="93"/>
      <c r="BN485" s="93"/>
      <c r="BO485" s="93"/>
      <c r="BP485" s="93"/>
      <c r="BQ485" s="93"/>
    </row>
    <row r="486" spans="1:69" s="71" customFormat="1" x14ac:dyDescent="0.2">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c r="AA486" s="74"/>
      <c r="AB486" s="7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93"/>
      <c r="BB486" s="93"/>
      <c r="BC486" s="93"/>
      <c r="BD486" s="93"/>
      <c r="BE486" s="93"/>
      <c r="BF486" s="93"/>
      <c r="BG486" s="93"/>
      <c r="BH486" s="93"/>
      <c r="BI486" s="93"/>
      <c r="BJ486" s="93"/>
      <c r="BK486" s="93"/>
      <c r="BL486" s="93"/>
      <c r="BM486" s="93"/>
      <c r="BN486" s="93"/>
      <c r="BO486" s="93"/>
      <c r="BP486" s="93"/>
      <c r="BQ486" s="93"/>
    </row>
    <row r="487" spans="1:69" s="71" customFormat="1" x14ac:dyDescent="0.2">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c r="AA487" s="74"/>
      <c r="AB487" s="7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93"/>
      <c r="BB487" s="93"/>
      <c r="BC487" s="93"/>
      <c r="BD487" s="93"/>
      <c r="BE487" s="93"/>
      <c r="BF487" s="93"/>
      <c r="BG487" s="93"/>
      <c r="BH487" s="93"/>
      <c r="BI487" s="93"/>
      <c r="BJ487" s="93"/>
      <c r="BK487" s="93"/>
      <c r="BL487" s="93"/>
      <c r="BM487" s="93"/>
      <c r="BN487" s="93"/>
      <c r="BO487" s="93"/>
      <c r="BP487" s="93"/>
      <c r="BQ487" s="93"/>
    </row>
    <row r="488" spans="1:69" s="71" customFormat="1" x14ac:dyDescent="0.2">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c r="AA488" s="74"/>
      <c r="AB488" s="7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93"/>
      <c r="BB488" s="93"/>
      <c r="BC488" s="93"/>
      <c r="BD488" s="93"/>
      <c r="BE488" s="93"/>
      <c r="BF488" s="93"/>
      <c r="BG488" s="93"/>
      <c r="BH488" s="93"/>
      <c r="BI488" s="93"/>
      <c r="BJ488" s="93"/>
      <c r="BK488" s="93"/>
      <c r="BL488" s="93"/>
      <c r="BM488" s="93"/>
      <c r="BN488" s="93"/>
      <c r="BO488" s="93"/>
      <c r="BP488" s="93"/>
      <c r="BQ488" s="93"/>
    </row>
    <row r="489" spans="1:69" s="71" customFormat="1" x14ac:dyDescent="0.2">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c r="AA489" s="74"/>
      <c r="AB489" s="7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93"/>
      <c r="BB489" s="93"/>
      <c r="BC489" s="93"/>
      <c r="BD489" s="93"/>
      <c r="BE489" s="93"/>
      <c r="BF489" s="93"/>
      <c r="BG489" s="93"/>
      <c r="BH489" s="93"/>
      <c r="BI489" s="93"/>
      <c r="BJ489" s="93"/>
      <c r="BK489" s="93"/>
      <c r="BL489" s="93"/>
      <c r="BM489" s="93"/>
      <c r="BN489" s="93"/>
      <c r="BO489" s="93"/>
      <c r="BP489" s="93"/>
      <c r="BQ489" s="93"/>
    </row>
    <row r="490" spans="1:69" s="71" customFormat="1" x14ac:dyDescent="0.2">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c r="AA490" s="74"/>
      <c r="AB490" s="7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93"/>
      <c r="BB490" s="93"/>
      <c r="BC490" s="93"/>
      <c r="BD490" s="93"/>
      <c r="BE490" s="93"/>
      <c r="BF490" s="93"/>
      <c r="BG490" s="93"/>
      <c r="BH490" s="93"/>
      <c r="BI490" s="93"/>
      <c r="BJ490" s="93"/>
      <c r="BK490" s="93"/>
      <c r="BL490" s="93"/>
      <c r="BM490" s="93"/>
      <c r="BN490" s="93"/>
      <c r="BO490" s="93"/>
      <c r="BP490" s="93"/>
      <c r="BQ490" s="93"/>
    </row>
    <row r="491" spans="1:69" s="71" customFormat="1" x14ac:dyDescent="0.2">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c r="AA491" s="74"/>
      <c r="AB491" s="7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93"/>
      <c r="BB491" s="93"/>
      <c r="BC491" s="93"/>
      <c r="BD491" s="93"/>
      <c r="BE491" s="93"/>
      <c r="BF491" s="93"/>
      <c r="BG491" s="93"/>
      <c r="BH491" s="93"/>
      <c r="BI491" s="93"/>
      <c r="BJ491" s="93"/>
      <c r="BK491" s="93"/>
      <c r="BL491" s="93"/>
      <c r="BM491" s="93"/>
      <c r="BN491" s="93"/>
      <c r="BO491" s="93"/>
      <c r="BP491" s="93"/>
      <c r="BQ491" s="93"/>
    </row>
    <row r="492" spans="1:69" s="71" customFormat="1" x14ac:dyDescent="0.2">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c r="AA492" s="74"/>
      <c r="AB492" s="7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93"/>
      <c r="BB492" s="93"/>
      <c r="BC492" s="93"/>
      <c r="BD492" s="93"/>
      <c r="BE492" s="93"/>
      <c r="BF492" s="93"/>
      <c r="BG492" s="93"/>
      <c r="BH492" s="93"/>
      <c r="BI492" s="93"/>
      <c r="BJ492" s="93"/>
      <c r="BK492" s="93"/>
      <c r="BL492" s="93"/>
      <c r="BM492" s="93"/>
      <c r="BN492" s="93"/>
      <c r="BO492" s="93"/>
      <c r="BP492" s="93"/>
      <c r="BQ492" s="93"/>
    </row>
    <row r="493" spans="1:69" s="71" customFormat="1" x14ac:dyDescent="0.2">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c r="AA493" s="74"/>
      <c r="AB493" s="7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93"/>
      <c r="BB493" s="93"/>
      <c r="BC493" s="93"/>
      <c r="BD493" s="93"/>
      <c r="BE493" s="93"/>
      <c r="BF493" s="93"/>
      <c r="BG493" s="93"/>
      <c r="BH493" s="93"/>
      <c r="BI493" s="93"/>
      <c r="BJ493" s="93"/>
      <c r="BK493" s="93"/>
      <c r="BL493" s="93"/>
      <c r="BM493" s="93"/>
      <c r="BN493" s="93"/>
      <c r="BO493" s="93"/>
      <c r="BP493" s="93"/>
      <c r="BQ493" s="93"/>
    </row>
    <row r="494" spans="1:69" s="71" customFormat="1" x14ac:dyDescent="0.2">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c r="AA494" s="74"/>
      <c r="AB494" s="7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93"/>
      <c r="BB494" s="93"/>
      <c r="BC494" s="93"/>
      <c r="BD494" s="93"/>
      <c r="BE494" s="93"/>
      <c r="BF494" s="93"/>
      <c r="BG494" s="93"/>
      <c r="BH494" s="93"/>
      <c r="BI494" s="93"/>
      <c r="BJ494" s="93"/>
      <c r="BK494" s="93"/>
      <c r="BL494" s="93"/>
      <c r="BM494" s="93"/>
      <c r="BN494" s="93"/>
      <c r="BO494" s="93"/>
      <c r="BP494" s="93"/>
      <c r="BQ494" s="93"/>
    </row>
    <row r="495" spans="1:69" s="71" customFormat="1" x14ac:dyDescent="0.2">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c r="AA495" s="74"/>
      <c r="AB495" s="7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93"/>
      <c r="BB495" s="93"/>
      <c r="BC495" s="93"/>
      <c r="BD495" s="93"/>
      <c r="BE495" s="93"/>
      <c r="BF495" s="93"/>
      <c r="BG495" s="93"/>
      <c r="BH495" s="93"/>
      <c r="BI495" s="93"/>
      <c r="BJ495" s="93"/>
      <c r="BK495" s="93"/>
      <c r="BL495" s="93"/>
      <c r="BM495" s="93"/>
      <c r="BN495" s="93"/>
      <c r="BO495" s="93"/>
      <c r="BP495" s="93"/>
      <c r="BQ495" s="93"/>
    </row>
    <row r="496" spans="1:69" s="71" customFormat="1" x14ac:dyDescent="0.2">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c r="AA496" s="74"/>
      <c r="AB496" s="7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93"/>
      <c r="BB496" s="93"/>
      <c r="BC496" s="93"/>
      <c r="BD496" s="93"/>
      <c r="BE496" s="93"/>
      <c r="BF496" s="93"/>
      <c r="BG496" s="93"/>
      <c r="BH496" s="93"/>
      <c r="BI496" s="93"/>
      <c r="BJ496" s="93"/>
      <c r="BK496" s="93"/>
      <c r="BL496" s="93"/>
      <c r="BM496" s="93"/>
      <c r="BN496" s="93"/>
      <c r="BO496" s="93"/>
      <c r="BP496" s="93"/>
      <c r="BQ496" s="93"/>
    </row>
    <row r="497" spans="1:69" s="71" customFormat="1" x14ac:dyDescent="0.2">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c r="AA497" s="74"/>
      <c r="AB497" s="7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93"/>
      <c r="BB497" s="93"/>
      <c r="BC497" s="93"/>
      <c r="BD497" s="93"/>
      <c r="BE497" s="93"/>
      <c r="BF497" s="93"/>
      <c r="BG497" s="93"/>
      <c r="BH497" s="93"/>
      <c r="BI497" s="93"/>
      <c r="BJ497" s="93"/>
      <c r="BK497" s="93"/>
      <c r="BL497" s="93"/>
      <c r="BM497" s="93"/>
      <c r="BN497" s="93"/>
      <c r="BO497" s="93"/>
      <c r="BP497" s="93"/>
      <c r="BQ497" s="93"/>
    </row>
    <row r="498" spans="1:69" s="71" customFormat="1" x14ac:dyDescent="0.2">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c r="AA498" s="74"/>
      <c r="AB498" s="7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93"/>
      <c r="BB498" s="93"/>
      <c r="BC498" s="93"/>
      <c r="BD498" s="93"/>
      <c r="BE498" s="93"/>
      <c r="BF498" s="93"/>
      <c r="BG498" s="93"/>
      <c r="BH498" s="93"/>
      <c r="BI498" s="93"/>
      <c r="BJ498" s="93"/>
      <c r="BK498" s="93"/>
      <c r="BL498" s="93"/>
      <c r="BM498" s="93"/>
      <c r="BN498" s="93"/>
      <c r="BO498" s="93"/>
      <c r="BP498" s="93"/>
      <c r="BQ498" s="93"/>
    </row>
    <row r="499" spans="1:69" s="71" customFormat="1" x14ac:dyDescent="0.2">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c r="AA499" s="74"/>
      <c r="AB499" s="7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93"/>
      <c r="BB499" s="93"/>
      <c r="BC499" s="93"/>
      <c r="BD499" s="93"/>
      <c r="BE499" s="93"/>
      <c r="BF499" s="93"/>
      <c r="BG499" s="93"/>
      <c r="BH499" s="93"/>
      <c r="BI499" s="93"/>
      <c r="BJ499" s="93"/>
      <c r="BK499" s="93"/>
      <c r="BL499" s="93"/>
      <c r="BM499" s="93"/>
      <c r="BN499" s="93"/>
      <c r="BO499" s="93"/>
      <c r="BP499" s="93"/>
      <c r="BQ499" s="93"/>
    </row>
    <row r="500" spans="1:69" s="71" customFormat="1" x14ac:dyDescent="0.2">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c r="AA500" s="74"/>
      <c r="AB500" s="7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93"/>
      <c r="BB500" s="93"/>
      <c r="BC500" s="93"/>
      <c r="BD500" s="93"/>
      <c r="BE500" s="93"/>
      <c r="BF500" s="93"/>
      <c r="BG500" s="93"/>
      <c r="BH500" s="93"/>
      <c r="BI500" s="93"/>
      <c r="BJ500" s="93"/>
      <c r="BK500" s="93"/>
      <c r="BL500" s="93"/>
      <c r="BM500" s="93"/>
      <c r="BN500" s="93"/>
      <c r="BO500" s="93"/>
      <c r="BP500" s="93"/>
      <c r="BQ500" s="93"/>
    </row>
    <row r="501" spans="1:69" s="71" customFormat="1" ht="15" x14ac:dyDescent="0.2">
      <c r="A501" s="84">
        <f ca="1">_LATESTvarPubDate</f>
        <v>45848.653113425928</v>
      </c>
      <c r="B501" s="85" t="str">
        <f>$A$1</f>
        <v>RANDOM LENGTHS LUMBER REPORT</v>
      </c>
      <c r="C501" s="86"/>
      <c r="D501" s="86"/>
      <c r="E501" s="86"/>
      <c r="F501" s="86"/>
      <c r="G501" s="87"/>
      <c r="H501" s="88" t="s">
        <v>341</v>
      </c>
      <c r="I501" s="73"/>
      <c r="J501" s="73"/>
      <c r="K501" s="73"/>
      <c r="L501" s="73"/>
      <c r="M501" s="73"/>
      <c r="N501" s="73"/>
      <c r="O501" s="73"/>
      <c r="P501" s="73"/>
      <c r="Q501" s="73"/>
      <c r="R501" s="73"/>
      <c r="S501" s="73"/>
      <c r="T501" s="73"/>
      <c r="U501" s="73"/>
      <c r="V501" s="73"/>
      <c r="W501" s="73"/>
      <c r="X501" s="73"/>
      <c r="Y501" s="73"/>
      <c r="Z501" s="73"/>
      <c r="AA501" s="74"/>
      <c r="AB501" s="7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93"/>
      <c r="BB501" s="93"/>
      <c r="BC501" s="93"/>
      <c r="BD501" s="93"/>
      <c r="BE501" s="93"/>
      <c r="BF501" s="93"/>
      <c r="BG501" s="93"/>
      <c r="BH501" s="93"/>
      <c r="BI501" s="93"/>
      <c r="BJ501" s="93"/>
      <c r="BK501" s="93"/>
      <c r="BL501" s="93"/>
      <c r="BM501" s="93"/>
      <c r="BN501" s="93"/>
      <c r="BO501" s="93"/>
      <c r="BP501" s="93"/>
      <c r="BQ501" s="93"/>
    </row>
    <row r="502" spans="1:69" s="71" customFormat="1" ht="12.75" customHeight="1" x14ac:dyDescent="0.2">
      <c r="H502" s="74"/>
      <c r="I502" s="74"/>
      <c r="J502" s="74"/>
      <c r="K502" s="74"/>
      <c r="L502" s="74"/>
      <c r="M502" s="74"/>
      <c r="N502" s="74"/>
      <c r="O502" s="74"/>
      <c r="P502" s="73"/>
      <c r="Q502" s="73"/>
      <c r="R502" s="73"/>
      <c r="S502" s="73"/>
      <c r="T502" s="73"/>
      <c r="U502" s="73"/>
      <c r="V502" s="73"/>
      <c r="W502" s="73"/>
      <c r="X502" s="73"/>
      <c r="Y502" s="73"/>
      <c r="Z502" s="73"/>
      <c r="AJ502" s="74"/>
      <c r="AK502" s="74"/>
      <c r="AL502" s="74"/>
      <c r="AM502" s="74"/>
      <c r="AN502" s="74"/>
      <c r="AO502" s="74"/>
      <c r="AP502" s="74"/>
      <c r="AQ502" s="74"/>
      <c r="AR502" s="74"/>
      <c r="AS502" s="74"/>
      <c r="AT502" s="74"/>
      <c r="AU502" s="74"/>
      <c r="AV502" s="74"/>
      <c r="AW502" s="74"/>
      <c r="AX502" s="74"/>
      <c r="AY502" s="74"/>
      <c r="AZ502" s="74"/>
      <c r="BI502" s="93"/>
      <c r="BJ502" s="93"/>
      <c r="BK502" s="93"/>
      <c r="BL502" s="93"/>
      <c r="BM502" s="93"/>
      <c r="BN502" s="93"/>
      <c r="BO502" s="93"/>
      <c r="BP502" s="93"/>
      <c r="BQ502" s="93"/>
    </row>
    <row r="503" spans="1:69" s="71" customFormat="1" ht="15" customHeight="1" x14ac:dyDescent="0.2">
      <c r="F503" s="133" t="s">
        <v>342</v>
      </c>
      <c r="G503" s="133" t="s">
        <v>343</v>
      </c>
      <c r="H503" s="133" t="s">
        <v>344</v>
      </c>
      <c r="O503" s="74"/>
      <c r="P503" s="74"/>
      <c r="Q503" s="74"/>
      <c r="R503" s="74"/>
      <c r="S503" s="74"/>
      <c r="T503" s="74"/>
      <c r="U503" s="74"/>
      <c r="V503" s="74"/>
      <c r="W503" s="74"/>
      <c r="X503" s="74"/>
      <c r="Y503" s="74"/>
      <c r="Z503" s="74"/>
    </row>
    <row r="504" spans="1:69" s="71" customFormat="1" ht="15" customHeight="1" x14ac:dyDescent="0.2">
      <c r="A504" s="134" t="s">
        <v>345</v>
      </c>
      <c r="F504" s="109">
        <f t="array" aca="1" ref="F504" ca="1">_xll.GetPrice("FP-LBR-1185","Actual","Low",_LATESTvarPubDate)</f>
        <v>427</v>
      </c>
      <c r="G504" s="109" cm="1">
        <f t="array" aca="1" ref="G504" ca="1">_xll.GetPrice("FP-LBR-1185","Actual","Low",_LATESTvarPrvWk)</f>
        <v>422</v>
      </c>
      <c r="H504" s="109" cm="1">
        <f t="array" aca="1" ref="H504" ca="1">_xll.GetPrice("FP-LBR-1185","Actual","Low",_LATESTvarPrvYr)</f>
        <v>362</v>
      </c>
      <c r="O504" s="74"/>
      <c r="P504" s="74"/>
    </row>
    <row r="505" spans="1:69" s="71" customFormat="1" ht="15" customHeight="1" x14ac:dyDescent="0.2">
      <c r="A505" s="135" t="s">
        <v>346</v>
      </c>
      <c r="F505" s="107">
        <f t="array" aca="1" ref="F505" ca="1">_xll.GetPrice("FP-LBR-1186","Actual","Low",_LATESTvarPubDate)</f>
        <v>431</v>
      </c>
      <c r="G505" s="107">
        <f t="array" aca="1" ref="G505" ca="1">_xll.GetPrice("FP-LBR-1186","Actual","Low",_LATESTvarPrvWk)</f>
        <v>428</v>
      </c>
      <c r="H505" s="107" cm="1">
        <f t="array" aca="1" ref="H505" ca="1">_xll.GetPrice("FP-LBR-1186","Actual","Low",_LATESTvarPrvYr)</f>
        <v>368</v>
      </c>
      <c r="O505" s="74"/>
      <c r="P505" s="74"/>
    </row>
    <row r="506" spans="1:69" s="71" customFormat="1" ht="12.75" customHeight="1" x14ac:dyDescent="0.2">
      <c r="A506" s="135" t="s">
        <v>347</v>
      </c>
      <c r="F506" s="107">
        <f t="array" aca="1" ref="F506" ca="1">_xll.GetPrice("FP-LBR-1187","Actual","Low",_LATESTvarPubDate)</f>
        <v>443</v>
      </c>
      <c r="G506" s="107">
        <f t="array" aca="1" ref="G506" ca="1">_xll.GetPrice("FP-LBR-1187","Actual","Low",_LATESTvarPrvWk)</f>
        <v>439</v>
      </c>
      <c r="H506" s="107">
        <f t="array" aca="1" ref="H506" ca="1">_xll.GetPrice("FP-LBR-1187","Actual","Low",_LATESTvarPrvYr)</f>
        <v>356</v>
      </c>
      <c r="P506" s="74"/>
    </row>
    <row r="507" spans="1:69" s="71" customFormat="1" x14ac:dyDescent="0.2">
      <c r="A507" s="135" t="s">
        <v>348</v>
      </c>
      <c r="F507" s="107">
        <f t="array" aca="1" ref="F507" ca="1">_xll.GetPrice("FP-LBR-1188","Actual","Low",_LATESTvarPubDate)</f>
        <v>274</v>
      </c>
      <c r="G507" s="107">
        <f t="array" aca="1" ref="G507" ca="1">_xll.GetPrice("FP-LBR-1188","Actual","Low",_LATESTvarPrvWk)</f>
        <v>276</v>
      </c>
      <c r="H507" s="107">
        <f t="array" aca="1" ref="H507" ca="1">_xll.GetPrice("FP-LBR-1188","Actual","Low",_LATESTvarPrvYr)</f>
        <v>247</v>
      </c>
    </row>
    <row r="508" spans="1:69" s="71" customFormat="1" ht="12.75" customHeight="1" x14ac:dyDescent="0.2">
      <c r="A508" s="135" t="s">
        <v>349</v>
      </c>
      <c r="F508" s="107">
        <f t="array" aca="1" ref="F508" ca="1">_xll.GetPrice("FP-LBR-1189","Actual","Low",_LATESTvarPubDate)</f>
        <v>949</v>
      </c>
      <c r="G508" s="107">
        <f t="array" aca="1" ref="G508" ca="1">_xll.GetPrice("FP-LBR-1189","Actual","Low",_LATESTvarPrvWk)</f>
        <v>953</v>
      </c>
      <c r="H508" s="107">
        <f t="array" aca="1" ref="H508" ca="1">_xll.GetPrice("FP-LBR-1189","Actual","Low",_LATESTvarPrvYr)</f>
        <v>933</v>
      </c>
    </row>
    <row r="509" spans="1:69" s="71" customFormat="1" ht="13.5" customHeight="1" x14ac:dyDescent="0.2">
      <c r="A509" s="135" t="s">
        <v>350</v>
      </c>
      <c r="F509" s="107">
        <f t="array" aca="1" ref="F509" ca="1">_xll.GetPrice("FP-LBR-1190","Actual","Low",_LATESTvarPubDate)</f>
        <v>942</v>
      </c>
      <c r="G509" s="107">
        <f t="array" aca="1" ref="G509" ca="1">_xll.GetPrice("FP-LBR-1190","Actual","Low",_LATESTvarPrvWk)</f>
        <v>943</v>
      </c>
      <c r="H509" s="107" cm="1">
        <f t="array" aca="1" ref="H509" ca="1">_xll.GetPrice("FP-LBR-1190","Actual","Low",_LATESTvarPrvYr)</f>
        <v>1044</v>
      </c>
    </row>
    <row r="510" spans="1:69" s="71" customFormat="1" x14ac:dyDescent="0.2">
      <c r="A510" s="135" t="s">
        <v>351</v>
      </c>
      <c r="F510" s="107">
        <f t="array" aca="1" ref="F510" ca="1">_xll.GetPrice("FP-LBR-1191","Actual","Low",_LATESTvarPubDate)</f>
        <v>446</v>
      </c>
      <c r="G510" s="107">
        <f t="array" aca="1" ref="G510" ca="1">_xll.GetPrice("FP-LBR-1191","Actual","Low",_LATESTvarPrvWk)</f>
        <v>446</v>
      </c>
      <c r="H510" s="107">
        <f t="array" aca="1" ref="H510" ca="1">_xll.GetPrice("FP-LBR-1191","Actual","Low",_LATESTvarPrvYr)</f>
        <v>384</v>
      </c>
    </row>
    <row r="511" spans="1:69" s="71" customFormat="1" ht="12.75" customHeight="1" x14ac:dyDescent="0.2">
      <c r="A511" s="135" t="s">
        <v>352</v>
      </c>
      <c r="F511" s="107">
        <f t="array" aca="1" ref="F511" ca="1">_xll.GetPrice("FP-LBR-1192","Actual","Low",_LATESTvarPubDate)</f>
        <v>560</v>
      </c>
      <c r="G511" s="107">
        <f t="array" aca="1" ref="G511" ca="1">_xll.GetPrice("FP-LBR-1192","Actual","Low",_LATESTvarPrvWk)</f>
        <v>558</v>
      </c>
      <c r="H511" s="107">
        <f t="array" aca="1" ref="H511" ca="1">_xll.GetPrice("FP-LBR-1192","Actual","Low",_LATESTvarPrvYr)</f>
        <v>510</v>
      </c>
    </row>
    <row r="512" spans="1:69" s="71" customFormat="1" x14ac:dyDescent="0.2">
      <c r="A512" s="135" t="s">
        <v>353</v>
      </c>
      <c r="F512" s="107">
        <f t="array" aca="1" ref="F512" ca="1">_xll.GetPrice("FP-LBR-1193","Actual","Low",_LATESTvarPubDate)</f>
        <v>350</v>
      </c>
      <c r="G512" s="107">
        <f t="array" aca="1" ref="G512" ca="1">_xll.GetPrice("FP-LBR-1193","Actual","Low",_LATESTvarPrvWk)</f>
        <v>350</v>
      </c>
      <c r="H512" s="107">
        <f t="array" aca="1" ref="H512" ca="1">_xll.GetPrice("FP-LBR-1193","Actual","Low",_LATESTvarPrvYr)</f>
        <v>330</v>
      </c>
    </row>
    <row r="513" spans="1:16" s="71" customFormat="1" x14ac:dyDescent="0.2">
      <c r="A513" s="135" t="s">
        <v>354</v>
      </c>
      <c r="F513" s="107">
        <f t="array" aca="1" ref="F513" ca="1">_xll.GetPrice("FP-LBR-1194","Actual","Low",_LATESTvarPubDate)</f>
        <v>439</v>
      </c>
      <c r="G513" s="107">
        <f t="array" aca="1" ref="G513" ca="1">_xll.GetPrice("FP-LBR-1194","Actual","Low",_LATESTvarPrvWk)</f>
        <v>434</v>
      </c>
      <c r="H513" s="107">
        <f t="array" aca="1" ref="H513" ca="1">_xll.GetPrice("FP-LBR-1194","Actual","Low",_LATESTvarPrvYr)</f>
        <v>345</v>
      </c>
    </row>
    <row r="514" spans="1:16" s="71" customFormat="1" x14ac:dyDescent="0.2">
      <c r="A514" s="135" t="s">
        <v>355</v>
      </c>
      <c r="F514" s="107">
        <f t="array" aca="1" ref="F514" ca="1">_xll.GetPrice("FP-LBR-1195","Actual","Low",_LATESTvarPubDate)</f>
        <v>532</v>
      </c>
      <c r="G514" s="107">
        <f t="array" aca="1" ref="G514" ca="1">_xll.GetPrice("FP-LBR-1195","Actual","Low",_LATESTvarPrvWk)</f>
        <v>525</v>
      </c>
      <c r="H514" s="107">
        <f t="array" aca="1" ref="H514" ca="1">_xll.GetPrice("FP-LBR-1195","Actual","Low",_LATESTvarPrvYr)</f>
        <v>433</v>
      </c>
    </row>
    <row r="515" spans="1:16" s="71" customFormat="1" x14ac:dyDescent="0.2">
      <c r="A515" s="135" t="s">
        <v>356</v>
      </c>
      <c r="F515" s="107">
        <f t="array" aca="1" ref="F515" ca="1">_xll.GetPrice("FP-LBR-1196","Actual","Low",_LATESTvarPubDate)</f>
        <v>487</v>
      </c>
      <c r="G515" s="107">
        <f t="array" aca="1" ref="G515" ca="1">_xll.GetPrice("FP-LBR-1196","Actual","Low",_LATESTvarPrvWk)</f>
        <v>493</v>
      </c>
      <c r="H515" s="107">
        <f t="array" aca="1" ref="H515" ca="1">_xll.GetPrice("FP-LBR-1196","Actual","Low",_LATESTvarPrvYr)</f>
        <v>441</v>
      </c>
    </row>
    <row r="516" spans="1:16" s="71" customFormat="1" x14ac:dyDescent="0.2"/>
    <row r="517" spans="1:16" s="71" customFormat="1" x14ac:dyDescent="0.2"/>
    <row r="518" spans="1:16" s="71" customFormat="1" ht="13.5" customHeight="1" x14ac:dyDescent="0.2"/>
    <row r="519" spans="1:16" s="71" customFormat="1" x14ac:dyDescent="0.2"/>
    <row r="520" spans="1:16" s="71" customFormat="1" x14ac:dyDescent="0.2"/>
    <row r="521" spans="1:16" s="71" customFormat="1" x14ac:dyDescent="0.2"/>
    <row r="522" spans="1:16" s="71" customFormat="1" x14ac:dyDescent="0.2"/>
    <row r="523" spans="1:16" s="71" customFormat="1" x14ac:dyDescent="0.2"/>
    <row r="524" spans="1:16" s="71" customFormat="1" x14ac:dyDescent="0.2"/>
    <row r="525" spans="1:16" s="71" customFormat="1" x14ac:dyDescent="0.2"/>
    <row r="526" spans="1:16" s="71" customFormat="1" x14ac:dyDescent="0.2"/>
    <row r="527" spans="1:16" s="71" customFormat="1" x14ac:dyDescent="0.2">
      <c r="O527" s="136"/>
    </row>
    <row r="528" spans="1:16" s="71" customFormat="1" x14ac:dyDescent="0.2">
      <c r="O528" s="136"/>
      <c r="P528" s="136"/>
    </row>
    <row r="529" spans="15:16" s="71" customFormat="1" x14ac:dyDescent="0.2">
      <c r="O529" s="74"/>
      <c r="P529" s="136"/>
    </row>
    <row r="530" spans="15:16" s="71" customFormat="1" x14ac:dyDescent="0.2">
      <c r="O530" s="74"/>
      <c r="P530" s="74"/>
    </row>
    <row r="531" spans="15:16" s="71" customFormat="1" x14ac:dyDescent="0.2">
      <c r="O531" s="74"/>
      <c r="P531" s="74"/>
    </row>
    <row r="532" spans="15:16" s="71" customFormat="1" x14ac:dyDescent="0.2">
      <c r="O532" s="74"/>
      <c r="P532" s="74"/>
    </row>
    <row r="533" spans="15:16" s="71" customFormat="1" x14ac:dyDescent="0.2">
      <c r="O533" s="74"/>
      <c r="P533" s="74"/>
    </row>
    <row r="534" spans="15:16" s="71" customFormat="1" x14ac:dyDescent="0.2">
      <c r="O534" s="74"/>
      <c r="P534" s="74"/>
    </row>
    <row r="535" spans="15:16" s="71" customFormat="1" x14ac:dyDescent="0.2">
      <c r="O535" s="74"/>
      <c r="P535" s="74"/>
    </row>
    <row r="536" spans="15:16" s="71" customFormat="1" x14ac:dyDescent="0.2">
      <c r="O536" s="74"/>
      <c r="P536" s="74"/>
    </row>
    <row r="537" spans="15:16" s="71" customFormat="1" x14ac:dyDescent="0.2">
      <c r="O537" s="74"/>
      <c r="P537" s="74"/>
    </row>
    <row r="538" spans="15:16" s="71" customFormat="1" x14ac:dyDescent="0.2">
      <c r="O538" s="74"/>
      <c r="P538" s="74"/>
    </row>
    <row r="539" spans="15:16" s="71" customFormat="1" x14ac:dyDescent="0.2">
      <c r="O539" s="74"/>
      <c r="P539" s="74"/>
    </row>
    <row r="540" spans="15:16" s="71" customFormat="1" x14ac:dyDescent="0.2">
      <c r="O540" s="74"/>
      <c r="P540" s="74"/>
    </row>
    <row r="541" spans="15:16" s="71" customFormat="1" x14ac:dyDescent="0.2">
      <c r="O541" s="74"/>
      <c r="P541" s="74"/>
    </row>
    <row r="542" spans="15:16" s="71" customFormat="1" x14ac:dyDescent="0.2">
      <c r="O542" s="74"/>
      <c r="P542" s="74"/>
    </row>
    <row r="543" spans="15:16" s="71" customFormat="1" x14ac:dyDescent="0.2">
      <c r="O543" s="74"/>
      <c r="P543" s="74"/>
    </row>
    <row r="544" spans="15:16" s="71" customFormat="1" x14ac:dyDescent="0.2">
      <c r="O544" s="74"/>
      <c r="P544" s="74"/>
    </row>
    <row r="545" spans="15:16" s="71" customFormat="1" x14ac:dyDescent="0.2">
      <c r="O545" s="74"/>
      <c r="P545" s="74"/>
    </row>
    <row r="546" spans="15:16" s="71" customFormat="1" x14ac:dyDescent="0.2">
      <c r="O546" s="74"/>
      <c r="P546" s="74"/>
    </row>
    <row r="547" spans="15:16" s="71" customFormat="1" x14ac:dyDescent="0.2">
      <c r="O547" s="74"/>
      <c r="P547" s="74"/>
    </row>
    <row r="548" spans="15:16" s="71" customFormat="1" x14ac:dyDescent="0.2">
      <c r="O548" s="74"/>
      <c r="P548" s="74"/>
    </row>
    <row r="549" spans="15:16" s="71" customFormat="1" x14ac:dyDescent="0.2">
      <c r="O549" s="74"/>
      <c r="P549" s="74"/>
    </row>
    <row r="550" spans="15:16" s="71" customFormat="1" x14ac:dyDescent="0.2">
      <c r="O550" s="74"/>
      <c r="P550" s="74"/>
    </row>
    <row r="551" spans="15:16" s="71" customFormat="1" x14ac:dyDescent="0.2">
      <c r="O551" s="74"/>
      <c r="P551" s="74"/>
    </row>
    <row r="552" spans="15:16" s="71" customFormat="1" x14ac:dyDescent="0.2">
      <c r="O552" s="74"/>
      <c r="P552" s="74"/>
    </row>
    <row r="553" spans="15:16" s="71" customFormat="1" x14ac:dyDescent="0.2">
      <c r="O553" s="74"/>
      <c r="P553" s="74"/>
    </row>
    <row r="554" spans="15:16" s="71" customFormat="1" x14ac:dyDescent="0.2">
      <c r="O554" s="74"/>
      <c r="P554" s="74"/>
    </row>
    <row r="555" spans="15:16" s="71" customFormat="1" x14ac:dyDescent="0.2">
      <c r="O555" s="74"/>
      <c r="P555" s="74"/>
    </row>
    <row r="556" spans="15:16" s="71" customFormat="1" x14ac:dyDescent="0.2">
      <c r="O556" s="74"/>
      <c r="P556" s="74"/>
    </row>
    <row r="557" spans="15:16" s="71" customFormat="1" x14ac:dyDescent="0.2">
      <c r="O557" s="74"/>
      <c r="P557" s="74"/>
    </row>
    <row r="558" spans="15:16" s="71" customFormat="1" x14ac:dyDescent="0.2">
      <c r="O558" s="74"/>
      <c r="P558" s="74"/>
    </row>
    <row r="559" spans="15:16" s="71" customFormat="1" x14ac:dyDescent="0.2">
      <c r="O559" s="74"/>
      <c r="P559" s="74"/>
    </row>
    <row r="560" spans="15:16" s="71" customFormat="1" x14ac:dyDescent="0.2">
      <c r="O560" s="74"/>
      <c r="P560" s="74"/>
    </row>
    <row r="561" spans="15:16" s="71" customFormat="1" x14ac:dyDescent="0.2">
      <c r="O561" s="74"/>
      <c r="P561" s="74"/>
    </row>
    <row r="562" spans="15:16" s="71" customFormat="1" x14ac:dyDescent="0.2">
      <c r="O562" s="74"/>
      <c r="P562" s="74"/>
    </row>
    <row r="563" spans="15:16" s="71" customFormat="1" x14ac:dyDescent="0.2">
      <c r="O563" s="74"/>
      <c r="P563" s="74"/>
    </row>
    <row r="564" spans="15:16" s="71" customFormat="1" x14ac:dyDescent="0.2">
      <c r="O564" s="74"/>
      <c r="P564" s="74"/>
    </row>
    <row r="565" spans="15:16" s="71" customFormat="1" x14ac:dyDescent="0.2">
      <c r="O565" s="74"/>
      <c r="P565" s="74"/>
    </row>
    <row r="566" spans="15:16" s="71" customFormat="1" x14ac:dyDescent="0.2">
      <c r="O566" s="74"/>
      <c r="P566" s="74"/>
    </row>
    <row r="567" spans="15:16" s="71" customFormat="1" x14ac:dyDescent="0.2">
      <c r="O567" s="74"/>
      <c r="P567" s="74"/>
    </row>
    <row r="568" spans="15:16" s="71" customFormat="1" x14ac:dyDescent="0.2">
      <c r="O568" s="74"/>
      <c r="P568" s="74"/>
    </row>
    <row r="569" spans="15:16" s="71" customFormat="1" x14ac:dyDescent="0.2">
      <c r="O569" s="74"/>
      <c r="P569" s="74"/>
    </row>
    <row r="570" spans="15:16" s="71" customFormat="1" x14ac:dyDescent="0.2">
      <c r="O570" s="74"/>
      <c r="P570" s="74"/>
    </row>
    <row r="571" spans="15:16" s="71" customFormat="1" x14ac:dyDescent="0.2">
      <c r="O571" s="74"/>
      <c r="P571" s="74"/>
    </row>
    <row r="572" spans="15:16" s="71" customFormat="1" x14ac:dyDescent="0.2">
      <c r="O572" s="74"/>
      <c r="P572" s="74"/>
    </row>
    <row r="573" spans="15:16" s="71" customFormat="1" x14ac:dyDescent="0.2">
      <c r="O573" s="74"/>
      <c r="P573" s="74"/>
    </row>
    <row r="574" spans="15:16" s="71" customFormat="1" x14ac:dyDescent="0.2">
      <c r="O574" s="74"/>
      <c r="P574" s="74"/>
    </row>
    <row r="575" spans="15:16" s="71" customFormat="1" x14ac:dyDescent="0.2">
      <c r="O575" s="74"/>
      <c r="P575" s="74"/>
    </row>
    <row r="576" spans="15:16" s="71" customFormat="1" x14ac:dyDescent="0.2">
      <c r="O576" s="74"/>
      <c r="P576" s="74"/>
    </row>
    <row r="577" spans="15:16" s="71" customFormat="1" x14ac:dyDescent="0.2">
      <c r="O577" s="74"/>
      <c r="P577" s="74"/>
    </row>
    <row r="578" spans="15:16" s="71" customFormat="1" x14ac:dyDescent="0.2">
      <c r="O578" s="74"/>
      <c r="P578" s="74"/>
    </row>
    <row r="579" spans="15:16" s="71" customFormat="1" x14ac:dyDescent="0.2">
      <c r="O579" s="74"/>
      <c r="P579" s="74"/>
    </row>
    <row r="580" spans="15:16" s="71" customFormat="1" x14ac:dyDescent="0.2">
      <c r="O580" s="74"/>
      <c r="P580" s="74"/>
    </row>
    <row r="581" spans="15:16" s="71" customFormat="1" x14ac:dyDescent="0.2">
      <c r="O581" s="74"/>
    </row>
    <row r="582" spans="15:16" s="71" customFormat="1" x14ac:dyDescent="0.2">
      <c r="O582" s="74"/>
    </row>
    <row r="583" spans="15:16" s="71" customFormat="1" x14ac:dyDescent="0.2">
      <c r="O583" s="74"/>
    </row>
    <row r="584" spans="15:16" s="71" customFormat="1" x14ac:dyDescent="0.2">
      <c r="O584" s="74"/>
    </row>
    <row r="585" spans="15:16" s="71" customFormat="1" x14ac:dyDescent="0.2">
      <c r="O585" s="74"/>
    </row>
    <row r="586" spans="15:16" s="71" customFormat="1" x14ac:dyDescent="0.2">
      <c r="O586" s="74"/>
      <c r="P586" s="74"/>
    </row>
    <row r="587" spans="15:16" s="71" customFormat="1" x14ac:dyDescent="0.2">
      <c r="O587" s="74"/>
      <c r="P587" s="74"/>
    </row>
    <row r="588" spans="15:16" s="71" customFormat="1" x14ac:dyDescent="0.2">
      <c r="O588" s="74"/>
      <c r="P588" s="74"/>
    </row>
    <row r="589" spans="15:16" s="71" customFormat="1" x14ac:dyDescent="0.2">
      <c r="O589" s="74"/>
      <c r="P589" s="74"/>
    </row>
    <row r="590" spans="15:16" s="71" customFormat="1" x14ac:dyDescent="0.2">
      <c r="O590" s="74"/>
      <c r="P590" s="74"/>
    </row>
    <row r="591" spans="15:16" s="71" customFormat="1" x14ac:dyDescent="0.2">
      <c r="O591" s="74"/>
      <c r="P591" s="74"/>
    </row>
    <row r="592" spans="15:16" s="71" customFormat="1" x14ac:dyDescent="0.2">
      <c r="O592" s="74"/>
      <c r="P592" s="74"/>
    </row>
    <row r="593" spans="1:60" s="71" customFormat="1" x14ac:dyDescent="0.2">
      <c r="O593" s="74"/>
      <c r="P593" s="74"/>
    </row>
    <row r="594" spans="1:60" s="71" customFormat="1" x14ac:dyDescent="0.2">
      <c r="O594" s="74"/>
      <c r="P594" s="74"/>
    </row>
    <row r="595" spans="1:60" s="71" customFormat="1" x14ac:dyDescent="0.2">
      <c r="O595" s="74"/>
      <c r="P595" s="74"/>
    </row>
    <row r="596" spans="1:60" s="71" customFormat="1" x14ac:dyDescent="0.2">
      <c r="O596" s="74"/>
      <c r="P596" s="74"/>
    </row>
    <row r="597" spans="1:60" s="71" customFormat="1" x14ac:dyDescent="0.2">
      <c r="O597" s="74"/>
      <c r="P597" s="74"/>
    </row>
    <row r="598" spans="1:60" s="71" customFormat="1" x14ac:dyDescent="0.2">
      <c r="O598" s="74"/>
      <c r="P598" s="74"/>
    </row>
    <row r="599" spans="1:60" s="71" customFormat="1" x14ac:dyDescent="0.2">
      <c r="O599" s="74"/>
      <c r="P599" s="74"/>
    </row>
    <row r="600" spans="1:60" s="71" customFormat="1" x14ac:dyDescent="0.2">
      <c r="O600" s="74"/>
      <c r="P600" s="74"/>
    </row>
    <row r="601" spans="1:60" s="71" customFormat="1" x14ac:dyDescent="0.2">
      <c r="O601" s="74"/>
      <c r="P601" s="74"/>
    </row>
    <row r="602" spans="1:60" s="71" customFormat="1" x14ac:dyDescent="0.2">
      <c r="O602" s="74"/>
      <c r="P602" s="74"/>
      <c r="BA602" s="74"/>
      <c r="BB602" s="74"/>
      <c r="BC602" s="74"/>
      <c r="BD602" s="74"/>
      <c r="BE602" s="74"/>
      <c r="BF602" s="74"/>
      <c r="BG602" s="74"/>
      <c r="BH602" s="74"/>
    </row>
    <row r="603" spans="1:60" x14ac:dyDescent="0.2">
      <c r="A603" s="71"/>
      <c r="B603" s="71"/>
      <c r="C603" s="71"/>
      <c r="D603" s="71"/>
      <c r="E603" s="71"/>
      <c r="F603" s="71"/>
      <c r="G603" s="71"/>
      <c r="H603" s="71"/>
      <c r="I603" s="71"/>
      <c r="J603" s="71"/>
      <c r="K603" s="71"/>
      <c r="L603" s="71"/>
      <c r="M603" s="71"/>
      <c r="N603" s="71"/>
      <c r="X603" s="71"/>
      <c r="Y603" s="71"/>
      <c r="Z603" s="71"/>
      <c r="AA603" s="71"/>
      <c r="AB603" s="71"/>
      <c r="AC603" s="71"/>
      <c r="AD603" s="71"/>
      <c r="AE603" s="71"/>
      <c r="AF603" s="71"/>
      <c r="AG603" s="71"/>
      <c r="AH603" s="71"/>
      <c r="AI603" s="71"/>
      <c r="AJ603" s="71"/>
    </row>
    <row r="604" spans="1:60" x14ac:dyDescent="0.2">
      <c r="A604" s="71"/>
      <c r="B604" s="71"/>
      <c r="C604" s="71"/>
      <c r="D604" s="71"/>
      <c r="E604" s="71"/>
      <c r="F604" s="71"/>
      <c r="G604" s="71"/>
      <c r="H604" s="71"/>
      <c r="I604" s="71"/>
      <c r="J604" s="71"/>
      <c r="K604" s="71"/>
      <c r="L604" s="71"/>
      <c r="M604" s="71"/>
      <c r="N604" s="71"/>
      <c r="X604" s="71"/>
      <c r="Y604" s="71"/>
      <c r="Z604" s="71"/>
      <c r="AA604" s="71"/>
      <c r="AB604" s="71"/>
      <c r="AC604" s="71"/>
      <c r="AD604" s="71"/>
      <c r="AE604" s="71"/>
      <c r="AF604" s="71"/>
      <c r="AG604" s="71"/>
      <c r="AH604" s="71"/>
      <c r="AI604" s="71"/>
      <c r="AJ604" s="71"/>
    </row>
    <row r="605" spans="1:60" x14ac:dyDescent="0.2">
      <c r="A605" s="71"/>
      <c r="B605" s="71"/>
      <c r="C605" s="71"/>
      <c r="D605" s="71"/>
      <c r="E605" s="71"/>
      <c r="F605" s="71"/>
      <c r="G605" s="71"/>
      <c r="H605" s="71"/>
      <c r="I605" s="71"/>
      <c r="J605" s="71"/>
      <c r="K605" s="71"/>
      <c r="L605" s="71"/>
      <c r="M605" s="71"/>
      <c r="N605" s="71"/>
      <c r="X605" s="71"/>
      <c r="Y605" s="71"/>
      <c r="Z605" s="71"/>
      <c r="AA605" s="71"/>
      <c r="AB605" s="71"/>
      <c r="AC605" s="71"/>
      <c r="AD605" s="71"/>
      <c r="AE605" s="71"/>
      <c r="AF605" s="71"/>
      <c r="AG605" s="71"/>
      <c r="AH605" s="71"/>
      <c r="AI605" s="71"/>
      <c r="AJ605" s="71"/>
    </row>
    <row r="606" spans="1:60" x14ac:dyDescent="0.2">
      <c r="A606" s="71"/>
      <c r="B606" s="71"/>
      <c r="C606" s="71"/>
      <c r="D606" s="71"/>
      <c r="E606" s="71"/>
      <c r="F606" s="71"/>
      <c r="G606" s="71"/>
      <c r="H606" s="71"/>
      <c r="I606" s="71"/>
      <c r="J606" s="71"/>
      <c r="K606" s="71"/>
      <c r="L606" s="71"/>
      <c r="M606" s="71"/>
      <c r="N606" s="71"/>
      <c r="X606" s="71"/>
      <c r="Y606" s="71"/>
      <c r="Z606" s="71"/>
      <c r="AA606" s="71"/>
      <c r="AB606" s="71"/>
      <c r="AC606" s="71"/>
      <c r="AD606" s="71"/>
      <c r="AE606" s="71"/>
      <c r="AF606" s="71"/>
      <c r="AG606" s="71"/>
      <c r="AH606" s="71"/>
      <c r="AI606" s="71"/>
      <c r="AJ606" s="71"/>
    </row>
    <row r="607" spans="1:60" x14ac:dyDescent="0.2">
      <c r="A607" s="71"/>
      <c r="B607" s="71"/>
      <c r="C607" s="71"/>
      <c r="D607" s="71"/>
      <c r="E607" s="71"/>
      <c r="F607" s="71"/>
      <c r="G607" s="71"/>
      <c r="H607" s="71"/>
      <c r="I607" s="71"/>
      <c r="J607" s="71"/>
      <c r="K607" s="71"/>
      <c r="L607" s="71"/>
      <c r="M607" s="71"/>
      <c r="N607" s="71"/>
      <c r="X607" s="71"/>
      <c r="Y607" s="71"/>
      <c r="Z607" s="71"/>
      <c r="AA607" s="71"/>
      <c r="AB607" s="71"/>
      <c r="AC607" s="71"/>
      <c r="AD607" s="71"/>
      <c r="AE607" s="71"/>
      <c r="AF607" s="71"/>
      <c r="AG607" s="71"/>
      <c r="AH607" s="71"/>
      <c r="AI607" s="71"/>
      <c r="AJ607" s="71"/>
    </row>
    <row r="608" spans="1:60" x14ac:dyDescent="0.2">
      <c r="A608" s="71"/>
      <c r="B608" s="71"/>
      <c r="C608" s="71"/>
      <c r="D608" s="71"/>
      <c r="E608" s="71"/>
      <c r="F608" s="71"/>
      <c r="G608" s="71"/>
      <c r="H608" s="71"/>
      <c r="I608" s="71"/>
      <c r="J608" s="71"/>
      <c r="K608" s="71"/>
      <c r="L608" s="71"/>
      <c r="M608" s="71"/>
      <c r="N608" s="71"/>
      <c r="X608" s="71"/>
      <c r="Y608" s="71"/>
      <c r="Z608" s="71"/>
      <c r="AA608" s="71"/>
      <c r="AB608" s="71"/>
      <c r="AC608" s="71"/>
      <c r="AD608" s="71"/>
      <c r="AE608" s="71"/>
      <c r="AF608" s="71"/>
      <c r="AG608" s="71"/>
      <c r="AH608" s="71"/>
      <c r="AI608" s="71"/>
      <c r="AJ608" s="71"/>
    </row>
    <row r="609" spans="1:36" x14ac:dyDescent="0.2">
      <c r="A609" s="71"/>
      <c r="B609" s="71"/>
      <c r="C609" s="71"/>
      <c r="D609" s="71"/>
      <c r="E609" s="71"/>
      <c r="F609" s="71"/>
      <c r="G609" s="71"/>
      <c r="H609" s="71"/>
      <c r="I609" s="71"/>
      <c r="J609" s="71"/>
      <c r="K609" s="71"/>
      <c r="L609" s="71"/>
      <c r="M609" s="71"/>
      <c r="N609" s="71"/>
      <c r="X609" s="71"/>
      <c r="Y609" s="71"/>
      <c r="Z609" s="71"/>
      <c r="AA609" s="71"/>
      <c r="AB609" s="71"/>
      <c r="AC609" s="71"/>
      <c r="AD609" s="71"/>
      <c r="AE609" s="71"/>
      <c r="AF609" s="71"/>
      <c r="AG609" s="71"/>
      <c r="AH609" s="71"/>
      <c r="AI609" s="71"/>
      <c r="AJ609" s="71"/>
    </row>
    <row r="610" spans="1:36" x14ac:dyDescent="0.2">
      <c r="A610" s="71"/>
      <c r="B610" s="71"/>
      <c r="C610" s="71"/>
      <c r="D610" s="71"/>
      <c r="E610" s="71"/>
      <c r="F610" s="71"/>
      <c r="G610" s="71"/>
      <c r="H610" s="71"/>
      <c r="I610" s="71"/>
      <c r="J610" s="71"/>
      <c r="K610" s="71"/>
      <c r="L610" s="71"/>
      <c r="M610" s="71"/>
      <c r="N610" s="71"/>
      <c r="X610" s="71"/>
      <c r="Y610" s="71"/>
      <c r="Z610" s="71"/>
      <c r="AA610" s="71"/>
      <c r="AB610" s="71"/>
      <c r="AC610" s="71"/>
      <c r="AD610" s="71"/>
      <c r="AE610" s="71"/>
      <c r="AF610" s="71"/>
      <c r="AG610" s="71"/>
      <c r="AH610" s="71"/>
      <c r="AI610" s="71"/>
      <c r="AJ610" s="71"/>
    </row>
    <row r="611" spans="1:36" x14ac:dyDescent="0.2">
      <c r="A611" s="71"/>
      <c r="B611" s="71"/>
      <c r="C611" s="71"/>
      <c r="D611" s="71"/>
      <c r="E611" s="71"/>
      <c r="F611" s="71"/>
      <c r="G611" s="71"/>
      <c r="H611" s="71"/>
      <c r="I611" s="71"/>
      <c r="J611" s="71"/>
      <c r="K611" s="71"/>
      <c r="L611" s="71"/>
      <c r="M611" s="71"/>
      <c r="N611" s="71"/>
      <c r="X611" s="71"/>
      <c r="Y611" s="71"/>
      <c r="Z611" s="71"/>
      <c r="AA611" s="71"/>
      <c r="AB611" s="71"/>
      <c r="AC611" s="71"/>
      <c r="AD611" s="71"/>
      <c r="AE611" s="71"/>
      <c r="AF611" s="71"/>
      <c r="AG611" s="71"/>
      <c r="AH611" s="71"/>
      <c r="AI611" s="71"/>
      <c r="AJ611" s="71"/>
    </row>
    <row r="612" spans="1:36" x14ac:dyDescent="0.2">
      <c r="A612" s="71"/>
      <c r="B612" s="71"/>
      <c r="C612" s="71"/>
      <c r="D612" s="71"/>
      <c r="E612" s="71"/>
      <c r="F612" s="71"/>
      <c r="G612" s="71"/>
      <c r="H612" s="71"/>
      <c r="I612" s="71"/>
      <c r="J612" s="71"/>
      <c r="K612" s="71"/>
      <c r="L612" s="71"/>
      <c r="M612" s="71"/>
      <c r="N612" s="71"/>
      <c r="X612" s="71"/>
      <c r="Y612" s="71"/>
      <c r="Z612" s="71"/>
      <c r="AA612" s="71"/>
      <c r="AB612" s="71"/>
      <c r="AC612" s="71"/>
      <c r="AD612" s="71"/>
      <c r="AE612" s="71"/>
      <c r="AF612" s="71"/>
      <c r="AG612" s="71"/>
      <c r="AH612" s="71"/>
      <c r="AI612" s="71"/>
      <c r="AJ612" s="71"/>
    </row>
    <row r="613" spans="1:36" x14ac:dyDescent="0.2">
      <c r="A613" s="71"/>
      <c r="B613" s="71"/>
      <c r="C613" s="71"/>
      <c r="D613" s="71"/>
      <c r="E613" s="71"/>
      <c r="F613" s="71"/>
      <c r="G613" s="71"/>
      <c r="H613" s="71"/>
      <c r="I613" s="71"/>
      <c r="J613" s="71"/>
      <c r="K613" s="71"/>
      <c r="L613" s="71"/>
      <c r="M613" s="71"/>
      <c r="N613" s="71"/>
      <c r="X613" s="71"/>
      <c r="Y613" s="71"/>
      <c r="Z613" s="71"/>
      <c r="AA613" s="71"/>
      <c r="AB613" s="71"/>
      <c r="AC613" s="71"/>
      <c r="AD613" s="71"/>
      <c r="AE613" s="71"/>
      <c r="AF613" s="71"/>
      <c r="AG613" s="71"/>
      <c r="AH613" s="71"/>
      <c r="AI613" s="71"/>
      <c r="AJ613" s="71"/>
    </row>
    <row r="614" spans="1:36" x14ac:dyDescent="0.2">
      <c r="A614" s="71"/>
      <c r="B614" s="71"/>
      <c r="C614" s="71"/>
      <c r="D614" s="71"/>
      <c r="E614" s="71"/>
      <c r="F614" s="71"/>
      <c r="G614" s="71"/>
      <c r="H614" s="71"/>
      <c r="I614" s="71"/>
      <c r="J614" s="71"/>
      <c r="K614" s="71"/>
      <c r="L614" s="71"/>
      <c r="M614" s="71"/>
      <c r="N614" s="71"/>
      <c r="X614" s="71"/>
      <c r="Y614" s="71"/>
      <c r="Z614" s="71"/>
      <c r="AA614" s="71"/>
      <c r="AB614" s="71"/>
      <c r="AC614" s="71"/>
      <c r="AD614" s="71"/>
      <c r="AE614" s="71"/>
      <c r="AF614" s="71"/>
      <c r="AG614" s="71"/>
      <c r="AH614" s="71"/>
      <c r="AI614" s="71"/>
      <c r="AJ614" s="71"/>
    </row>
    <row r="615" spans="1:36" x14ac:dyDescent="0.2">
      <c r="A615" s="71"/>
      <c r="B615" s="71"/>
      <c r="C615" s="71"/>
      <c r="D615" s="71"/>
      <c r="E615" s="71"/>
      <c r="F615" s="71"/>
      <c r="G615" s="71"/>
      <c r="H615" s="71"/>
      <c r="I615" s="71"/>
      <c r="J615" s="71"/>
      <c r="K615" s="71"/>
      <c r="L615" s="71"/>
      <c r="M615" s="71"/>
      <c r="N615" s="71"/>
      <c r="X615" s="71"/>
      <c r="Y615" s="71"/>
      <c r="Z615" s="71"/>
      <c r="AA615" s="71"/>
      <c r="AB615" s="71"/>
      <c r="AC615" s="71"/>
      <c r="AD615" s="71"/>
      <c r="AE615" s="71"/>
      <c r="AF615" s="71"/>
      <c r="AG615" s="71"/>
      <c r="AH615" s="71"/>
      <c r="AI615" s="71"/>
      <c r="AJ615" s="71"/>
    </row>
    <row r="616" spans="1:36" x14ac:dyDescent="0.2">
      <c r="A616" s="71"/>
      <c r="B616" s="71"/>
      <c r="C616" s="71"/>
      <c r="D616" s="71"/>
      <c r="E616" s="71"/>
      <c r="F616" s="71"/>
      <c r="G616" s="71"/>
      <c r="H616" s="71"/>
      <c r="I616" s="71"/>
      <c r="J616" s="71"/>
      <c r="K616" s="71"/>
      <c r="L616" s="71"/>
      <c r="M616" s="71"/>
      <c r="N616" s="71"/>
      <c r="X616" s="71"/>
      <c r="Y616" s="71"/>
      <c r="Z616" s="71"/>
      <c r="AA616" s="71"/>
      <c r="AB616" s="71"/>
      <c r="AC616" s="71"/>
      <c r="AD616" s="71"/>
      <c r="AE616" s="71"/>
      <c r="AF616" s="71"/>
      <c r="AG616" s="71"/>
      <c r="AH616" s="71"/>
      <c r="AI616" s="71"/>
      <c r="AJ616" s="71"/>
    </row>
    <row r="617" spans="1:36" x14ac:dyDescent="0.2">
      <c r="A617" s="71"/>
      <c r="B617" s="71"/>
      <c r="C617" s="71"/>
      <c r="D617" s="71"/>
      <c r="E617" s="71"/>
      <c r="F617" s="71"/>
      <c r="G617" s="71"/>
      <c r="H617" s="71"/>
      <c r="I617" s="71"/>
      <c r="J617" s="71"/>
      <c r="K617" s="71"/>
      <c r="L617" s="71"/>
      <c r="M617" s="71"/>
      <c r="N617" s="71"/>
      <c r="X617" s="71"/>
      <c r="Y617" s="71"/>
      <c r="Z617" s="71"/>
      <c r="AA617" s="71"/>
      <c r="AB617" s="71"/>
      <c r="AC617" s="71"/>
      <c r="AD617" s="71"/>
      <c r="AE617" s="71"/>
      <c r="AF617" s="71"/>
      <c r="AG617" s="71"/>
      <c r="AH617" s="71"/>
      <c r="AI617" s="71"/>
      <c r="AJ617" s="71"/>
    </row>
    <row r="618" spans="1:36" x14ac:dyDescent="0.2">
      <c r="A618" s="71"/>
      <c r="B618" s="71"/>
      <c r="C618" s="71"/>
      <c r="D618" s="71"/>
      <c r="E618" s="71"/>
      <c r="F618" s="71"/>
      <c r="G618" s="71"/>
      <c r="H618" s="71"/>
      <c r="I618" s="71"/>
      <c r="J618" s="71"/>
      <c r="K618" s="71"/>
      <c r="L618" s="71"/>
      <c r="M618" s="71"/>
      <c r="N618" s="71"/>
      <c r="X618" s="71"/>
      <c r="Y618" s="71"/>
      <c r="Z618" s="71"/>
      <c r="AA618" s="71"/>
      <c r="AB618" s="71"/>
      <c r="AC618" s="71"/>
      <c r="AD618" s="71"/>
      <c r="AE618" s="71"/>
      <c r="AF618" s="71"/>
      <c r="AG618" s="71"/>
      <c r="AH618" s="71"/>
      <c r="AI618" s="71"/>
      <c r="AJ618" s="71"/>
    </row>
    <row r="619" spans="1:36" x14ac:dyDescent="0.2">
      <c r="A619" s="71"/>
      <c r="B619" s="71"/>
      <c r="C619" s="71"/>
      <c r="D619" s="71"/>
      <c r="E619" s="71"/>
      <c r="F619" s="71"/>
      <c r="G619" s="71"/>
      <c r="H619" s="71"/>
      <c r="I619" s="71"/>
      <c r="J619" s="71"/>
      <c r="K619" s="71"/>
      <c r="L619" s="71"/>
      <c r="M619" s="71"/>
      <c r="N619" s="71"/>
      <c r="X619" s="71"/>
      <c r="Y619" s="71"/>
      <c r="Z619" s="71"/>
      <c r="AA619" s="71"/>
      <c r="AB619" s="71"/>
      <c r="AC619" s="71"/>
      <c r="AD619" s="71"/>
      <c r="AE619" s="71"/>
      <c r="AF619" s="71"/>
      <c r="AG619" s="71"/>
      <c r="AH619" s="71"/>
      <c r="AI619" s="71"/>
      <c r="AJ619" s="71"/>
    </row>
    <row r="620" spans="1:36" x14ac:dyDescent="0.2">
      <c r="A620" s="71"/>
      <c r="B620" s="71"/>
      <c r="C620" s="71"/>
      <c r="D620" s="71"/>
      <c r="E620" s="71"/>
      <c r="F620" s="71"/>
      <c r="G620" s="71"/>
      <c r="H620" s="71"/>
      <c r="I620" s="71"/>
      <c r="J620" s="71"/>
      <c r="K620" s="71"/>
      <c r="L620" s="71"/>
      <c r="M620" s="71"/>
      <c r="N620" s="71"/>
      <c r="X620" s="71"/>
      <c r="Y620" s="71"/>
      <c r="Z620" s="71"/>
      <c r="AA620" s="71"/>
      <c r="AB620" s="71"/>
      <c r="AC620" s="71"/>
      <c r="AD620" s="71"/>
      <c r="AE620" s="71"/>
      <c r="AF620" s="71"/>
      <c r="AG620" s="71"/>
      <c r="AH620" s="71"/>
      <c r="AI620" s="71"/>
      <c r="AJ620" s="71"/>
    </row>
    <row r="621" spans="1:36" x14ac:dyDescent="0.2">
      <c r="A621" s="71"/>
      <c r="B621" s="71"/>
      <c r="C621" s="71"/>
      <c r="D621" s="71"/>
      <c r="E621" s="71"/>
      <c r="F621" s="71"/>
      <c r="G621" s="71"/>
      <c r="H621" s="71"/>
      <c r="I621" s="71"/>
      <c r="J621" s="71"/>
      <c r="K621" s="71"/>
      <c r="L621" s="71"/>
      <c r="M621" s="71"/>
      <c r="N621" s="71"/>
      <c r="X621" s="71"/>
      <c r="Y621" s="71"/>
      <c r="Z621" s="71"/>
      <c r="AA621" s="71"/>
      <c r="AB621" s="71"/>
      <c r="AC621" s="71"/>
      <c r="AD621" s="71"/>
      <c r="AE621" s="71"/>
      <c r="AF621" s="71"/>
      <c r="AG621" s="71"/>
      <c r="AH621" s="71"/>
      <c r="AI621" s="71"/>
      <c r="AJ621" s="71"/>
    </row>
    <row r="622" spans="1:36" x14ac:dyDescent="0.2">
      <c r="A622" s="71"/>
      <c r="B622" s="71"/>
      <c r="C622" s="71"/>
      <c r="D622" s="71"/>
      <c r="E622" s="71"/>
      <c r="F622" s="71"/>
      <c r="G622" s="71"/>
      <c r="H622" s="71"/>
      <c r="I622" s="71"/>
      <c r="J622" s="71"/>
      <c r="K622" s="71"/>
      <c r="L622" s="71"/>
      <c r="M622" s="71"/>
      <c r="N622" s="71"/>
      <c r="X622" s="71"/>
      <c r="Y622" s="71"/>
      <c r="Z622" s="71"/>
      <c r="AA622" s="71"/>
      <c r="AB622" s="71"/>
      <c r="AC622" s="71"/>
      <c r="AD622" s="71"/>
      <c r="AE622" s="71"/>
      <c r="AF622" s="71"/>
      <c r="AG622" s="71"/>
      <c r="AH622" s="71"/>
      <c r="AI622" s="71"/>
      <c r="AJ622" s="71"/>
    </row>
    <row r="623" spans="1:36" x14ac:dyDescent="0.2">
      <c r="A623" s="71"/>
      <c r="B623" s="71"/>
      <c r="C623" s="71"/>
      <c r="D623" s="71"/>
      <c r="E623" s="71"/>
      <c r="F623" s="71"/>
      <c r="G623" s="71"/>
      <c r="H623" s="71"/>
      <c r="I623" s="71"/>
      <c r="J623" s="71"/>
      <c r="K623" s="71"/>
      <c r="L623" s="71"/>
      <c r="M623" s="71"/>
      <c r="N623" s="71"/>
      <c r="X623" s="71"/>
      <c r="Y623" s="71"/>
      <c r="Z623" s="71"/>
      <c r="AA623" s="71"/>
      <c r="AB623" s="71"/>
      <c r="AC623" s="71"/>
      <c r="AD623" s="71"/>
      <c r="AE623" s="71"/>
      <c r="AF623" s="71"/>
      <c r="AG623" s="71"/>
      <c r="AH623" s="71"/>
      <c r="AI623" s="71"/>
      <c r="AJ623" s="71"/>
    </row>
    <row r="624" spans="1:36" x14ac:dyDescent="0.2">
      <c r="A624" s="71"/>
      <c r="B624" s="71"/>
      <c r="C624" s="71"/>
      <c r="D624" s="71"/>
      <c r="E624" s="71"/>
      <c r="F624" s="71"/>
      <c r="G624" s="71"/>
      <c r="H624" s="71"/>
      <c r="I624" s="71"/>
      <c r="J624" s="71"/>
      <c r="K624" s="71"/>
      <c r="L624" s="71"/>
      <c r="M624" s="71"/>
      <c r="N624" s="71"/>
      <c r="X624" s="71"/>
      <c r="Y624" s="71"/>
      <c r="Z624" s="71"/>
      <c r="AA624" s="71"/>
      <c r="AB624" s="71"/>
      <c r="AC624" s="71"/>
      <c r="AD624" s="71"/>
      <c r="AE624" s="71"/>
      <c r="AF624" s="71"/>
      <c r="AG624" s="71"/>
      <c r="AH624" s="71"/>
      <c r="AI624" s="71"/>
      <c r="AJ624" s="71"/>
    </row>
    <row r="625" spans="1:36" x14ac:dyDescent="0.2">
      <c r="A625" s="71"/>
      <c r="B625" s="71"/>
      <c r="C625" s="71"/>
      <c r="D625" s="71"/>
      <c r="E625" s="71"/>
      <c r="F625" s="71"/>
      <c r="G625" s="71"/>
      <c r="H625" s="71"/>
      <c r="I625" s="71"/>
      <c r="J625" s="71"/>
      <c r="K625" s="71"/>
      <c r="L625" s="71"/>
      <c r="M625" s="71"/>
      <c r="N625" s="71"/>
      <c r="X625" s="71"/>
      <c r="Y625" s="71"/>
      <c r="Z625" s="71"/>
      <c r="AA625" s="71"/>
      <c r="AB625" s="71"/>
      <c r="AC625" s="71"/>
      <c r="AD625" s="71"/>
      <c r="AE625" s="71"/>
      <c r="AF625" s="71"/>
      <c r="AG625" s="71"/>
      <c r="AH625" s="71"/>
      <c r="AI625" s="71"/>
      <c r="AJ625" s="71"/>
    </row>
    <row r="626" spans="1:36" x14ac:dyDescent="0.2">
      <c r="A626" s="71"/>
      <c r="B626" s="71"/>
      <c r="C626" s="71"/>
      <c r="D626" s="71"/>
      <c r="E626" s="71"/>
      <c r="F626" s="71"/>
      <c r="G626" s="71"/>
      <c r="H626" s="71"/>
      <c r="I626" s="71"/>
      <c r="J626" s="71"/>
      <c r="K626" s="71"/>
      <c r="L626" s="71"/>
      <c r="M626" s="71"/>
      <c r="N626" s="71"/>
      <c r="X626" s="71"/>
      <c r="Y626" s="71"/>
      <c r="Z626" s="71"/>
      <c r="AA626" s="71"/>
      <c r="AB626" s="71"/>
      <c r="AC626" s="71"/>
      <c r="AD626" s="71"/>
      <c r="AE626" s="71"/>
      <c r="AF626" s="71"/>
      <c r="AG626" s="71"/>
      <c r="AH626" s="71"/>
      <c r="AI626" s="71"/>
      <c r="AJ626" s="71"/>
    </row>
    <row r="627" spans="1:36" x14ac:dyDescent="0.2">
      <c r="A627" s="71"/>
      <c r="B627" s="71"/>
      <c r="C627" s="71"/>
      <c r="D627" s="71"/>
      <c r="E627" s="71"/>
      <c r="F627" s="71"/>
      <c r="G627" s="71"/>
      <c r="H627" s="71"/>
      <c r="I627" s="71"/>
      <c r="J627" s="71"/>
      <c r="K627" s="71"/>
      <c r="L627" s="71"/>
      <c r="M627" s="71"/>
      <c r="N627" s="71"/>
      <c r="X627" s="71"/>
      <c r="Y627" s="71"/>
      <c r="Z627" s="71"/>
      <c r="AA627" s="71"/>
      <c r="AB627" s="71"/>
      <c r="AC627" s="71"/>
      <c r="AD627" s="71"/>
      <c r="AE627" s="71"/>
      <c r="AF627" s="71"/>
      <c r="AG627" s="71"/>
      <c r="AH627" s="71"/>
      <c r="AI627" s="71"/>
      <c r="AJ627" s="71"/>
    </row>
    <row r="628" spans="1:36" x14ac:dyDescent="0.2">
      <c r="A628" s="71"/>
      <c r="B628" s="71"/>
      <c r="C628" s="71"/>
      <c r="D628" s="71"/>
      <c r="E628" s="71"/>
      <c r="F628" s="71"/>
      <c r="G628" s="71"/>
      <c r="H628" s="71"/>
      <c r="I628" s="71"/>
      <c r="J628" s="71"/>
      <c r="K628" s="71"/>
      <c r="L628" s="71"/>
      <c r="M628" s="71"/>
      <c r="N628" s="71"/>
      <c r="X628" s="71"/>
      <c r="Y628" s="71"/>
      <c r="Z628" s="71"/>
      <c r="AA628" s="71"/>
      <c r="AB628" s="71"/>
      <c r="AC628" s="71"/>
      <c r="AD628" s="71"/>
      <c r="AE628" s="71"/>
      <c r="AF628" s="71"/>
      <c r="AG628" s="71"/>
      <c r="AH628" s="71"/>
      <c r="AI628" s="71"/>
      <c r="AJ628" s="71"/>
    </row>
    <row r="629" spans="1:36" x14ac:dyDescent="0.2">
      <c r="A629" s="71"/>
      <c r="B629" s="71"/>
      <c r="C629" s="71"/>
      <c r="D629" s="71"/>
      <c r="E629" s="71"/>
      <c r="F629" s="71"/>
      <c r="G629" s="71"/>
      <c r="H629" s="71"/>
      <c r="I629" s="71"/>
      <c r="J629" s="71"/>
      <c r="K629" s="71"/>
      <c r="L629" s="71"/>
      <c r="M629" s="71"/>
      <c r="N629" s="71"/>
      <c r="X629" s="71"/>
      <c r="Y629" s="71"/>
      <c r="Z629" s="71"/>
      <c r="AA629" s="71"/>
      <c r="AB629" s="71"/>
      <c r="AC629" s="71"/>
      <c r="AD629" s="71"/>
      <c r="AE629" s="71"/>
      <c r="AF629" s="71"/>
      <c r="AG629" s="71"/>
      <c r="AH629" s="71"/>
      <c r="AI629" s="71"/>
      <c r="AJ629" s="71"/>
    </row>
    <row r="630" spans="1:36" x14ac:dyDescent="0.2">
      <c r="A630" s="71"/>
      <c r="B630" s="71"/>
      <c r="C630" s="71"/>
      <c r="D630" s="71"/>
      <c r="E630" s="71"/>
      <c r="F630" s="71"/>
      <c r="G630" s="71"/>
      <c r="H630" s="71"/>
      <c r="I630" s="71"/>
      <c r="J630" s="71"/>
      <c r="K630" s="71"/>
      <c r="L630" s="71"/>
      <c r="M630" s="71"/>
      <c r="N630" s="71"/>
      <c r="X630" s="71"/>
      <c r="Y630" s="71"/>
      <c r="Z630" s="71"/>
      <c r="AA630" s="71"/>
      <c r="AB630" s="71"/>
      <c r="AC630" s="71"/>
      <c r="AD630" s="71"/>
      <c r="AE630" s="71"/>
      <c r="AF630" s="71"/>
      <c r="AG630" s="71"/>
      <c r="AH630" s="71"/>
      <c r="AI630" s="71"/>
      <c r="AJ630" s="71"/>
    </row>
    <row r="631" spans="1:36" x14ac:dyDescent="0.2">
      <c r="A631" s="71"/>
      <c r="B631" s="71"/>
      <c r="C631" s="71"/>
      <c r="D631" s="71"/>
      <c r="E631" s="71"/>
      <c r="F631" s="71"/>
      <c r="G631" s="71"/>
      <c r="H631" s="71"/>
      <c r="I631" s="71"/>
      <c r="J631" s="71"/>
      <c r="K631" s="71"/>
      <c r="L631" s="71"/>
      <c r="M631" s="71"/>
      <c r="N631" s="71"/>
      <c r="X631" s="71"/>
      <c r="Y631" s="71"/>
      <c r="Z631" s="71"/>
      <c r="AA631" s="71"/>
      <c r="AB631" s="71"/>
      <c r="AC631" s="71"/>
      <c r="AD631" s="71"/>
      <c r="AE631" s="71"/>
      <c r="AF631" s="71"/>
      <c r="AG631" s="71"/>
      <c r="AH631" s="71"/>
      <c r="AI631" s="71"/>
      <c r="AJ631" s="71"/>
    </row>
    <row r="632" spans="1:36" x14ac:dyDescent="0.2">
      <c r="A632" s="71"/>
      <c r="B632" s="71"/>
      <c r="C632" s="71"/>
      <c r="D632" s="71"/>
      <c r="E632" s="71"/>
      <c r="F632" s="71"/>
      <c r="G632" s="71"/>
      <c r="H632" s="71"/>
      <c r="I632" s="71"/>
      <c r="J632" s="71"/>
      <c r="K632" s="71"/>
      <c r="L632" s="71"/>
      <c r="M632" s="71"/>
      <c r="N632" s="71"/>
      <c r="X632" s="71"/>
      <c r="Y632" s="71"/>
      <c r="Z632" s="71"/>
      <c r="AA632" s="71"/>
      <c r="AB632" s="71"/>
      <c r="AC632" s="71"/>
      <c r="AD632" s="71"/>
      <c r="AE632" s="71"/>
      <c r="AF632" s="71"/>
      <c r="AG632" s="71"/>
      <c r="AH632" s="71"/>
      <c r="AI632" s="71"/>
      <c r="AJ632" s="71"/>
    </row>
    <row r="633" spans="1:36" x14ac:dyDescent="0.2">
      <c r="A633" s="71"/>
      <c r="B633" s="71"/>
      <c r="C633" s="71"/>
      <c r="D633" s="71"/>
      <c r="E633" s="71"/>
      <c r="F633" s="71"/>
      <c r="G633" s="71"/>
      <c r="H633" s="71"/>
      <c r="I633" s="71"/>
      <c r="J633" s="71"/>
      <c r="K633" s="71"/>
      <c r="L633" s="71"/>
      <c r="M633" s="71"/>
      <c r="N633" s="71"/>
      <c r="X633" s="71"/>
      <c r="Y633" s="71"/>
      <c r="Z633" s="71"/>
      <c r="AA633" s="71"/>
      <c r="AB633" s="71"/>
      <c r="AC633" s="71"/>
      <c r="AD633" s="71"/>
      <c r="AE633" s="71"/>
      <c r="AF633" s="71"/>
      <c r="AG633" s="71"/>
      <c r="AH633" s="71"/>
      <c r="AI633" s="71"/>
      <c r="AJ633" s="71"/>
    </row>
    <row r="634" spans="1:36" x14ac:dyDescent="0.2">
      <c r="A634" s="71"/>
      <c r="B634" s="71"/>
      <c r="C634" s="71"/>
      <c r="D634" s="71"/>
      <c r="E634" s="71"/>
      <c r="F634" s="71"/>
      <c r="G634" s="71"/>
      <c r="H634" s="71"/>
      <c r="I634" s="71"/>
      <c r="J634" s="71"/>
      <c r="K634" s="71"/>
      <c r="L634" s="71"/>
      <c r="M634" s="71"/>
      <c r="N634" s="71"/>
      <c r="X634" s="71"/>
      <c r="Y634" s="71"/>
      <c r="Z634" s="71"/>
      <c r="AA634" s="71"/>
      <c r="AB634" s="71"/>
      <c r="AC634" s="71"/>
      <c r="AD634" s="71"/>
      <c r="AE634" s="71"/>
      <c r="AF634" s="71"/>
      <c r="AG634" s="71"/>
      <c r="AH634" s="71"/>
      <c r="AI634" s="71"/>
      <c r="AJ634" s="71"/>
    </row>
    <row r="635" spans="1:36" x14ac:dyDescent="0.2">
      <c r="A635" s="71"/>
      <c r="B635" s="71"/>
      <c r="C635" s="71"/>
      <c r="D635" s="71"/>
      <c r="E635" s="71"/>
      <c r="F635" s="71"/>
      <c r="G635" s="71"/>
      <c r="H635" s="71"/>
      <c r="I635" s="71"/>
      <c r="J635" s="71"/>
      <c r="K635" s="71"/>
      <c r="L635" s="71"/>
      <c r="M635" s="71"/>
      <c r="N635" s="71"/>
      <c r="X635" s="71"/>
      <c r="Y635" s="71"/>
      <c r="Z635" s="71"/>
      <c r="AA635" s="71"/>
      <c r="AB635" s="71"/>
      <c r="AC635" s="71"/>
      <c r="AD635" s="71"/>
      <c r="AE635" s="71"/>
      <c r="AF635" s="71"/>
      <c r="AG635" s="71"/>
      <c r="AH635" s="71"/>
      <c r="AI635" s="71"/>
      <c r="AJ635" s="71"/>
    </row>
    <row r="636" spans="1:36" x14ac:dyDescent="0.2">
      <c r="A636" s="71"/>
      <c r="B636" s="71"/>
      <c r="C636" s="71"/>
      <c r="D636" s="71"/>
      <c r="E636" s="71"/>
      <c r="F636" s="71"/>
      <c r="G636" s="71"/>
      <c r="H636" s="71"/>
      <c r="I636" s="71"/>
      <c r="J636" s="71"/>
      <c r="K636" s="71"/>
      <c r="L636" s="71"/>
      <c r="M636" s="71"/>
      <c r="N636" s="71"/>
      <c r="X636" s="71"/>
      <c r="Y636" s="71"/>
      <c r="Z636" s="71"/>
      <c r="AA636" s="71"/>
      <c r="AB636" s="71"/>
      <c r="AC636" s="71"/>
      <c r="AD636" s="71"/>
      <c r="AE636" s="71"/>
      <c r="AF636" s="71"/>
      <c r="AG636" s="71"/>
      <c r="AH636" s="71"/>
      <c r="AI636" s="71"/>
      <c r="AJ636" s="71"/>
    </row>
    <row r="637" spans="1:36" x14ac:dyDescent="0.2">
      <c r="A637" s="71"/>
      <c r="B637" s="71"/>
      <c r="C637" s="71"/>
      <c r="D637" s="71"/>
      <c r="E637" s="71"/>
      <c r="F637" s="71"/>
      <c r="G637" s="71"/>
      <c r="H637" s="71"/>
      <c r="I637" s="71"/>
      <c r="J637" s="71"/>
      <c r="K637" s="71"/>
      <c r="L637" s="71"/>
      <c r="M637" s="71"/>
      <c r="N637" s="71"/>
      <c r="X637" s="71"/>
      <c r="Y637" s="71"/>
      <c r="Z637" s="71"/>
      <c r="AA637" s="71"/>
      <c r="AB637" s="71"/>
      <c r="AC637" s="71"/>
      <c r="AD637" s="71"/>
      <c r="AE637" s="71"/>
      <c r="AF637" s="71"/>
      <c r="AG637" s="71"/>
      <c r="AH637" s="71"/>
      <c r="AI637" s="71"/>
      <c r="AJ637" s="71"/>
    </row>
    <row r="638" spans="1:36" x14ac:dyDescent="0.2">
      <c r="A638" s="71"/>
      <c r="B638" s="71"/>
      <c r="C638" s="71"/>
      <c r="D638" s="71"/>
      <c r="E638" s="71"/>
      <c r="F638" s="71"/>
      <c r="G638" s="71"/>
      <c r="H638" s="71"/>
      <c r="I638" s="71"/>
      <c r="J638" s="71"/>
      <c r="K638" s="71"/>
      <c r="L638" s="71"/>
      <c r="M638" s="71"/>
      <c r="N638" s="71"/>
      <c r="X638" s="71"/>
      <c r="Y638" s="71"/>
      <c r="Z638" s="71"/>
      <c r="AA638" s="71"/>
      <c r="AB638" s="71"/>
      <c r="AC638" s="71"/>
      <c r="AD638" s="71"/>
      <c r="AE638" s="71"/>
      <c r="AF638" s="71"/>
      <c r="AG638" s="71"/>
      <c r="AH638" s="71"/>
      <c r="AI638" s="71"/>
      <c r="AJ638" s="71"/>
    </row>
    <row r="639" spans="1:36" x14ac:dyDescent="0.2">
      <c r="A639" s="71"/>
      <c r="B639" s="71"/>
      <c r="C639" s="71"/>
      <c r="D639" s="71"/>
      <c r="E639" s="71"/>
      <c r="F639" s="71"/>
      <c r="G639" s="71"/>
      <c r="H639" s="71"/>
      <c r="I639" s="71"/>
      <c r="J639" s="71"/>
      <c r="K639" s="71"/>
      <c r="L639" s="71"/>
      <c r="M639" s="71"/>
      <c r="N639" s="71"/>
      <c r="X639" s="71"/>
      <c r="Y639" s="71"/>
      <c r="Z639" s="71"/>
      <c r="AA639" s="71"/>
      <c r="AB639" s="71"/>
      <c r="AC639" s="71"/>
      <c r="AD639" s="71"/>
      <c r="AE639" s="71"/>
      <c r="AF639" s="71"/>
      <c r="AG639" s="71"/>
      <c r="AH639" s="71"/>
      <c r="AI639" s="71"/>
      <c r="AJ639" s="71"/>
    </row>
    <row r="640" spans="1:36" x14ac:dyDescent="0.2">
      <c r="A640" s="71"/>
      <c r="B640" s="71"/>
      <c r="C640" s="71"/>
      <c r="D640" s="71"/>
      <c r="E640" s="71"/>
      <c r="F640" s="71"/>
      <c r="G640" s="71"/>
      <c r="H640" s="71"/>
      <c r="I640" s="71"/>
      <c r="J640" s="71"/>
      <c r="K640" s="71"/>
      <c r="L640" s="71"/>
      <c r="M640" s="71"/>
      <c r="N640" s="71"/>
      <c r="X640" s="71"/>
      <c r="Y640" s="71"/>
      <c r="Z640" s="71"/>
      <c r="AA640" s="71"/>
      <c r="AB640" s="71"/>
      <c r="AC640" s="71"/>
      <c r="AD640" s="71"/>
      <c r="AE640" s="71"/>
      <c r="AF640" s="71"/>
      <c r="AG640" s="71"/>
      <c r="AH640" s="71"/>
      <c r="AI640" s="71"/>
      <c r="AJ640" s="71"/>
    </row>
    <row r="641" spans="1:36" x14ac:dyDescent="0.2">
      <c r="A641" s="71"/>
      <c r="B641" s="71"/>
      <c r="C641" s="71"/>
      <c r="D641" s="71"/>
      <c r="E641" s="71"/>
      <c r="F641" s="71"/>
      <c r="G641" s="71"/>
      <c r="H641" s="71"/>
      <c r="I641" s="71"/>
      <c r="J641" s="71"/>
      <c r="K641" s="71"/>
      <c r="L641" s="71"/>
      <c r="M641" s="71"/>
      <c r="N641" s="71"/>
      <c r="X641" s="71"/>
      <c r="Y641" s="71"/>
      <c r="Z641" s="71"/>
      <c r="AA641" s="71"/>
      <c r="AB641" s="71"/>
      <c r="AC641" s="71"/>
      <c r="AD641" s="71"/>
      <c r="AE641" s="71"/>
      <c r="AF641" s="71"/>
      <c r="AG641" s="71"/>
      <c r="AH641" s="71"/>
      <c r="AI641" s="71"/>
      <c r="AJ641" s="71"/>
    </row>
    <row r="642" spans="1:36" x14ac:dyDescent="0.2">
      <c r="A642" s="71"/>
      <c r="B642" s="71"/>
      <c r="C642" s="71"/>
      <c r="D642" s="71"/>
      <c r="E642" s="71"/>
      <c r="F642" s="71"/>
      <c r="G642" s="71"/>
      <c r="H642" s="71"/>
      <c r="I642" s="71"/>
      <c r="J642" s="71"/>
      <c r="K642" s="71"/>
      <c r="L642" s="71"/>
      <c r="M642" s="71"/>
      <c r="N642" s="71"/>
      <c r="X642" s="71"/>
      <c r="Y642" s="71"/>
      <c r="Z642" s="71"/>
      <c r="AA642" s="71"/>
      <c r="AB642" s="71"/>
      <c r="AC642" s="71"/>
      <c r="AD642" s="71"/>
      <c r="AE642" s="71"/>
      <c r="AF642" s="71"/>
      <c r="AG642" s="71"/>
      <c r="AH642" s="71"/>
      <c r="AI642" s="71"/>
      <c r="AJ642" s="71"/>
    </row>
    <row r="643" spans="1:36" x14ac:dyDescent="0.2">
      <c r="A643" s="71"/>
      <c r="B643" s="71"/>
      <c r="C643" s="71"/>
      <c r="D643" s="71"/>
      <c r="E643" s="71"/>
      <c r="F643" s="71"/>
      <c r="G643" s="71"/>
      <c r="H643" s="71"/>
      <c r="I643" s="71"/>
      <c r="J643" s="71"/>
      <c r="K643" s="71"/>
      <c r="L643" s="71"/>
      <c r="M643" s="71"/>
      <c r="N643" s="71"/>
      <c r="X643" s="71"/>
      <c r="Y643" s="71"/>
      <c r="Z643" s="71"/>
      <c r="AA643" s="71"/>
      <c r="AB643" s="71"/>
      <c r="AC643" s="71"/>
      <c r="AD643" s="71"/>
      <c r="AE643" s="71"/>
      <c r="AF643" s="71"/>
      <c r="AG643" s="71"/>
      <c r="AH643" s="71"/>
      <c r="AI643" s="71"/>
      <c r="AJ643" s="71"/>
    </row>
    <row r="644" spans="1:36" x14ac:dyDescent="0.2">
      <c r="A644" s="71"/>
      <c r="B644" s="71"/>
      <c r="C644" s="71"/>
      <c r="D644" s="71"/>
      <c r="E644" s="71"/>
      <c r="F644" s="71"/>
      <c r="G644" s="71"/>
      <c r="H644" s="71"/>
      <c r="I644" s="71"/>
      <c r="J644" s="71"/>
      <c r="K644" s="71"/>
      <c r="L644" s="71"/>
      <c r="M644" s="71"/>
      <c r="N644" s="71"/>
      <c r="X644" s="71"/>
      <c r="Y644" s="71"/>
      <c r="Z644" s="71"/>
      <c r="AA644" s="71"/>
      <c r="AB644" s="71"/>
      <c r="AC644" s="71"/>
      <c r="AD644" s="71"/>
      <c r="AE644" s="71"/>
      <c r="AF644" s="71"/>
      <c r="AG644" s="71"/>
      <c r="AH644" s="71"/>
      <c r="AI644" s="71"/>
      <c r="AJ644" s="71"/>
    </row>
    <row r="645" spans="1:36" x14ac:dyDescent="0.2">
      <c r="A645" s="71"/>
      <c r="B645" s="71"/>
      <c r="C645" s="71"/>
      <c r="D645" s="71"/>
      <c r="E645" s="71"/>
      <c r="F645" s="71"/>
      <c r="G645" s="71"/>
      <c r="H645" s="71"/>
      <c r="I645" s="71"/>
      <c r="J645" s="71"/>
      <c r="K645" s="71"/>
      <c r="L645" s="71"/>
      <c r="M645" s="71"/>
      <c r="N645" s="71"/>
      <c r="X645" s="71"/>
      <c r="Y645" s="71"/>
      <c r="Z645" s="71"/>
      <c r="AA645" s="71"/>
      <c r="AB645" s="71"/>
      <c r="AC645" s="71"/>
      <c r="AD645" s="71"/>
      <c r="AE645" s="71"/>
      <c r="AF645" s="71"/>
      <c r="AG645" s="71"/>
      <c r="AH645" s="71"/>
      <c r="AI645" s="71"/>
      <c r="AJ645" s="71"/>
    </row>
    <row r="646" spans="1:36" x14ac:dyDescent="0.2">
      <c r="A646" s="71"/>
      <c r="B646" s="71"/>
      <c r="C646" s="71"/>
      <c r="D646" s="71"/>
      <c r="E646" s="71"/>
      <c r="F646" s="71"/>
      <c r="G646" s="71"/>
      <c r="H646" s="71"/>
      <c r="I646" s="71"/>
      <c r="J646" s="71"/>
      <c r="K646" s="71"/>
      <c r="L646" s="71"/>
      <c r="M646" s="71"/>
      <c r="N646" s="71"/>
      <c r="X646" s="71"/>
      <c r="Y646" s="71"/>
      <c r="Z646" s="71"/>
      <c r="AA646" s="71"/>
      <c r="AB646" s="71"/>
      <c r="AC646" s="71"/>
      <c r="AD646" s="71"/>
      <c r="AE646" s="71"/>
      <c r="AF646" s="71"/>
      <c r="AG646" s="71"/>
      <c r="AH646" s="71"/>
      <c r="AI646" s="71"/>
      <c r="AJ646" s="71"/>
    </row>
    <row r="647" spans="1:36" x14ac:dyDescent="0.2">
      <c r="A647" s="71"/>
      <c r="B647" s="71"/>
      <c r="C647" s="71"/>
      <c r="D647" s="71"/>
      <c r="E647" s="71"/>
      <c r="F647" s="71"/>
      <c r="G647" s="71"/>
      <c r="H647" s="71"/>
      <c r="I647" s="71"/>
      <c r="J647" s="71"/>
      <c r="K647" s="71"/>
      <c r="L647" s="71"/>
      <c r="M647" s="71"/>
      <c r="N647" s="71"/>
      <c r="X647" s="71"/>
      <c r="Y647" s="71"/>
      <c r="Z647" s="71"/>
      <c r="AA647" s="71"/>
      <c r="AB647" s="71"/>
      <c r="AC647" s="71"/>
      <c r="AD647" s="71"/>
      <c r="AE647" s="71"/>
      <c r="AF647" s="71"/>
      <c r="AG647" s="71"/>
      <c r="AH647" s="71"/>
      <c r="AI647" s="71"/>
      <c r="AJ647" s="71"/>
    </row>
    <row r="648" spans="1:36" x14ac:dyDescent="0.2">
      <c r="A648" s="71"/>
      <c r="B648" s="71"/>
      <c r="C648" s="71"/>
      <c r="D648" s="71"/>
      <c r="E648" s="71"/>
      <c r="F648" s="71"/>
      <c r="G648" s="71"/>
      <c r="H648" s="71"/>
      <c r="I648" s="71"/>
      <c r="J648" s="71"/>
      <c r="K648" s="71"/>
      <c r="L648" s="71"/>
      <c r="M648" s="71"/>
      <c r="N648" s="71"/>
      <c r="X648" s="71"/>
      <c r="Y648" s="71"/>
      <c r="Z648" s="71"/>
      <c r="AA648" s="71"/>
      <c r="AB648" s="71"/>
      <c r="AC648" s="71"/>
      <c r="AD648" s="71"/>
      <c r="AE648" s="71"/>
      <c r="AF648" s="71"/>
      <c r="AG648" s="71"/>
      <c r="AH648" s="71"/>
      <c r="AI648" s="71"/>
      <c r="AJ648" s="71"/>
    </row>
    <row r="649" spans="1:36" x14ac:dyDescent="0.2">
      <c r="A649" s="71"/>
      <c r="B649" s="71"/>
      <c r="C649" s="71"/>
      <c r="D649" s="71"/>
      <c r="E649" s="71"/>
      <c r="F649" s="71"/>
      <c r="G649" s="71"/>
      <c r="H649" s="71"/>
      <c r="I649" s="71"/>
      <c r="J649" s="71"/>
      <c r="K649" s="71"/>
      <c r="L649" s="71"/>
      <c r="M649" s="71"/>
      <c r="N649" s="71"/>
      <c r="X649" s="71"/>
      <c r="Y649" s="71"/>
      <c r="Z649" s="71"/>
      <c r="AA649" s="71"/>
      <c r="AB649" s="71"/>
      <c r="AC649" s="71"/>
      <c r="AD649" s="71"/>
      <c r="AE649" s="71"/>
      <c r="AF649" s="71"/>
      <c r="AG649" s="71"/>
      <c r="AH649" s="71"/>
      <c r="AI649" s="71"/>
      <c r="AJ649" s="71"/>
    </row>
    <row r="650" spans="1:36" x14ac:dyDescent="0.2">
      <c r="A650" s="71"/>
      <c r="B650" s="71"/>
      <c r="C650" s="71"/>
      <c r="D650" s="71"/>
      <c r="E650" s="71"/>
      <c r="F650" s="71"/>
      <c r="G650" s="71"/>
      <c r="H650" s="71"/>
      <c r="I650" s="71"/>
      <c r="J650" s="71"/>
      <c r="K650" s="71"/>
      <c r="L650" s="71"/>
      <c r="M650" s="71"/>
      <c r="N650" s="71"/>
      <c r="X650" s="71"/>
      <c r="Y650" s="71"/>
      <c r="Z650" s="71"/>
      <c r="AA650" s="71"/>
      <c r="AB650" s="71"/>
      <c r="AC650" s="71"/>
      <c r="AD650" s="71"/>
      <c r="AE650" s="71"/>
      <c r="AF650" s="71"/>
      <c r="AG650" s="71"/>
      <c r="AH650" s="71"/>
      <c r="AI650" s="71"/>
      <c r="AJ650" s="71"/>
    </row>
    <row r="651" spans="1:36" x14ac:dyDescent="0.2">
      <c r="A651" s="71"/>
      <c r="B651" s="71"/>
      <c r="C651" s="71"/>
      <c r="D651" s="71"/>
      <c r="E651" s="71"/>
      <c r="F651" s="71"/>
      <c r="G651" s="71"/>
      <c r="H651" s="71"/>
      <c r="I651" s="71"/>
      <c r="J651" s="71"/>
      <c r="K651" s="71"/>
      <c r="L651" s="71"/>
      <c r="M651" s="71"/>
      <c r="N651" s="71"/>
      <c r="X651" s="71"/>
      <c r="Y651" s="71"/>
      <c r="Z651" s="71"/>
      <c r="AA651" s="71"/>
      <c r="AB651" s="71"/>
      <c r="AC651" s="71"/>
      <c r="AD651" s="71"/>
      <c r="AE651" s="71"/>
      <c r="AF651" s="71"/>
      <c r="AG651" s="71"/>
      <c r="AH651" s="71"/>
      <c r="AI651" s="71"/>
      <c r="AJ651" s="71"/>
    </row>
    <row r="652" spans="1:36" x14ac:dyDescent="0.2">
      <c r="A652" s="71"/>
      <c r="B652" s="71"/>
      <c r="C652" s="71"/>
      <c r="D652" s="71"/>
      <c r="E652" s="71"/>
      <c r="F652" s="71"/>
      <c r="G652" s="71"/>
      <c r="H652" s="71"/>
      <c r="I652" s="71"/>
      <c r="J652" s="71"/>
      <c r="K652" s="71"/>
      <c r="L652" s="71"/>
      <c r="M652" s="71"/>
      <c r="N652" s="71"/>
      <c r="X652" s="71"/>
      <c r="Y652" s="71"/>
      <c r="Z652" s="71"/>
      <c r="AA652" s="71"/>
      <c r="AB652" s="71"/>
      <c r="AC652" s="71"/>
      <c r="AD652" s="71"/>
      <c r="AE652" s="71"/>
      <c r="AF652" s="71"/>
      <c r="AG652" s="71"/>
      <c r="AH652" s="71"/>
      <c r="AI652" s="71"/>
    </row>
    <row r="653" spans="1:36" x14ac:dyDescent="0.2">
      <c r="A653" s="71"/>
      <c r="B653" s="71"/>
      <c r="C653" s="71"/>
      <c r="D653" s="71"/>
      <c r="E653" s="71"/>
      <c r="F653" s="71"/>
      <c r="G653" s="71"/>
      <c r="H653" s="71"/>
      <c r="I653" s="71"/>
      <c r="J653" s="71"/>
      <c r="K653" s="71"/>
      <c r="L653" s="71"/>
      <c r="M653" s="71"/>
      <c r="N653" s="71"/>
      <c r="X653" s="71"/>
      <c r="Y653" s="71"/>
      <c r="Z653" s="71"/>
      <c r="AA653" s="71"/>
      <c r="AB653" s="71"/>
      <c r="AC653" s="71"/>
      <c r="AD653" s="71"/>
      <c r="AE653" s="71"/>
      <c r="AF653" s="71"/>
      <c r="AG653" s="71"/>
      <c r="AH653" s="71"/>
      <c r="AI653" s="71"/>
    </row>
    <row r="654" spans="1:36" x14ac:dyDescent="0.2">
      <c r="A654" s="71"/>
      <c r="B654" s="71"/>
      <c r="C654" s="71"/>
      <c r="D654" s="71"/>
      <c r="E654" s="71"/>
      <c r="F654" s="71"/>
      <c r="G654" s="71"/>
      <c r="H654" s="71"/>
      <c r="I654" s="71"/>
      <c r="J654" s="71"/>
      <c r="K654" s="71"/>
      <c r="L654" s="71"/>
      <c r="M654" s="71"/>
      <c r="N654" s="71"/>
      <c r="X654" s="71"/>
      <c r="Y654" s="71"/>
      <c r="Z654" s="71"/>
      <c r="AA654" s="71"/>
      <c r="AB654" s="71"/>
      <c r="AC654" s="71"/>
      <c r="AD654" s="71"/>
      <c r="AE654" s="71"/>
      <c r="AF654" s="71"/>
      <c r="AG654" s="71"/>
      <c r="AH654" s="71"/>
      <c r="AI654" s="71"/>
    </row>
    <row r="655" spans="1:36" x14ac:dyDescent="0.2">
      <c r="A655" s="71"/>
      <c r="B655" s="71"/>
      <c r="C655" s="71"/>
      <c r="D655" s="71"/>
      <c r="E655" s="71"/>
      <c r="F655" s="71"/>
      <c r="G655" s="71"/>
      <c r="H655" s="71"/>
      <c r="I655" s="71"/>
      <c r="J655" s="71"/>
      <c r="K655" s="71"/>
      <c r="L655" s="71"/>
      <c r="M655" s="71"/>
      <c r="N655" s="71"/>
      <c r="X655" s="71"/>
      <c r="Y655" s="71"/>
      <c r="Z655" s="71"/>
      <c r="AA655" s="71"/>
      <c r="AB655" s="71"/>
      <c r="AC655" s="71"/>
      <c r="AD655" s="71"/>
      <c r="AE655" s="71"/>
      <c r="AF655" s="71"/>
      <c r="AG655" s="71"/>
      <c r="AH655" s="71"/>
      <c r="AI655" s="71"/>
    </row>
    <row r="656" spans="1:36" x14ac:dyDescent="0.2">
      <c r="A656" s="71"/>
      <c r="B656" s="71"/>
      <c r="C656" s="71"/>
      <c r="D656" s="71"/>
      <c r="E656" s="71"/>
      <c r="F656" s="71"/>
      <c r="G656" s="71"/>
      <c r="H656" s="71"/>
      <c r="I656" s="71"/>
      <c r="J656" s="71"/>
      <c r="K656" s="71"/>
      <c r="L656" s="71"/>
      <c r="M656" s="71"/>
      <c r="N656" s="71"/>
      <c r="X656" s="71"/>
      <c r="Y656" s="71"/>
      <c r="Z656" s="71"/>
      <c r="AA656" s="71"/>
      <c r="AB656" s="71"/>
      <c r="AC656" s="71"/>
      <c r="AD656" s="71"/>
      <c r="AE656" s="71"/>
      <c r="AF656" s="71"/>
      <c r="AG656" s="71"/>
      <c r="AH656" s="71"/>
      <c r="AI656" s="71"/>
    </row>
    <row r="657" spans="1:35" x14ac:dyDescent="0.2">
      <c r="A657" s="71"/>
      <c r="B657" s="71"/>
      <c r="C657" s="71"/>
      <c r="D657" s="71"/>
      <c r="E657" s="71"/>
      <c r="F657" s="71"/>
      <c r="G657" s="71"/>
      <c r="H657" s="71"/>
      <c r="I657" s="71"/>
      <c r="J657" s="71"/>
      <c r="K657" s="71"/>
      <c r="L657" s="71"/>
      <c r="M657" s="71"/>
      <c r="N657" s="71"/>
      <c r="X657" s="71"/>
      <c r="Y657" s="71"/>
      <c r="Z657" s="71"/>
      <c r="AA657" s="71"/>
      <c r="AB657" s="71"/>
      <c r="AC657" s="71"/>
      <c r="AD657" s="71"/>
      <c r="AE657" s="71"/>
      <c r="AF657" s="71"/>
      <c r="AG657" s="71"/>
      <c r="AH657" s="71"/>
      <c r="AI657" s="71"/>
    </row>
    <row r="658" spans="1:35" x14ac:dyDescent="0.2">
      <c r="A658" s="71"/>
      <c r="B658" s="71"/>
      <c r="C658" s="71"/>
      <c r="D658" s="71"/>
      <c r="E658" s="71"/>
      <c r="F658" s="71"/>
      <c r="G658" s="71"/>
      <c r="H658" s="71"/>
      <c r="I658" s="71"/>
      <c r="J658" s="71"/>
      <c r="K658" s="71"/>
      <c r="L658" s="71"/>
      <c r="M658" s="71"/>
      <c r="N658" s="71"/>
      <c r="X658" s="71"/>
      <c r="Y658" s="71"/>
      <c r="Z658" s="71"/>
      <c r="AA658" s="71"/>
      <c r="AB658" s="71"/>
      <c r="AC658" s="71"/>
      <c r="AD658" s="71"/>
      <c r="AE658" s="71"/>
      <c r="AF658" s="71"/>
      <c r="AG658" s="71"/>
      <c r="AH658" s="71"/>
      <c r="AI658" s="71"/>
    </row>
    <row r="659" spans="1:35" x14ac:dyDescent="0.2">
      <c r="A659" s="71"/>
      <c r="B659" s="71"/>
      <c r="C659" s="71"/>
      <c r="D659" s="71"/>
      <c r="E659" s="71"/>
      <c r="F659" s="71"/>
      <c r="G659" s="71"/>
      <c r="H659" s="71"/>
      <c r="I659" s="71"/>
      <c r="J659" s="71"/>
      <c r="K659" s="71"/>
      <c r="L659" s="71"/>
      <c r="M659" s="71"/>
      <c r="N659" s="71"/>
      <c r="X659" s="71"/>
      <c r="Y659" s="71"/>
      <c r="Z659" s="71"/>
      <c r="AA659" s="71"/>
      <c r="AB659" s="71"/>
      <c r="AC659" s="71"/>
      <c r="AD659" s="71"/>
      <c r="AE659" s="71"/>
      <c r="AF659" s="71"/>
      <c r="AG659" s="71"/>
      <c r="AH659" s="71"/>
      <c r="AI659" s="71"/>
    </row>
    <row r="660" spans="1:35" x14ac:dyDescent="0.2">
      <c r="A660" s="71"/>
      <c r="B660" s="71"/>
      <c r="C660" s="71"/>
      <c r="D660" s="71"/>
      <c r="E660" s="71"/>
      <c r="F660" s="71"/>
      <c r="G660" s="71"/>
      <c r="H660" s="71"/>
      <c r="I660" s="71"/>
      <c r="J660" s="71"/>
      <c r="K660" s="71"/>
      <c r="L660" s="71"/>
      <c r="M660" s="71"/>
      <c r="N660" s="71"/>
      <c r="X660" s="71"/>
      <c r="Y660" s="71"/>
      <c r="Z660" s="71"/>
      <c r="AA660" s="71"/>
      <c r="AB660" s="71"/>
      <c r="AC660" s="71"/>
      <c r="AD660" s="71"/>
      <c r="AE660" s="71"/>
      <c r="AF660" s="71"/>
      <c r="AG660" s="71"/>
      <c r="AH660" s="71"/>
      <c r="AI660" s="71"/>
    </row>
    <row r="661" spans="1:35" x14ac:dyDescent="0.2">
      <c r="A661" s="71"/>
      <c r="B661" s="71"/>
      <c r="C661" s="71"/>
      <c r="D661" s="71"/>
      <c r="E661" s="71"/>
      <c r="F661" s="71"/>
      <c r="G661" s="71"/>
      <c r="H661" s="71"/>
      <c r="I661" s="71"/>
      <c r="J661" s="71"/>
      <c r="K661" s="71"/>
      <c r="L661" s="71"/>
      <c r="M661" s="71"/>
      <c r="N661" s="71"/>
      <c r="X661" s="71"/>
      <c r="Y661" s="71"/>
      <c r="Z661" s="71"/>
      <c r="AA661" s="71"/>
      <c r="AB661" s="71"/>
      <c r="AC661" s="71"/>
      <c r="AD661" s="71"/>
      <c r="AE661" s="71"/>
      <c r="AF661" s="71"/>
      <c r="AG661" s="71"/>
      <c r="AH661" s="71"/>
      <c r="AI661" s="71"/>
    </row>
    <row r="662" spans="1:35" x14ac:dyDescent="0.2">
      <c r="A662" s="71"/>
      <c r="B662" s="71"/>
      <c r="C662" s="71"/>
      <c r="D662" s="71"/>
      <c r="E662" s="71"/>
      <c r="F662" s="71"/>
      <c r="G662" s="71"/>
      <c r="H662" s="71"/>
      <c r="I662" s="71"/>
      <c r="J662" s="71"/>
      <c r="K662" s="71"/>
      <c r="L662" s="71"/>
      <c r="M662" s="71"/>
      <c r="N662" s="71"/>
      <c r="X662" s="71"/>
      <c r="Y662" s="71"/>
      <c r="Z662" s="71"/>
      <c r="AA662" s="71"/>
      <c r="AB662" s="71"/>
      <c r="AC662" s="71"/>
      <c r="AD662" s="71"/>
      <c r="AE662" s="71"/>
      <c r="AF662" s="71"/>
      <c r="AG662" s="71"/>
      <c r="AH662" s="71"/>
      <c r="AI662" s="71"/>
    </row>
    <row r="663" spans="1:35" x14ac:dyDescent="0.2">
      <c r="A663" s="71"/>
      <c r="B663" s="71"/>
      <c r="C663" s="71"/>
      <c r="D663" s="71"/>
      <c r="E663" s="71"/>
      <c r="F663" s="71"/>
      <c r="G663" s="71"/>
      <c r="H663" s="71"/>
      <c r="I663" s="71"/>
      <c r="J663" s="71"/>
      <c r="K663" s="71"/>
      <c r="L663" s="71"/>
      <c r="M663" s="71"/>
      <c r="N663" s="71"/>
      <c r="X663" s="71"/>
      <c r="Y663" s="71"/>
      <c r="Z663" s="71"/>
      <c r="AA663" s="71"/>
      <c r="AB663" s="71"/>
      <c r="AC663" s="71"/>
      <c r="AD663" s="71"/>
      <c r="AE663" s="71"/>
      <c r="AF663" s="71"/>
      <c r="AG663" s="71"/>
      <c r="AH663" s="71"/>
      <c r="AI663" s="71"/>
    </row>
    <row r="664" spans="1:35" x14ac:dyDescent="0.2">
      <c r="A664" s="71"/>
      <c r="B664" s="71"/>
      <c r="C664" s="71"/>
      <c r="D664" s="71"/>
      <c r="E664" s="71"/>
      <c r="F664" s="71"/>
      <c r="G664" s="71"/>
      <c r="H664" s="71"/>
      <c r="I664" s="71"/>
      <c r="J664" s="71"/>
      <c r="K664" s="71"/>
      <c r="L664" s="71"/>
      <c r="M664" s="71"/>
      <c r="N664" s="71"/>
      <c r="X664" s="71"/>
      <c r="Y664" s="71"/>
      <c r="Z664" s="71"/>
      <c r="AA664" s="71"/>
      <c r="AB664" s="71"/>
      <c r="AC664" s="71"/>
      <c r="AD664" s="71"/>
      <c r="AE664" s="71"/>
      <c r="AF664" s="71"/>
      <c r="AG664" s="71"/>
      <c r="AH664" s="71"/>
      <c r="AI664" s="71"/>
    </row>
    <row r="665" spans="1:35" x14ac:dyDescent="0.2">
      <c r="A665" s="71"/>
      <c r="B665" s="71"/>
      <c r="C665" s="71"/>
      <c r="D665" s="71"/>
      <c r="E665" s="71"/>
      <c r="F665" s="71"/>
      <c r="G665" s="71"/>
      <c r="H665" s="71"/>
      <c r="I665" s="71"/>
      <c r="J665" s="71"/>
      <c r="K665" s="71"/>
      <c r="L665" s="71"/>
      <c r="M665" s="71"/>
      <c r="N665" s="71"/>
      <c r="X665" s="71"/>
      <c r="Y665" s="71"/>
      <c r="Z665" s="71"/>
      <c r="AA665" s="71"/>
      <c r="AB665" s="71"/>
      <c r="AC665" s="71"/>
      <c r="AD665" s="71"/>
      <c r="AE665" s="71"/>
      <c r="AF665" s="71"/>
      <c r="AG665" s="71"/>
      <c r="AH665" s="71"/>
      <c r="AI665" s="71"/>
    </row>
    <row r="666" spans="1:35" x14ac:dyDescent="0.2">
      <c r="A666" s="71"/>
      <c r="B666" s="71"/>
      <c r="C666" s="71"/>
      <c r="D666" s="71"/>
      <c r="E666" s="71"/>
      <c r="F666" s="71"/>
      <c r="G666" s="71"/>
      <c r="H666" s="71"/>
      <c r="I666" s="71"/>
      <c r="J666" s="71"/>
      <c r="K666" s="71"/>
      <c r="L666" s="71"/>
      <c r="M666" s="71"/>
      <c r="N666" s="71"/>
      <c r="X666" s="71"/>
      <c r="Y666" s="71"/>
      <c r="Z666" s="71"/>
      <c r="AA666" s="71"/>
      <c r="AB666" s="71"/>
      <c r="AC666" s="71"/>
      <c r="AD666" s="71"/>
      <c r="AE666" s="71"/>
      <c r="AF666" s="71"/>
      <c r="AG666" s="71"/>
      <c r="AH666" s="71"/>
      <c r="AI666" s="71"/>
    </row>
    <row r="667" spans="1:35" x14ac:dyDescent="0.2">
      <c r="A667" s="71"/>
      <c r="B667" s="71"/>
      <c r="C667" s="71"/>
      <c r="D667" s="71"/>
      <c r="E667" s="71"/>
      <c r="F667" s="71"/>
      <c r="G667" s="71"/>
      <c r="H667" s="71"/>
      <c r="I667" s="71"/>
      <c r="J667" s="71"/>
      <c r="K667" s="71"/>
      <c r="L667" s="71"/>
      <c r="M667" s="71"/>
      <c r="N667" s="71"/>
      <c r="X667" s="71"/>
      <c r="Y667" s="71"/>
      <c r="Z667" s="71"/>
      <c r="AA667" s="71"/>
      <c r="AB667" s="71"/>
      <c r="AC667" s="71"/>
      <c r="AD667" s="71"/>
      <c r="AE667" s="71"/>
      <c r="AF667" s="71"/>
      <c r="AG667" s="71"/>
      <c r="AH667" s="71"/>
      <c r="AI667" s="71"/>
    </row>
    <row r="668" spans="1:35" x14ac:dyDescent="0.2">
      <c r="A668" s="71"/>
      <c r="B668" s="71"/>
      <c r="C668" s="71"/>
      <c r="D668" s="71"/>
      <c r="E668" s="71"/>
      <c r="F668" s="71"/>
      <c r="G668" s="71"/>
      <c r="H668" s="71"/>
      <c r="I668" s="71"/>
      <c r="J668" s="71"/>
      <c r="K668" s="71"/>
      <c r="L668" s="71"/>
      <c r="M668" s="71"/>
      <c r="N668" s="71"/>
      <c r="X668" s="71"/>
      <c r="Y668" s="71"/>
      <c r="Z668" s="71"/>
      <c r="AA668" s="71"/>
      <c r="AB668" s="71"/>
      <c r="AC668" s="71"/>
      <c r="AD668" s="71"/>
      <c r="AE668" s="71"/>
      <c r="AF668" s="71"/>
      <c r="AG668" s="71"/>
      <c r="AH668" s="71"/>
      <c r="AI668" s="71"/>
    </row>
    <row r="669" spans="1:35" x14ac:dyDescent="0.2">
      <c r="A669" s="71"/>
      <c r="B669" s="71"/>
      <c r="C669" s="71"/>
      <c r="D669" s="71"/>
      <c r="E669" s="71"/>
      <c r="F669" s="71"/>
      <c r="G669" s="71"/>
      <c r="H669" s="71"/>
      <c r="I669" s="71"/>
      <c r="J669" s="71"/>
      <c r="K669" s="71"/>
      <c r="L669" s="71"/>
      <c r="M669" s="71"/>
      <c r="N669" s="71"/>
      <c r="X669" s="71"/>
      <c r="Y669" s="71"/>
      <c r="Z669" s="71"/>
      <c r="AA669" s="71"/>
      <c r="AB669" s="71"/>
      <c r="AC669" s="71"/>
      <c r="AD669" s="71"/>
      <c r="AE669" s="71"/>
      <c r="AF669" s="71"/>
      <c r="AG669" s="71"/>
      <c r="AH669" s="71"/>
      <c r="AI669" s="71"/>
    </row>
    <row r="670" spans="1:35" x14ac:dyDescent="0.2">
      <c r="A670" s="71"/>
      <c r="B670" s="71"/>
      <c r="C670" s="71"/>
      <c r="D670" s="71"/>
      <c r="E670" s="71"/>
      <c r="F670" s="71"/>
      <c r="G670" s="71"/>
      <c r="H670" s="71"/>
      <c r="I670" s="71"/>
      <c r="J670" s="71"/>
      <c r="K670" s="71"/>
      <c r="L670" s="71"/>
      <c r="M670" s="71"/>
      <c r="N670" s="71"/>
      <c r="X670" s="71"/>
      <c r="Y670" s="71"/>
      <c r="Z670" s="71"/>
      <c r="AA670" s="71"/>
      <c r="AB670" s="71"/>
      <c r="AC670" s="71"/>
      <c r="AD670" s="71"/>
      <c r="AE670" s="71"/>
      <c r="AF670" s="71"/>
      <c r="AG670" s="71"/>
      <c r="AH670" s="71"/>
      <c r="AI670" s="71"/>
    </row>
    <row r="671" spans="1:35" x14ac:dyDescent="0.2">
      <c r="A671" s="71"/>
      <c r="B671" s="71"/>
      <c r="C671" s="71"/>
      <c r="D671" s="71"/>
      <c r="E671" s="71"/>
      <c r="F671" s="71"/>
      <c r="G671" s="71"/>
      <c r="H671" s="71"/>
      <c r="I671" s="71"/>
      <c r="J671" s="71"/>
      <c r="K671" s="71"/>
      <c r="L671" s="71"/>
      <c r="M671" s="71"/>
      <c r="N671" s="71"/>
      <c r="X671" s="71"/>
      <c r="Y671" s="71"/>
      <c r="Z671" s="71"/>
      <c r="AA671" s="71"/>
      <c r="AB671" s="71"/>
      <c r="AC671" s="71"/>
      <c r="AD671" s="71"/>
      <c r="AE671" s="71"/>
      <c r="AF671" s="71"/>
      <c r="AG671" s="71"/>
      <c r="AH671" s="71"/>
      <c r="AI671" s="71"/>
    </row>
    <row r="672" spans="1:35" x14ac:dyDescent="0.2">
      <c r="A672" s="71"/>
      <c r="B672" s="71"/>
      <c r="C672" s="71"/>
      <c r="D672" s="71"/>
      <c r="E672" s="71"/>
      <c r="F672" s="71"/>
      <c r="G672" s="71"/>
      <c r="H672" s="71"/>
      <c r="I672" s="71"/>
      <c r="J672" s="71"/>
      <c r="K672" s="71"/>
      <c r="L672" s="71"/>
      <c r="M672" s="71"/>
      <c r="N672" s="71"/>
      <c r="X672" s="71"/>
      <c r="Y672" s="71"/>
      <c r="Z672" s="71"/>
      <c r="AA672" s="71"/>
      <c r="AB672" s="71"/>
      <c r="AC672" s="71"/>
      <c r="AD672" s="71"/>
      <c r="AE672" s="71"/>
      <c r="AF672" s="71"/>
      <c r="AG672" s="71"/>
      <c r="AH672" s="71"/>
      <c r="AI672" s="71"/>
    </row>
    <row r="673" spans="1:36" x14ac:dyDescent="0.2">
      <c r="A673" s="71"/>
      <c r="B673" s="71"/>
      <c r="C673" s="71"/>
      <c r="D673" s="71"/>
      <c r="E673" s="71"/>
      <c r="F673" s="71"/>
      <c r="G673" s="71"/>
      <c r="H673" s="71"/>
      <c r="I673" s="71"/>
      <c r="J673" s="71"/>
      <c r="K673" s="71"/>
      <c r="L673" s="71"/>
      <c r="M673" s="71"/>
      <c r="N673" s="71"/>
      <c r="X673" s="71"/>
      <c r="Y673" s="71"/>
      <c r="Z673" s="71"/>
      <c r="AA673" s="71"/>
      <c r="AB673" s="71"/>
      <c r="AC673" s="71"/>
      <c r="AD673" s="71"/>
      <c r="AE673" s="71"/>
      <c r="AF673" s="71"/>
      <c r="AG673" s="71"/>
      <c r="AH673" s="71"/>
      <c r="AI673" s="71"/>
    </row>
    <row r="674" spans="1:36" x14ac:dyDescent="0.2">
      <c r="A674" s="71"/>
      <c r="B674" s="71"/>
      <c r="C674" s="71"/>
      <c r="D674" s="71"/>
      <c r="E674" s="71"/>
      <c r="F674" s="71"/>
      <c r="G674" s="71"/>
      <c r="H674" s="71"/>
      <c r="I674" s="71"/>
      <c r="J674" s="71"/>
      <c r="K674" s="71"/>
      <c r="L674" s="71"/>
      <c r="M674" s="71"/>
      <c r="N674" s="71"/>
      <c r="X674" s="71"/>
      <c r="Y674" s="71"/>
      <c r="Z674" s="71"/>
      <c r="AA674" s="71"/>
      <c r="AB674" s="71"/>
      <c r="AC674" s="71"/>
      <c r="AD674" s="71"/>
      <c r="AE674" s="71"/>
      <c r="AF674" s="71"/>
      <c r="AG674" s="71"/>
      <c r="AH674" s="71"/>
      <c r="AI674" s="71"/>
    </row>
    <row r="675" spans="1:36" x14ac:dyDescent="0.2">
      <c r="A675" s="71"/>
      <c r="B675" s="71"/>
      <c r="C675" s="71"/>
      <c r="D675" s="71"/>
      <c r="E675" s="71"/>
      <c r="F675" s="71"/>
      <c r="G675" s="71"/>
      <c r="H675" s="71"/>
      <c r="I675" s="71"/>
      <c r="J675" s="71"/>
      <c r="K675" s="71"/>
      <c r="L675" s="71"/>
      <c r="M675" s="71"/>
      <c r="N675" s="71"/>
      <c r="X675" s="71"/>
      <c r="Y675" s="71"/>
      <c r="Z675" s="71"/>
      <c r="AA675" s="71"/>
      <c r="AB675" s="71"/>
      <c r="AC675" s="71"/>
      <c r="AD675" s="71"/>
      <c r="AE675" s="71"/>
      <c r="AF675" s="71"/>
      <c r="AG675" s="71"/>
      <c r="AH675" s="71"/>
      <c r="AI675" s="71"/>
    </row>
    <row r="676" spans="1:36" x14ac:dyDescent="0.2">
      <c r="A676" s="71"/>
      <c r="B676" s="71"/>
      <c r="C676" s="71"/>
      <c r="D676" s="71"/>
      <c r="E676" s="71"/>
      <c r="F676" s="71"/>
      <c r="G676" s="71"/>
      <c r="H676" s="71"/>
      <c r="I676" s="71"/>
      <c r="J676" s="71"/>
      <c r="K676" s="71"/>
      <c r="L676" s="71"/>
      <c r="M676" s="71"/>
      <c r="N676" s="71"/>
      <c r="X676" s="71"/>
      <c r="Y676" s="71"/>
      <c r="Z676" s="71"/>
      <c r="AA676" s="71"/>
      <c r="AB676" s="71"/>
      <c r="AC676" s="71"/>
      <c r="AD676" s="71"/>
      <c r="AE676" s="71"/>
      <c r="AF676" s="71"/>
      <c r="AG676" s="71"/>
      <c r="AH676" s="71"/>
      <c r="AI676" s="71"/>
      <c r="AJ676" s="71"/>
    </row>
    <row r="677" spans="1:36" x14ac:dyDescent="0.2">
      <c r="A677" s="71"/>
      <c r="B677" s="71"/>
      <c r="C677" s="71"/>
      <c r="D677" s="71"/>
      <c r="E677" s="71"/>
      <c r="F677" s="71"/>
      <c r="G677" s="71"/>
      <c r="H677" s="71"/>
      <c r="I677" s="71"/>
      <c r="J677" s="71"/>
      <c r="K677" s="71"/>
      <c r="L677" s="71"/>
      <c r="M677" s="71"/>
      <c r="N677" s="71"/>
      <c r="X677" s="71"/>
      <c r="Y677" s="71"/>
      <c r="Z677" s="71"/>
      <c r="AA677" s="71"/>
      <c r="AB677" s="71"/>
      <c r="AC677" s="71"/>
      <c r="AD677" s="71"/>
      <c r="AE677" s="71"/>
      <c r="AF677" s="71"/>
      <c r="AG677" s="71"/>
      <c r="AH677" s="71"/>
      <c r="AI677" s="71"/>
    </row>
    <row r="678" spans="1:36" x14ac:dyDescent="0.2">
      <c r="A678" s="71"/>
      <c r="B678" s="71"/>
      <c r="C678" s="71"/>
      <c r="D678" s="71"/>
      <c r="E678" s="71"/>
      <c r="F678" s="71"/>
      <c r="G678" s="71"/>
      <c r="H678" s="71"/>
      <c r="I678" s="71"/>
      <c r="J678" s="71"/>
      <c r="K678" s="71"/>
      <c r="L678" s="71"/>
      <c r="M678" s="71"/>
      <c r="N678" s="71"/>
      <c r="X678" s="71"/>
      <c r="Y678" s="71"/>
      <c r="Z678" s="71"/>
      <c r="AA678" s="71"/>
      <c r="AB678" s="71"/>
      <c r="AC678" s="71"/>
      <c r="AD678" s="71"/>
      <c r="AE678" s="71"/>
      <c r="AF678" s="71"/>
      <c r="AG678" s="71"/>
      <c r="AH678" s="71"/>
      <c r="AI678" s="71"/>
    </row>
    <row r="679" spans="1:36" x14ac:dyDescent="0.2">
      <c r="A679" s="71"/>
      <c r="B679" s="71"/>
      <c r="C679" s="71"/>
      <c r="D679" s="71"/>
      <c r="E679" s="71"/>
      <c r="F679" s="71"/>
      <c r="G679" s="71"/>
      <c r="H679" s="71"/>
      <c r="I679" s="71"/>
      <c r="J679" s="71"/>
      <c r="K679" s="71"/>
      <c r="L679" s="71"/>
      <c r="M679" s="71"/>
      <c r="N679" s="71"/>
      <c r="X679" s="71"/>
      <c r="Y679" s="71"/>
      <c r="Z679" s="71"/>
      <c r="AA679" s="71"/>
      <c r="AB679" s="71"/>
      <c r="AC679" s="71"/>
      <c r="AD679" s="71"/>
      <c r="AE679" s="71"/>
      <c r="AF679" s="71"/>
      <c r="AG679" s="71"/>
      <c r="AH679" s="71"/>
      <c r="AI679" s="71"/>
    </row>
    <row r="680" spans="1:36" x14ac:dyDescent="0.2">
      <c r="A680" s="71"/>
      <c r="B680" s="71"/>
      <c r="C680" s="71"/>
      <c r="D680" s="71"/>
      <c r="E680" s="71"/>
      <c r="F680" s="71"/>
      <c r="G680" s="71"/>
      <c r="H680" s="71"/>
      <c r="I680" s="71"/>
      <c r="J680" s="71"/>
      <c r="K680" s="71"/>
      <c r="L680" s="71"/>
      <c r="M680" s="71"/>
      <c r="N680" s="71"/>
      <c r="X680" s="71"/>
      <c r="Y680" s="71"/>
      <c r="Z680" s="71"/>
      <c r="AA680" s="71"/>
      <c r="AB680" s="71"/>
      <c r="AC680" s="71"/>
      <c r="AD680" s="71"/>
      <c r="AE680" s="71"/>
      <c r="AF680" s="71"/>
      <c r="AG680" s="71"/>
      <c r="AH680" s="71"/>
      <c r="AI680" s="71"/>
    </row>
    <row r="681" spans="1:36" x14ac:dyDescent="0.2">
      <c r="A681" s="71"/>
      <c r="B681" s="71"/>
      <c r="C681" s="71"/>
      <c r="D681" s="71"/>
      <c r="E681" s="71"/>
      <c r="F681" s="71"/>
      <c r="G681" s="71"/>
      <c r="H681" s="71"/>
      <c r="I681" s="71"/>
      <c r="J681" s="71"/>
      <c r="K681" s="71"/>
      <c r="L681" s="71"/>
      <c r="M681" s="71"/>
      <c r="N681" s="71"/>
      <c r="X681" s="71"/>
      <c r="Y681" s="71"/>
      <c r="Z681" s="71"/>
      <c r="AA681" s="71"/>
      <c r="AB681" s="71"/>
      <c r="AC681" s="71"/>
      <c r="AD681" s="71"/>
      <c r="AE681" s="71"/>
      <c r="AF681" s="71"/>
      <c r="AG681" s="71"/>
      <c r="AH681" s="71"/>
      <c r="AI681" s="71"/>
    </row>
    <row r="682" spans="1:36" x14ac:dyDescent="0.2">
      <c r="A682" s="71"/>
      <c r="B682" s="71"/>
      <c r="C682" s="71"/>
      <c r="D682" s="71"/>
      <c r="E682" s="71"/>
      <c r="F682" s="71"/>
      <c r="G682" s="71"/>
      <c r="H682" s="71"/>
      <c r="I682" s="71"/>
      <c r="J682" s="71"/>
      <c r="K682" s="71"/>
      <c r="L682" s="71"/>
      <c r="M682" s="71"/>
      <c r="N682" s="71"/>
      <c r="X682" s="71"/>
      <c r="Y682" s="71"/>
      <c r="Z682" s="71"/>
      <c r="AA682" s="71"/>
      <c r="AB682" s="71"/>
      <c r="AC682" s="71"/>
      <c r="AD682" s="71"/>
      <c r="AE682" s="71"/>
      <c r="AF682" s="71"/>
      <c r="AG682" s="71"/>
      <c r="AH682" s="71"/>
      <c r="AI682" s="71"/>
    </row>
    <row r="683" spans="1:36" x14ac:dyDescent="0.2">
      <c r="A683" s="71"/>
      <c r="B683" s="71"/>
      <c r="C683" s="71"/>
      <c r="D683" s="71"/>
      <c r="E683" s="71"/>
      <c r="F683" s="71"/>
      <c r="G683" s="71"/>
      <c r="H683" s="71"/>
      <c r="I683" s="71"/>
      <c r="J683" s="71"/>
      <c r="K683" s="71"/>
      <c r="L683" s="71"/>
      <c r="M683" s="71"/>
      <c r="N683" s="71"/>
      <c r="X683" s="71"/>
      <c r="Y683" s="71"/>
      <c r="Z683" s="71"/>
      <c r="AA683" s="71"/>
      <c r="AB683" s="71"/>
      <c r="AC683" s="71"/>
      <c r="AD683" s="71"/>
      <c r="AE683" s="71"/>
      <c r="AF683" s="71"/>
      <c r="AG683" s="71"/>
      <c r="AH683" s="71"/>
      <c r="AI683" s="71"/>
    </row>
    <row r="684" spans="1:36" x14ac:dyDescent="0.2">
      <c r="A684" s="71"/>
      <c r="B684" s="71"/>
      <c r="C684" s="71"/>
      <c r="D684" s="71"/>
      <c r="E684" s="71"/>
      <c r="F684" s="71"/>
      <c r="G684" s="71"/>
      <c r="H684" s="71"/>
      <c r="I684" s="71"/>
      <c r="J684" s="71"/>
      <c r="K684" s="71"/>
      <c r="L684" s="71"/>
      <c r="M684" s="71"/>
      <c r="N684" s="71"/>
      <c r="X684" s="71"/>
      <c r="Y684" s="71"/>
      <c r="Z684" s="71"/>
      <c r="AA684" s="71"/>
      <c r="AB684" s="71"/>
      <c r="AC684" s="71"/>
      <c r="AD684" s="71"/>
      <c r="AE684" s="71"/>
      <c r="AF684" s="71"/>
      <c r="AG684" s="71"/>
      <c r="AH684" s="71"/>
      <c r="AI684" s="71"/>
    </row>
    <row r="685" spans="1:36" x14ac:dyDescent="0.2">
      <c r="A685" s="71"/>
      <c r="B685" s="71"/>
      <c r="C685" s="71"/>
      <c r="D685" s="71"/>
      <c r="E685" s="71"/>
      <c r="F685" s="71"/>
      <c r="G685" s="71"/>
      <c r="H685" s="71"/>
      <c r="I685" s="71"/>
      <c r="J685" s="71"/>
      <c r="K685" s="71"/>
      <c r="L685" s="71"/>
      <c r="M685" s="71"/>
      <c r="N685" s="71"/>
      <c r="X685" s="71"/>
      <c r="Y685" s="71"/>
      <c r="Z685" s="71"/>
      <c r="AA685" s="71"/>
      <c r="AB685" s="71"/>
      <c r="AC685" s="71"/>
      <c r="AD685" s="71"/>
      <c r="AE685" s="71"/>
      <c r="AF685" s="71"/>
      <c r="AG685" s="71"/>
      <c r="AH685" s="71"/>
      <c r="AI685" s="71"/>
    </row>
    <row r="686" spans="1:36" x14ac:dyDescent="0.2">
      <c r="A686" s="71"/>
      <c r="B686" s="71"/>
      <c r="C686" s="71"/>
      <c r="D686" s="71"/>
      <c r="E686" s="71"/>
      <c r="F686" s="71"/>
      <c r="G686" s="71"/>
      <c r="H686" s="71"/>
      <c r="I686" s="71"/>
      <c r="J686" s="71"/>
      <c r="K686" s="71"/>
      <c r="L686" s="71"/>
      <c r="M686" s="71"/>
      <c r="N686" s="71"/>
      <c r="X686" s="71"/>
      <c r="Y686" s="71"/>
      <c r="Z686" s="71"/>
      <c r="AA686" s="71"/>
      <c r="AB686" s="71"/>
      <c r="AC686" s="71"/>
      <c r="AD686" s="71"/>
      <c r="AE686" s="71"/>
      <c r="AF686" s="71"/>
      <c r="AG686" s="71"/>
      <c r="AH686" s="71"/>
      <c r="AI686" s="71"/>
    </row>
    <row r="687" spans="1:36" x14ac:dyDescent="0.2">
      <c r="A687" s="71"/>
      <c r="B687" s="71"/>
      <c r="C687" s="71"/>
      <c r="D687" s="71"/>
      <c r="E687" s="71"/>
      <c r="F687" s="71"/>
      <c r="G687" s="71"/>
      <c r="H687" s="71"/>
      <c r="I687" s="71"/>
      <c r="J687" s="71"/>
      <c r="K687" s="71"/>
      <c r="L687" s="71"/>
      <c r="M687" s="71"/>
      <c r="N687" s="71"/>
      <c r="X687" s="71"/>
      <c r="Y687" s="71"/>
      <c r="Z687" s="71"/>
      <c r="AA687" s="71"/>
      <c r="AB687" s="71"/>
      <c r="AC687" s="71"/>
      <c r="AD687" s="71"/>
      <c r="AE687" s="71"/>
      <c r="AF687" s="71"/>
      <c r="AG687" s="71"/>
      <c r="AH687" s="71"/>
      <c r="AI687" s="71"/>
    </row>
    <row r="688" spans="1:36" x14ac:dyDescent="0.2">
      <c r="A688" s="71"/>
      <c r="B688" s="71"/>
      <c r="C688" s="71"/>
      <c r="D688" s="71"/>
      <c r="E688" s="71"/>
      <c r="F688" s="71"/>
      <c r="G688" s="71"/>
      <c r="H688" s="71"/>
      <c r="I688" s="71"/>
      <c r="J688" s="71"/>
      <c r="K688" s="71"/>
      <c r="L688" s="71"/>
      <c r="M688" s="71"/>
      <c r="N688" s="71"/>
      <c r="O688" s="71"/>
      <c r="P688" s="71"/>
      <c r="X688" s="71"/>
      <c r="Y688" s="71"/>
      <c r="Z688" s="71"/>
      <c r="AA688" s="71"/>
      <c r="AB688" s="71"/>
      <c r="AC688" s="71"/>
      <c r="AD688" s="71"/>
      <c r="AE688" s="71"/>
      <c r="AF688" s="71"/>
      <c r="AG688" s="71"/>
      <c r="AH688" s="71"/>
      <c r="AI688" s="71"/>
    </row>
    <row r="689" spans="1:35" x14ac:dyDescent="0.2">
      <c r="A689" s="71"/>
      <c r="B689" s="71"/>
      <c r="C689" s="71"/>
      <c r="D689" s="71"/>
      <c r="E689" s="71"/>
      <c r="F689" s="71"/>
      <c r="G689" s="71"/>
      <c r="H689" s="71"/>
      <c r="I689" s="71"/>
      <c r="J689" s="71"/>
      <c r="K689" s="71"/>
      <c r="L689" s="71"/>
      <c r="M689" s="71"/>
      <c r="N689" s="71"/>
      <c r="X689" s="71"/>
      <c r="Y689" s="71"/>
      <c r="Z689" s="71"/>
      <c r="AA689" s="71"/>
      <c r="AB689" s="71"/>
      <c r="AC689" s="71"/>
      <c r="AD689" s="71"/>
      <c r="AE689" s="71"/>
      <c r="AF689" s="71"/>
      <c r="AG689" s="71"/>
      <c r="AH689" s="71"/>
      <c r="AI689" s="71"/>
    </row>
    <row r="690" spans="1:35" x14ac:dyDescent="0.2">
      <c r="A690" s="71"/>
      <c r="B690" s="71"/>
      <c r="C690" s="71"/>
      <c r="D690" s="71"/>
      <c r="E690" s="71"/>
      <c r="F690" s="71"/>
      <c r="G690" s="71"/>
      <c r="H690" s="71"/>
      <c r="I690" s="71"/>
      <c r="J690" s="71"/>
      <c r="K690" s="71"/>
      <c r="L690" s="71"/>
      <c r="M690" s="71"/>
      <c r="N690" s="71"/>
      <c r="X690" s="71"/>
      <c r="Y690" s="71"/>
      <c r="Z690" s="71"/>
      <c r="AA690" s="71"/>
      <c r="AB690" s="71"/>
      <c r="AC690" s="71"/>
      <c r="AD690" s="71"/>
      <c r="AE690" s="71"/>
      <c r="AF690" s="71"/>
      <c r="AG690" s="71"/>
      <c r="AH690" s="71"/>
      <c r="AI690" s="71"/>
    </row>
    <row r="691" spans="1:35" x14ac:dyDescent="0.2">
      <c r="A691" s="71"/>
      <c r="B691" s="71"/>
      <c r="C691" s="71"/>
      <c r="D691" s="71"/>
      <c r="E691" s="71"/>
      <c r="F691" s="71"/>
      <c r="G691" s="71"/>
      <c r="H691" s="71"/>
      <c r="I691" s="71"/>
      <c r="J691" s="71"/>
      <c r="K691" s="71"/>
      <c r="L691" s="71"/>
      <c r="M691" s="71"/>
      <c r="N691" s="71"/>
      <c r="X691" s="71"/>
      <c r="Y691" s="71"/>
      <c r="Z691" s="71"/>
      <c r="AA691" s="71"/>
      <c r="AB691" s="71"/>
      <c r="AC691" s="71"/>
      <c r="AD691" s="71"/>
      <c r="AE691" s="71"/>
      <c r="AF691" s="71"/>
      <c r="AG691" s="71"/>
      <c r="AH691" s="71"/>
      <c r="AI691" s="71"/>
    </row>
    <row r="692" spans="1:35" x14ac:dyDescent="0.2">
      <c r="A692" s="71"/>
      <c r="B692" s="71"/>
      <c r="C692" s="71"/>
      <c r="D692" s="71"/>
      <c r="E692" s="71"/>
      <c r="F692" s="71"/>
      <c r="G692" s="71"/>
      <c r="H692" s="71"/>
      <c r="I692" s="71"/>
      <c r="J692" s="71"/>
      <c r="K692" s="71"/>
      <c r="L692" s="71"/>
      <c r="M692" s="71"/>
      <c r="N692" s="71"/>
      <c r="X692" s="71"/>
      <c r="Y692" s="71"/>
      <c r="Z692" s="71"/>
      <c r="AA692" s="71"/>
      <c r="AB692" s="71"/>
      <c r="AC692" s="71"/>
      <c r="AD692" s="71"/>
      <c r="AE692" s="71"/>
      <c r="AF692" s="71"/>
      <c r="AG692" s="71"/>
      <c r="AH692" s="71"/>
      <c r="AI692" s="71"/>
    </row>
    <row r="693" spans="1:35" x14ac:dyDescent="0.2">
      <c r="A693" s="71"/>
      <c r="B693" s="71"/>
      <c r="C693" s="71"/>
      <c r="D693" s="71"/>
      <c r="E693" s="71"/>
      <c r="F693" s="71"/>
      <c r="G693" s="71"/>
      <c r="H693" s="71"/>
      <c r="I693" s="71"/>
      <c r="J693" s="71"/>
      <c r="K693" s="71"/>
      <c r="L693" s="71"/>
      <c r="M693" s="71"/>
      <c r="N693" s="71"/>
      <c r="X693" s="71"/>
      <c r="Y693" s="71"/>
      <c r="Z693" s="71"/>
      <c r="AA693" s="71"/>
      <c r="AB693" s="71"/>
      <c r="AC693" s="71"/>
      <c r="AD693" s="71"/>
      <c r="AE693" s="71"/>
      <c r="AF693" s="71"/>
      <c r="AG693" s="71"/>
      <c r="AH693" s="71"/>
      <c r="AI693" s="71"/>
    </row>
    <row r="694" spans="1:35" x14ac:dyDescent="0.2">
      <c r="A694" s="71"/>
      <c r="B694" s="71"/>
      <c r="C694" s="71"/>
      <c r="D694" s="71"/>
      <c r="E694" s="71"/>
      <c r="F694" s="71"/>
      <c r="G694" s="71"/>
      <c r="H694" s="71"/>
      <c r="I694" s="71"/>
      <c r="J694" s="71"/>
      <c r="K694" s="71"/>
      <c r="L694" s="71"/>
      <c r="M694" s="71"/>
      <c r="N694" s="71"/>
      <c r="X694" s="71"/>
      <c r="Y694" s="71"/>
      <c r="Z694" s="71"/>
      <c r="AA694" s="71"/>
      <c r="AB694" s="71"/>
      <c r="AC694" s="71"/>
      <c r="AD694" s="71"/>
      <c r="AE694" s="71"/>
      <c r="AF694" s="71"/>
      <c r="AG694" s="71"/>
      <c r="AH694" s="71"/>
      <c r="AI694" s="71"/>
    </row>
    <row r="695" spans="1:35" x14ac:dyDescent="0.2">
      <c r="A695" s="71"/>
      <c r="B695" s="71"/>
      <c r="C695" s="71"/>
      <c r="D695" s="71"/>
      <c r="E695" s="71"/>
      <c r="F695" s="71"/>
      <c r="G695" s="71"/>
      <c r="H695" s="71"/>
      <c r="I695" s="71"/>
      <c r="J695" s="71"/>
      <c r="K695" s="71"/>
      <c r="L695" s="71"/>
      <c r="M695" s="71"/>
      <c r="N695" s="71"/>
      <c r="X695" s="71"/>
      <c r="Y695" s="71"/>
      <c r="Z695" s="71"/>
      <c r="AA695" s="71"/>
      <c r="AB695" s="71"/>
      <c r="AC695" s="71"/>
      <c r="AD695" s="71"/>
      <c r="AE695" s="71"/>
      <c r="AF695" s="71"/>
      <c r="AG695" s="71"/>
      <c r="AH695" s="71"/>
      <c r="AI695" s="71"/>
    </row>
    <row r="696" spans="1:35" x14ac:dyDescent="0.2">
      <c r="A696" s="71"/>
      <c r="B696" s="71"/>
      <c r="C696" s="71"/>
      <c r="D696" s="71"/>
      <c r="E696" s="71"/>
      <c r="F696" s="71"/>
      <c r="G696" s="71"/>
      <c r="H696" s="71"/>
      <c r="I696" s="71"/>
      <c r="J696" s="71"/>
      <c r="K696" s="71"/>
      <c r="L696" s="71"/>
      <c r="M696" s="71"/>
      <c r="N696" s="71"/>
      <c r="X696" s="71"/>
      <c r="Y696" s="71"/>
      <c r="Z696" s="71"/>
      <c r="AA696" s="71"/>
      <c r="AB696" s="71"/>
      <c r="AC696" s="71"/>
      <c r="AD696" s="71"/>
      <c r="AE696" s="71"/>
      <c r="AF696" s="71"/>
      <c r="AG696" s="71"/>
      <c r="AH696" s="71"/>
      <c r="AI696" s="71"/>
    </row>
    <row r="697" spans="1:35" x14ac:dyDescent="0.2">
      <c r="A697" s="71"/>
      <c r="B697" s="71"/>
      <c r="C697" s="71"/>
      <c r="D697" s="71"/>
      <c r="E697" s="71"/>
      <c r="F697" s="71"/>
      <c r="G697" s="71"/>
      <c r="H697" s="71"/>
      <c r="I697" s="71"/>
      <c r="J697" s="71"/>
      <c r="K697" s="71"/>
      <c r="L697" s="71"/>
      <c r="M697" s="71"/>
      <c r="N697" s="71"/>
      <c r="X697" s="71"/>
      <c r="Y697" s="71"/>
      <c r="Z697" s="71"/>
      <c r="AA697" s="71"/>
      <c r="AB697" s="71"/>
      <c r="AC697" s="71"/>
      <c r="AD697" s="71"/>
      <c r="AE697" s="71"/>
      <c r="AF697" s="71"/>
      <c r="AG697" s="71"/>
      <c r="AH697" s="71"/>
      <c r="AI697" s="71"/>
    </row>
    <row r="698" spans="1:35" x14ac:dyDescent="0.2">
      <c r="A698" s="71"/>
      <c r="B698" s="71"/>
      <c r="C698" s="71"/>
      <c r="D698" s="71"/>
      <c r="E698" s="71"/>
      <c r="F698" s="71"/>
      <c r="G698" s="71"/>
      <c r="H698" s="71"/>
      <c r="I698" s="71"/>
      <c r="J698" s="71"/>
      <c r="K698" s="71"/>
      <c r="L698" s="71"/>
      <c r="M698" s="71"/>
      <c r="N698" s="71"/>
      <c r="X698" s="71"/>
      <c r="Y698" s="71"/>
      <c r="Z698" s="71"/>
      <c r="AA698" s="71"/>
      <c r="AB698" s="71"/>
      <c r="AC698" s="71"/>
      <c r="AD698" s="71"/>
      <c r="AE698" s="71"/>
      <c r="AF698" s="71"/>
      <c r="AG698" s="71"/>
      <c r="AH698" s="71"/>
      <c r="AI698" s="71"/>
    </row>
    <row r="699" spans="1:35" x14ac:dyDescent="0.2">
      <c r="A699" s="71"/>
      <c r="B699" s="71"/>
      <c r="C699" s="71"/>
      <c r="D699" s="71"/>
      <c r="E699" s="71"/>
      <c r="F699" s="71"/>
      <c r="G699" s="71"/>
      <c r="H699" s="71"/>
      <c r="I699" s="71"/>
      <c r="J699" s="71"/>
      <c r="K699" s="71"/>
      <c r="L699" s="71"/>
      <c r="M699" s="71"/>
      <c r="N699" s="71"/>
      <c r="X699" s="71"/>
      <c r="Y699" s="71"/>
      <c r="Z699" s="71"/>
      <c r="AA699" s="71"/>
      <c r="AB699" s="71"/>
      <c r="AC699" s="71"/>
      <c r="AD699" s="71"/>
      <c r="AE699" s="71"/>
      <c r="AF699" s="71"/>
      <c r="AG699" s="71"/>
      <c r="AH699" s="71"/>
      <c r="AI699" s="71"/>
    </row>
    <row r="700" spans="1:35" x14ac:dyDescent="0.2">
      <c r="A700" s="71"/>
      <c r="B700" s="71"/>
      <c r="C700" s="71"/>
      <c r="D700" s="71"/>
      <c r="E700" s="71"/>
      <c r="F700" s="71"/>
      <c r="G700" s="71"/>
      <c r="H700" s="71"/>
      <c r="I700" s="71"/>
      <c r="J700" s="71"/>
      <c r="K700" s="71"/>
      <c r="L700" s="71"/>
      <c r="M700" s="71"/>
      <c r="N700" s="71"/>
      <c r="X700" s="71"/>
      <c r="Y700" s="71"/>
      <c r="Z700" s="71"/>
      <c r="AA700" s="71"/>
      <c r="AB700" s="71"/>
      <c r="AC700" s="71"/>
      <c r="AD700" s="71"/>
      <c r="AE700" s="71"/>
      <c r="AF700" s="71"/>
      <c r="AG700" s="71"/>
      <c r="AH700" s="71"/>
      <c r="AI700" s="71"/>
    </row>
    <row r="701" spans="1:35" x14ac:dyDescent="0.2">
      <c r="A701" s="71"/>
      <c r="B701" s="71"/>
      <c r="C701" s="71"/>
      <c r="D701" s="71"/>
      <c r="E701" s="71"/>
      <c r="F701" s="71"/>
      <c r="G701" s="71"/>
      <c r="H701" s="71"/>
      <c r="I701" s="71"/>
      <c r="J701" s="71"/>
      <c r="K701" s="71"/>
      <c r="L701" s="71"/>
      <c r="M701" s="71"/>
      <c r="N701" s="71"/>
      <c r="X701" s="71"/>
      <c r="Y701" s="71"/>
      <c r="Z701" s="71"/>
      <c r="AA701" s="71"/>
      <c r="AB701" s="71"/>
      <c r="AC701" s="71"/>
      <c r="AD701" s="71"/>
      <c r="AE701" s="71"/>
      <c r="AF701" s="71"/>
      <c r="AG701" s="71"/>
      <c r="AH701" s="71"/>
      <c r="AI701" s="71"/>
    </row>
    <row r="702" spans="1:35" x14ac:dyDescent="0.2">
      <c r="A702" s="71"/>
      <c r="B702" s="71"/>
      <c r="C702" s="71"/>
      <c r="D702" s="71"/>
      <c r="E702" s="71"/>
      <c r="F702" s="71"/>
      <c r="G702" s="71"/>
      <c r="H702" s="71"/>
      <c r="I702" s="71"/>
      <c r="J702" s="71"/>
      <c r="K702" s="71"/>
      <c r="L702" s="71"/>
      <c r="M702" s="71"/>
      <c r="N702" s="71"/>
      <c r="X702" s="71"/>
      <c r="Y702" s="71"/>
      <c r="Z702" s="71"/>
      <c r="AA702" s="71"/>
      <c r="AB702" s="71"/>
      <c r="AC702" s="71"/>
      <c r="AD702" s="71"/>
      <c r="AE702" s="71"/>
      <c r="AF702" s="71"/>
      <c r="AG702" s="71"/>
      <c r="AH702" s="71"/>
      <c r="AI702" s="71"/>
    </row>
    <row r="703" spans="1:35" x14ac:dyDescent="0.2">
      <c r="A703" s="71"/>
      <c r="B703" s="71"/>
      <c r="C703" s="71"/>
      <c r="D703" s="71"/>
      <c r="E703" s="71"/>
      <c r="F703" s="71"/>
      <c r="G703" s="71"/>
      <c r="H703" s="71"/>
      <c r="I703" s="71"/>
      <c r="J703" s="71"/>
      <c r="K703" s="71"/>
      <c r="L703" s="71"/>
      <c r="M703" s="71"/>
      <c r="N703" s="71"/>
      <c r="X703" s="71"/>
      <c r="Y703" s="71"/>
      <c r="Z703" s="71"/>
      <c r="AA703" s="71"/>
      <c r="AB703" s="71"/>
      <c r="AC703" s="71"/>
      <c r="AD703" s="71"/>
      <c r="AE703" s="71"/>
      <c r="AF703" s="71"/>
      <c r="AG703" s="71"/>
      <c r="AH703" s="71"/>
      <c r="AI703" s="71"/>
    </row>
    <row r="704" spans="1:35" x14ac:dyDescent="0.2">
      <c r="A704" s="71"/>
      <c r="B704" s="71"/>
      <c r="C704" s="71"/>
      <c r="D704" s="71"/>
      <c r="E704" s="71"/>
      <c r="F704" s="71"/>
      <c r="G704" s="71"/>
      <c r="H704" s="71"/>
      <c r="I704" s="71"/>
      <c r="J704" s="71"/>
      <c r="K704" s="71"/>
      <c r="L704" s="71"/>
      <c r="M704" s="71"/>
      <c r="N704" s="71"/>
      <c r="X704" s="71"/>
      <c r="Y704" s="71"/>
      <c r="Z704" s="71"/>
      <c r="AA704" s="71"/>
      <c r="AB704" s="71"/>
      <c r="AC704" s="71"/>
      <c r="AD704" s="71"/>
      <c r="AE704" s="71"/>
      <c r="AF704" s="71"/>
      <c r="AG704" s="71"/>
      <c r="AH704" s="71"/>
      <c r="AI704" s="71"/>
    </row>
    <row r="705" spans="1:35" x14ac:dyDescent="0.2">
      <c r="A705" s="71"/>
      <c r="B705" s="71"/>
      <c r="C705" s="71"/>
      <c r="D705" s="71"/>
      <c r="E705" s="71"/>
      <c r="F705" s="71"/>
      <c r="G705" s="71"/>
      <c r="H705" s="71"/>
      <c r="I705" s="71"/>
      <c r="J705" s="71"/>
      <c r="K705" s="71"/>
      <c r="L705" s="71"/>
      <c r="M705" s="71"/>
      <c r="N705" s="71"/>
      <c r="X705" s="71"/>
      <c r="Y705" s="71"/>
      <c r="Z705" s="71"/>
      <c r="AA705" s="71"/>
      <c r="AB705" s="71"/>
      <c r="AC705" s="71"/>
      <c r="AD705" s="71"/>
      <c r="AE705" s="71"/>
      <c r="AF705" s="71"/>
      <c r="AG705" s="71"/>
      <c r="AH705" s="71"/>
      <c r="AI705" s="71"/>
    </row>
    <row r="706" spans="1:35" x14ac:dyDescent="0.2">
      <c r="A706" s="71"/>
      <c r="B706" s="71"/>
      <c r="C706" s="71"/>
      <c r="D706" s="71"/>
      <c r="E706" s="71"/>
      <c r="F706" s="71"/>
      <c r="G706" s="71"/>
      <c r="H706" s="71"/>
      <c r="I706" s="71"/>
      <c r="J706" s="71"/>
      <c r="K706" s="71"/>
      <c r="L706" s="71"/>
      <c r="M706" s="71"/>
      <c r="N706" s="71"/>
      <c r="Q706" s="71"/>
      <c r="R706" s="71"/>
      <c r="S706" s="71"/>
      <c r="X706" s="71"/>
      <c r="Y706" s="71"/>
      <c r="Z706" s="71"/>
      <c r="AA706" s="71"/>
      <c r="AB706" s="71"/>
      <c r="AC706" s="71"/>
      <c r="AD706" s="71"/>
      <c r="AE706" s="71"/>
      <c r="AF706" s="71"/>
      <c r="AG706" s="71"/>
      <c r="AH706" s="71"/>
      <c r="AI706" s="71"/>
    </row>
    <row r="707" spans="1:35" x14ac:dyDescent="0.2">
      <c r="A707" s="71"/>
      <c r="B707" s="71"/>
      <c r="C707" s="71"/>
      <c r="D707" s="71"/>
      <c r="E707" s="71"/>
      <c r="F707" s="71"/>
      <c r="G707" s="71"/>
      <c r="H707" s="71"/>
      <c r="I707" s="71"/>
      <c r="J707" s="71"/>
      <c r="K707" s="71"/>
      <c r="L707" s="71"/>
      <c r="M707" s="71"/>
      <c r="N707" s="71"/>
      <c r="Q707" s="71"/>
      <c r="R707" s="71"/>
      <c r="S707" s="71"/>
      <c r="X707" s="71"/>
      <c r="Y707" s="71"/>
      <c r="Z707" s="71"/>
      <c r="AA707" s="71"/>
      <c r="AB707" s="71"/>
      <c r="AC707" s="71"/>
      <c r="AD707" s="71"/>
      <c r="AE707" s="71"/>
      <c r="AF707" s="71"/>
      <c r="AG707" s="71"/>
      <c r="AH707" s="71"/>
      <c r="AI707" s="71"/>
    </row>
    <row r="708" spans="1:35" x14ac:dyDescent="0.2">
      <c r="A708" s="71"/>
      <c r="B708" s="71"/>
      <c r="C708" s="71"/>
      <c r="D708" s="71"/>
      <c r="E708" s="71"/>
      <c r="F708" s="71"/>
      <c r="G708" s="71"/>
      <c r="H708" s="71"/>
      <c r="I708" s="71"/>
      <c r="J708" s="71"/>
      <c r="K708" s="71"/>
      <c r="L708" s="71"/>
      <c r="M708" s="71"/>
      <c r="N708" s="71"/>
      <c r="Q708" s="71"/>
      <c r="R708" s="71"/>
      <c r="S708" s="71"/>
      <c r="X708" s="71"/>
      <c r="Y708" s="71"/>
      <c r="Z708" s="71"/>
      <c r="AA708" s="71"/>
      <c r="AB708" s="71"/>
      <c r="AC708" s="71"/>
      <c r="AD708" s="71"/>
      <c r="AE708" s="71"/>
      <c r="AF708" s="71"/>
      <c r="AG708" s="71"/>
      <c r="AH708" s="71"/>
      <c r="AI708" s="71"/>
    </row>
    <row r="709" spans="1:35" x14ac:dyDescent="0.2">
      <c r="A709" s="71"/>
      <c r="B709" s="71"/>
      <c r="C709" s="71"/>
      <c r="D709" s="71"/>
      <c r="E709" s="71"/>
      <c r="F709" s="71"/>
      <c r="G709" s="71"/>
      <c r="H709" s="71"/>
      <c r="I709" s="71"/>
      <c r="J709" s="71"/>
      <c r="K709" s="71"/>
      <c r="L709" s="71"/>
      <c r="M709" s="71"/>
      <c r="N709" s="71"/>
      <c r="Q709" s="136"/>
      <c r="R709" s="136"/>
      <c r="S709" s="136"/>
      <c r="X709" s="71"/>
      <c r="Y709" s="71"/>
      <c r="Z709" s="71"/>
      <c r="AA709" s="71"/>
      <c r="AB709" s="71"/>
      <c r="AC709" s="71"/>
      <c r="AD709" s="71"/>
      <c r="AE709" s="71"/>
      <c r="AF709" s="71"/>
      <c r="AG709" s="71"/>
      <c r="AH709" s="71"/>
      <c r="AI709" s="71"/>
    </row>
    <row r="710" spans="1:35" x14ac:dyDescent="0.2">
      <c r="A710" s="71"/>
      <c r="B710" s="71"/>
      <c r="C710" s="71"/>
      <c r="D710" s="71"/>
      <c r="E710" s="71"/>
      <c r="F710" s="71"/>
      <c r="G710" s="71"/>
      <c r="H710" s="71"/>
      <c r="I710" s="71"/>
      <c r="J710" s="71"/>
      <c r="K710" s="71"/>
      <c r="L710" s="71"/>
      <c r="M710" s="71"/>
      <c r="N710" s="71"/>
      <c r="Q710" s="136"/>
      <c r="R710" s="136"/>
      <c r="S710" s="136"/>
      <c r="X710" s="71"/>
      <c r="Y710" s="71"/>
      <c r="Z710" s="71"/>
      <c r="AA710" s="71"/>
      <c r="AB710" s="71"/>
      <c r="AC710" s="71"/>
      <c r="AD710" s="71"/>
      <c r="AE710" s="71"/>
      <c r="AF710" s="71"/>
      <c r="AG710" s="71"/>
      <c r="AH710" s="71"/>
      <c r="AI710" s="71"/>
    </row>
    <row r="711" spans="1:35" x14ac:dyDescent="0.2">
      <c r="A711" s="71"/>
      <c r="B711" s="71"/>
      <c r="C711" s="71"/>
      <c r="D711" s="71"/>
      <c r="E711" s="71"/>
      <c r="F711" s="71"/>
      <c r="G711" s="71"/>
      <c r="H711" s="71"/>
      <c r="I711" s="71"/>
      <c r="J711" s="71"/>
      <c r="K711" s="71"/>
      <c r="L711" s="71"/>
      <c r="M711" s="71"/>
      <c r="N711" s="71"/>
      <c r="Q711" s="136"/>
      <c r="R711" s="136"/>
      <c r="S711" s="136"/>
      <c r="X711" s="71"/>
      <c r="Y711" s="71"/>
      <c r="Z711" s="71"/>
      <c r="AA711" s="71"/>
      <c r="AB711" s="71"/>
      <c r="AC711" s="71"/>
      <c r="AD711" s="71"/>
      <c r="AE711" s="71"/>
      <c r="AF711" s="71"/>
      <c r="AG711" s="71"/>
      <c r="AH711" s="71"/>
      <c r="AI711" s="71"/>
    </row>
    <row r="712" spans="1:35" x14ac:dyDescent="0.2">
      <c r="A712" s="71"/>
      <c r="B712" s="71"/>
      <c r="C712" s="71"/>
      <c r="D712" s="71"/>
      <c r="E712" s="71"/>
      <c r="F712" s="71"/>
      <c r="G712" s="71"/>
      <c r="H712" s="71"/>
      <c r="I712" s="71"/>
      <c r="J712" s="71"/>
      <c r="K712" s="71"/>
      <c r="L712" s="71"/>
      <c r="M712" s="71"/>
      <c r="N712" s="71"/>
      <c r="Q712" s="136"/>
      <c r="R712" s="136"/>
      <c r="S712" s="136"/>
      <c r="X712" s="71"/>
      <c r="Y712" s="71"/>
      <c r="Z712" s="71"/>
      <c r="AA712" s="71"/>
      <c r="AB712" s="71"/>
      <c r="AC712" s="71"/>
      <c r="AD712" s="71"/>
      <c r="AE712" s="71"/>
      <c r="AF712" s="71"/>
      <c r="AG712" s="71"/>
      <c r="AH712" s="71"/>
      <c r="AI712" s="71"/>
    </row>
    <row r="713" spans="1:35" x14ac:dyDescent="0.2">
      <c r="A713" s="71"/>
      <c r="B713" s="71"/>
      <c r="C713" s="71"/>
      <c r="D713" s="71"/>
      <c r="E713" s="71"/>
      <c r="F713" s="71"/>
      <c r="G713" s="71"/>
      <c r="H713" s="71"/>
      <c r="I713" s="71"/>
      <c r="J713" s="71"/>
      <c r="K713" s="71"/>
      <c r="L713" s="71"/>
      <c r="M713" s="71"/>
      <c r="N713" s="71"/>
      <c r="Q713" s="136"/>
      <c r="R713" s="136"/>
      <c r="S713" s="136"/>
      <c r="X713" s="71"/>
      <c r="Y713" s="71"/>
      <c r="Z713" s="71"/>
      <c r="AA713" s="71"/>
      <c r="AB713" s="71"/>
      <c r="AC713" s="71"/>
      <c r="AD713" s="71"/>
      <c r="AE713" s="71"/>
      <c r="AF713" s="71"/>
      <c r="AG713" s="71"/>
      <c r="AH713" s="71"/>
      <c r="AI713" s="71"/>
    </row>
    <row r="714" spans="1:35" x14ac:dyDescent="0.2">
      <c r="A714" s="71"/>
      <c r="B714" s="71"/>
      <c r="C714" s="71"/>
      <c r="D714" s="71"/>
      <c r="E714" s="71"/>
      <c r="F714" s="71"/>
      <c r="G714" s="71"/>
      <c r="H714" s="71"/>
      <c r="I714" s="71"/>
      <c r="J714" s="71"/>
      <c r="K714" s="71"/>
      <c r="L714" s="71"/>
      <c r="M714" s="71"/>
      <c r="N714" s="71"/>
      <c r="Q714" s="136"/>
      <c r="R714" s="136"/>
      <c r="S714" s="136"/>
      <c r="X714" s="71"/>
      <c r="Y714" s="71"/>
      <c r="Z714" s="71"/>
      <c r="AA714" s="71"/>
      <c r="AB714" s="71"/>
      <c r="AC714" s="71"/>
      <c r="AD714" s="71"/>
      <c r="AE714" s="71"/>
      <c r="AF714" s="71"/>
      <c r="AG714" s="71"/>
      <c r="AH714" s="71"/>
      <c r="AI714" s="71"/>
    </row>
    <row r="715" spans="1:35" x14ac:dyDescent="0.2">
      <c r="A715" s="71"/>
      <c r="B715" s="71"/>
      <c r="C715" s="71"/>
      <c r="D715" s="71"/>
      <c r="E715" s="71"/>
      <c r="F715" s="71"/>
      <c r="G715" s="71"/>
      <c r="H715" s="71"/>
      <c r="I715" s="71"/>
      <c r="J715" s="71"/>
      <c r="K715" s="71"/>
      <c r="L715" s="71"/>
      <c r="M715" s="71"/>
      <c r="N715" s="71"/>
      <c r="Q715" s="136"/>
      <c r="R715" s="136"/>
      <c r="S715" s="136"/>
      <c r="X715" s="71"/>
      <c r="Y715" s="71"/>
      <c r="Z715" s="71"/>
      <c r="AA715" s="71"/>
      <c r="AB715" s="71"/>
      <c r="AC715" s="71"/>
      <c r="AD715" s="71"/>
      <c r="AE715" s="71"/>
      <c r="AF715" s="71"/>
      <c r="AG715" s="71"/>
      <c r="AH715" s="71"/>
      <c r="AI715" s="71"/>
    </row>
    <row r="716" spans="1:35" x14ac:dyDescent="0.2">
      <c r="A716" s="71"/>
      <c r="B716" s="71"/>
      <c r="C716" s="71"/>
      <c r="D716" s="71"/>
      <c r="E716" s="71"/>
      <c r="F716" s="71"/>
      <c r="G716" s="71"/>
      <c r="H716" s="71"/>
      <c r="I716" s="71"/>
      <c r="J716" s="71"/>
      <c r="K716" s="71"/>
      <c r="L716" s="71"/>
      <c r="M716" s="71"/>
      <c r="N716" s="71"/>
      <c r="Q716" s="136"/>
      <c r="R716" s="136"/>
      <c r="S716" s="136"/>
      <c r="X716" s="71"/>
      <c r="Y716" s="71"/>
      <c r="Z716" s="71"/>
      <c r="AA716" s="71"/>
      <c r="AB716" s="71"/>
      <c r="AC716" s="71"/>
      <c r="AD716" s="71"/>
      <c r="AE716" s="71"/>
      <c r="AF716" s="71"/>
      <c r="AG716" s="71"/>
      <c r="AH716" s="71"/>
      <c r="AI716" s="71"/>
    </row>
    <row r="717" spans="1:35" x14ac:dyDescent="0.2">
      <c r="A717" s="71"/>
      <c r="B717" s="71"/>
      <c r="C717" s="71"/>
      <c r="D717" s="71"/>
      <c r="E717" s="71"/>
      <c r="F717" s="71"/>
      <c r="G717" s="71"/>
      <c r="H717" s="71"/>
      <c r="I717" s="71"/>
      <c r="J717" s="71"/>
      <c r="K717" s="71"/>
      <c r="L717" s="71"/>
      <c r="M717" s="71"/>
      <c r="N717" s="71"/>
      <c r="Q717" s="136"/>
      <c r="R717" s="136"/>
      <c r="S717" s="136"/>
      <c r="X717" s="71"/>
      <c r="Y717" s="71"/>
      <c r="Z717" s="71"/>
      <c r="AA717" s="71"/>
      <c r="AB717" s="71"/>
      <c r="AC717" s="71"/>
      <c r="AD717" s="71"/>
      <c r="AE717" s="71"/>
      <c r="AF717" s="71"/>
      <c r="AG717" s="71"/>
      <c r="AH717" s="71"/>
      <c r="AI717" s="71"/>
    </row>
    <row r="718" spans="1:35" x14ac:dyDescent="0.2">
      <c r="A718" s="71"/>
      <c r="B718" s="71"/>
      <c r="C718" s="71"/>
      <c r="D718" s="71"/>
      <c r="E718" s="71"/>
      <c r="F718" s="71"/>
      <c r="G718" s="71"/>
      <c r="H718" s="71"/>
      <c r="I718" s="71"/>
      <c r="J718" s="71"/>
      <c r="K718" s="71"/>
      <c r="L718" s="71"/>
      <c r="M718" s="71"/>
      <c r="N718" s="71"/>
      <c r="Q718" s="136"/>
      <c r="R718" s="136"/>
      <c r="S718" s="136"/>
      <c r="X718" s="71"/>
      <c r="Y718" s="71"/>
      <c r="Z718" s="71"/>
      <c r="AA718" s="71"/>
      <c r="AB718" s="71"/>
      <c r="AC718" s="71"/>
      <c r="AD718" s="71"/>
      <c r="AE718" s="71"/>
      <c r="AF718" s="71"/>
      <c r="AG718" s="71"/>
      <c r="AH718" s="71"/>
      <c r="AI718" s="71"/>
    </row>
    <row r="719" spans="1:35" x14ac:dyDescent="0.2">
      <c r="A719" s="71"/>
      <c r="B719" s="71"/>
      <c r="C719" s="71"/>
      <c r="D719" s="71"/>
      <c r="E719" s="71"/>
      <c r="F719" s="71"/>
      <c r="G719" s="71"/>
      <c r="H719" s="71"/>
      <c r="I719" s="71"/>
      <c r="J719" s="71"/>
      <c r="K719" s="71"/>
      <c r="L719" s="71"/>
      <c r="M719" s="71"/>
      <c r="N719" s="71"/>
      <c r="Q719" s="136"/>
      <c r="R719" s="136"/>
      <c r="S719" s="136"/>
      <c r="X719" s="71"/>
      <c r="Y719" s="71"/>
      <c r="Z719" s="71"/>
      <c r="AA719" s="71"/>
      <c r="AB719" s="71"/>
      <c r="AC719" s="71"/>
      <c r="AD719" s="71"/>
      <c r="AE719" s="71"/>
      <c r="AF719" s="71"/>
      <c r="AG719" s="71"/>
      <c r="AH719" s="71"/>
      <c r="AI719" s="71"/>
    </row>
    <row r="720" spans="1:35" x14ac:dyDescent="0.2">
      <c r="A720" s="71"/>
      <c r="B720" s="71"/>
      <c r="C720" s="71"/>
      <c r="D720" s="71"/>
      <c r="E720" s="71"/>
      <c r="F720" s="71"/>
      <c r="G720" s="71"/>
      <c r="H720" s="71"/>
      <c r="I720" s="71"/>
      <c r="J720" s="71"/>
      <c r="K720" s="71"/>
      <c r="L720" s="71"/>
      <c r="M720" s="71"/>
      <c r="N720" s="71"/>
      <c r="Q720" s="136"/>
      <c r="R720" s="136"/>
      <c r="S720" s="136"/>
      <c r="X720" s="71"/>
      <c r="Y720" s="71"/>
      <c r="Z720" s="71"/>
      <c r="AA720" s="71"/>
      <c r="AB720" s="71"/>
      <c r="AC720" s="71"/>
      <c r="AD720" s="71"/>
      <c r="AE720" s="71"/>
      <c r="AF720" s="71"/>
      <c r="AG720" s="71"/>
      <c r="AH720" s="71"/>
      <c r="AI720" s="71"/>
    </row>
    <row r="721" spans="1:35" x14ac:dyDescent="0.2">
      <c r="A721" s="71"/>
      <c r="B721" s="71"/>
      <c r="C721" s="71"/>
      <c r="D721" s="71"/>
      <c r="E721" s="71"/>
      <c r="F721" s="71"/>
      <c r="G721" s="71"/>
      <c r="H721" s="71"/>
      <c r="I721" s="71"/>
      <c r="J721" s="71"/>
      <c r="K721" s="71"/>
      <c r="L721" s="71"/>
      <c r="M721" s="71"/>
      <c r="N721" s="71"/>
      <c r="Q721" s="136"/>
      <c r="R721" s="136"/>
      <c r="S721" s="136"/>
      <c r="X721" s="71"/>
      <c r="Y721" s="71"/>
      <c r="Z721" s="71"/>
      <c r="AA721" s="71"/>
      <c r="AB721" s="71"/>
      <c r="AC721" s="71"/>
      <c r="AD721" s="71"/>
      <c r="AE721" s="71"/>
      <c r="AF721" s="71"/>
      <c r="AG721" s="71"/>
      <c r="AH721" s="71"/>
      <c r="AI721" s="71"/>
    </row>
    <row r="722" spans="1:35" x14ac:dyDescent="0.2">
      <c r="A722" s="71"/>
      <c r="B722" s="71"/>
      <c r="C722" s="71"/>
      <c r="D722" s="71"/>
      <c r="E722" s="71"/>
      <c r="F722" s="71"/>
      <c r="G722" s="71"/>
      <c r="H722" s="71"/>
      <c r="I722" s="71"/>
      <c r="J722" s="71"/>
      <c r="K722" s="71"/>
      <c r="L722" s="71"/>
      <c r="M722" s="71"/>
      <c r="N722" s="71"/>
      <c r="Q722" s="136"/>
      <c r="R722" s="136"/>
      <c r="S722" s="136"/>
      <c r="X722" s="71"/>
      <c r="Y722" s="71"/>
      <c r="Z722" s="71"/>
      <c r="AA722" s="71"/>
      <c r="AB722" s="71"/>
      <c r="AC722" s="71"/>
      <c r="AD722" s="71"/>
      <c r="AE722" s="71"/>
      <c r="AF722" s="71"/>
      <c r="AG722" s="71"/>
      <c r="AH722" s="71"/>
      <c r="AI722" s="71"/>
    </row>
    <row r="723" spans="1:35" x14ac:dyDescent="0.2">
      <c r="A723" s="71"/>
      <c r="B723" s="71"/>
      <c r="C723" s="71"/>
      <c r="D723" s="71"/>
      <c r="E723" s="71"/>
      <c r="F723" s="71"/>
      <c r="G723" s="71"/>
      <c r="H723" s="71"/>
      <c r="I723" s="71"/>
      <c r="J723" s="71"/>
      <c r="K723" s="71"/>
      <c r="L723" s="71"/>
      <c r="M723" s="71"/>
      <c r="N723" s="71"/>
      <c r="Q723" s="136"/>
      <c r="R723" s="136"/>
      <c r="S723" s="136"/>
      <c r="X723" s="71"/>
      <c r="Y723" s="71"/>
      <c r="Z723" s="71"/>
      <c r="AA723" s="71"/>
      <c r="AB723" s="71"/>
      <c r="AC723" s="71"/>
      <c r="AD723" s="71"/>
      <c r="AE723" s="71"/>
      <c r="AF723" s="71"/>
      <c r="AG723" s="71"/>
      <c r="AH723" s="71"/>
      <c r="AI723" s="71"/>
    </row>
    <row r="724" spans="1:35" x14ac:dyDescent="0.2">
      <c r="A724" s="71"/>
      <c r="B724" s="71"/>
      <c r="C724" s="71"/>
      <c r="D724" s="71"/>
      <c r="E724" s="71"/>
      <c r="F724" s="71"/>
      <c r="G724" s="71"/>
      <c r="H724" s="71"/>
      <c r="I724" s="71"/>
      <c r="J724" s="71"/>
      <c r="K724" s="71"/>
      <c r="L724" s="71"/>
      <c r="M724" s="71"/>
      <c r="N724" s="71"/>
      <c r="Q724" s="136"/>
      <c r="R724" s="136"/>
      <c r="S724" s="136"/>
      <c r="X724" s="71"/>
      <c r="Y724" s="71"/>
      <c r="Z724" s="71"/>
      <c r="AA724" s="71"/>
      <c r="AB724" s="71"/>
      <c r="AC724" s="71"/>
      <c r="AD724" s="71"/>
      <c r="AE724" s="71"/>
      <c r="AF724" s="71"/>
      <c r="AG724" s="71"/>
      <c r="AH724" s="71"/>
      <c r="AI724" s="71"/>
    </row>
    <row r="725" spans="1:35" x14ac:dyDescent="0.2">
      <c r="A725" s="71"/>
      <c r="B725" s="71"/>
      <c r="C725" s="71"/>
      <c r="D725" s="71"/>
      <c r="E725" s="71"/>
      <c r="F725" s="71"/>
      <c r="G725" s="71"/>
      <c r="H725" s="71"/>
      <c r="I725" s="71"/>
      <c r="J725" s="71"/>
      <c r="K725" s="71"/>
      <c r="L725" s="71"/>
      <c r="M725" s="71"/>
      <c r="N725" s="71"/>
      <c r="Q725" s="136"/>
      <c r="R725" s="136"/>
      <c r="S725" s="136"/>
      <c r="X725" s="71"/>
      <c r="Y725" s="71"/>
      <c r="Z725" s="71"/>
      <c r="AA725" s="71"/>
      <c r="AB725" s="71"/>
      <c r="AC725" s="71"/>
      <c r="AD725" s="71"/>
      <c r="AE725" s="71"/>
      <c r="AF725" s="71"/>
      <c r="AG725" s="71"/>
      <c r="AH725" s="71"/>
      <c r="AI725" s="71"/>
    </row>
    <row r="726" spans="1:35" x14ac:dyDescent="0.2">
      <c r="A726" s="71"/>
      <c r="B726" s="71"/>
      <c r="C726" s="71"/>
      <c r="D726" s="71"/>
      <c r="E726" s="71"/>
      <c r="F726" s="71"/>
      <c r="G726" s="71"/>
      <c r="H726" s="71"/>
      <c r="I726" s="71"/>
      <c r="J726" s="71"/>
      <c r="K726" s="71"/>
      <c r="L726" s="71"/>
      <c r="M726" s="71"/>
      <c r="N726" s="71"/>
      <c r="Q726" s="136"/>
      <c r="R726" s="136"/>
      <c r="S726" s="136"/>
      <c r="X726" s="71"/>
      <c r="Y726" s="71"/>
      <c r="Z726" s="71"/>
      <c r="AA726" s="71"/>
      <c r="AB726" s="71"/>
      <c r="AC726" s="71"/>
      <c r="AD726" s="71"/>
      <c r="AE726" s="71"/>
      <c r="AF726" s="71"/>
      <c r="AG726" s="71"/>
      <c r="AH726" s="71"/>
      <c r="AI726" s="71"/>
    </row>
    <row r="727" spans="1:35" x14ac:dyDescent="0.2">
      <c r="A727" s="71"/>
      <c r="B727" s="71"/>
      <c r="C727" s="71"/>
      <c r="D727" s="71"/>
      <c r="E727" s="71"/>
      <c r="F727" s="71"/>
      <c r="G727" s="71"/>
      <c r="H727" s="71"/>
      <c r="I727" s="71"/>
      <c r="J727" s="71"/>
      <c r="K727" s="71"/>
      <c r="L727" s="71"/>
      <c r="M727" s="71"/>
      <c r="N727" s="71"/>
      <c r="Q727" s="136"/>
      <c r="R727" s="136"/>
      <c r="S727" s="136"/>
      <c r="X727" s="71"/>
      <c r="Y727" s="71"/>
      <c r="Z727" s="71"/>
      <c r="AA727" s="71"/>
      <c r="AB727" s="71"/>
      <c r="AC727" s="71"/>
      <c r="AD727" s="71"/>
      <c r="AE727" s="71"/>
      <c r="AF727" s="71"/>
      <c r="AG727" s="71"/>
      <c r="AH727" s="71"/>
      <c r="AI727" s="71"/>
    </row>
    <row r="728" spans="1:35" x14ac:dyDescent="0.2">
      <c r="A728" s="71"/>
      <c r="B728" s="71"/>
      <c r="C728" s="71"/>
      <c r="D728" s="71"/>
      <c r="E728" s="71"/>
      <c r="F728" s="71"/>
      <c r="G728" s="71"/>
      <c r="H728" s="71"/>
      <c r="I728" s="71"/>
      <c r="J728" s="71"/>
      <c r="K728" s="71"/>
      <c r="L728" s="71"/>
      <c r="M728" s="71"/>
      <c r="N728" s="71"/>
      <c r="Q728" s="136"/>
      <c r="R728" s="136"/>
      <c r="S728" s="136"/>
      <c r="X728" s="71"/>
      <c r="Y728" s="71"/>
      <c r="Z728" s="71"/>
      <c r="AA728" s="71"/>
      <c r="AB728" s="71"/>
      <c r="AC728" s="71"/>
      <c r="AD728" s="71"/>
      <c r="AE728" s="71"/>
      <c r="AF728" s="71"/>
      <c r="AG728" s="71"/>
      <c r="AH728" s="71"/>
      <c r="AI728" s="71"/>
    </row>
    <row r="729" spans="1:35" x14ac:dyDescent="0.2">
      <c r="A729" s="71"/>
      <c r="B729" s="71"/>
      <c r="C729" s="71"/>
      <c r="D729" s="71"/>
      <c r="E729" s="71"/>
      <c r="F729" s="71"/>
      <c r="G729" s="71"/>
      <c r="H729" s="71"/>
      <c r="I729" s="71"/>
      <c r="J729" s="71"/>
      <c r="K729" s="71"/>
      <c r="L729" s="71"/>
      <c r="M729" s="71"/>
      <c r="N729" s="71"/>
      <c r="X729" s="71"/>
      <c r="Y729" s="71"/>
      <c r="Z729" s="71"/>
      <c r="AA729" s="71"/>
      <c r="AB729" s="71"/>
      <c r="AC729" s="71"/>
      <c r="AD729" s="71"/>
      <c r="AE729" s="71"/>
      <c r="AF729" s="71"/>
      <c r="AG729" s="71"/>
      <c r="AH729" s="71"/>
      <c r="AI729" s="71"/>
    </row>
    <row r="730" spans="1:35" x14ac:dyDescent="0.2">
      <c r="A730" s="71"/>
      <c r="B730" s="71"/>
      <c r="C730" s="71"/>
      <c r="D730" s="71"/>
      <c r="E730" s="71"/>
      <c r="F730" s="71"/>
      <c r="G730" s="71"/>
      <c r="H730" s="71"/>
      <c r="I730" s="71"/>
      <c r="J730" s="71"/>
      <c r="K730" s="71"/>
      <c r="L730" s="71"/>
      <c r="M730" s="71"/>
      <c r="N730" s="71"/>
      <c r="X730" s="71"/>
      <c r="Y730" s="71"/>
      <c r="Z730" s="71"/>
      <c r="AA730" s="71"/>
      <c r="AB730" s="71"/>
      <c r="AC730" s="71"/>
      <c r="AD730" s="71"/>
      <c r="AE730" s="71"/>
      <c r="AF730" s="71"/>
      <c r="AG730" s="71"/>
      <c r="AH730" s="71"/>
      <c r="AI730" s="71"/>
    </row>
    <row r="731" spans="1:35" x14ac:dyDescent="0.2">
      <c r="A731" s="71"/>
      <c r="B731" s="71"/>
      <c r="C731" s="71"/>
      <c r="D731" s="71"/>
      <c r="E731" s="71"/>
      <c r="F731" s="71"/>
      <c r="G731" s="71"/>
      <c r="H731" s="71"/>
      <c r="I731" s="71"/>
      <c r="J731" s="71"/>
      <c r="K731" s="71"/>
      <c r="L731" s="71"/>
      <c r="M731" s="71"/>
      <c r="N731" s="71"/>
      <c r="X731" s="71"/>
      <c r="Y731" s="71"/>
      <c r="Z731" s="71"/>
      <c r="AA731" s="71"/>
      <c r="AB731" s="71"/>
      <c r="AC731" s="71"/>
      <c r="AD731" s="71"/>
      <c r="AE731" s="71"/>
      <c r="AF731" s="71"/>
      <c r="AG731" s="71"/>
      <c r="AH731" s="71"/>
      <c r="AI731" s="71"/>
    </row>
    <row r="732" spans="1:35" x14ac:dyDescent="0.2">
      <c r="A732" s="71"/>
      <c r="B732" s="71"/>
      <c r="C732" s="71"/>
      <c r="D732" s="71"/>
      <c r="E732" s="71"/>
      <c r="F732" s="71"/>
      <c r="G732" s="71"/>
      <c r="H732" s="71"/>
      <c r="I732" s="71"/>
      <c r="J732" s="71"/>
      <c r="K732" s="71"/>
      <c r="L732" s="71"/>
      <c r="M732" s="71"/>
      <c r="N732" s="71"/>
      <c r="X732" s="71"/>
      <c r="Y732" s="71"/>
      <c r="Z732" s="71"/>
      <c r="AA732" s="71"/>
      <c r="AB732" s="71"/>
      <c r="AC732" s="71"/>
      <c r="AD732" s="71"/>
      <c r="AE732" s="71"/>
      <c r="AF732" s="71"/>
      <c r="AG732" s="71"/>
      <c r="AH732" s="71"/>
      <c r="AI732" s="71"/>
    </row>
    <row r="733" spans="1:35" x14ac:dyDescent="0.2">
      <c r="A733" s="71"/>
      <c r="B733" s="71"/>
      <c r="C733" s="71"/>
      <c r="D733" s="71"/>
      <c r="E733" s="71"/>
      <c r="F733" s="71"/>
      <c r="G733" s="71"/>
      <c r="H733" s="71"/>
      <c r="I733" s="71"/>
      <c r="J733" s="71"/>
      <c r="K733" s="71"/>
      <c r="L733" s="71"/>
      <c r="M733" s="71"/>
      <c r="N733" s="71"/>
      <c r="X733" s="71"/>
      <c r="Y733" s="71"/>
      <c r="Z733" s="71"/>
      <c r="AA733" s="71"/>
      <c r="AB733" s="71"/>
      <c r="AC733" s="71"/>
      <c r="AD733" s="71"/>
      <c r="AE733" s="71"/>
      <c r="AF733" s="71"/>
      <c r="AG733" s="71"/>
      <c r="AH733" s="71"/>
      <c r="AI733" s="71"/>
    </row>
    <row r="734" spans="1:35" x14ac:dyDescent="0.2">
      <c r="A734" s="71"/>
      <c r="B734" s="71"/>
      <c r="C734" s="71"/>
      <c r="D734" s="71"/>
      <c r="E734" s="71"/>
      <c r="F734" s="71"/>
      <c r="G734" s="71"/>
      <c r="H734" s="71"/>
      <c r="I734" s="71"/>
      <c r="J734" s="71"/>
      <c r="K734" s="71"/>
      <c r="L734" s="71"/>
      <c r="M734" s="71"/>
      <c r="N734" s="71"/>
      <c r="X734" s="71"/>
      <c r="Y734" s="71"/>
      <c r="Z734" s="71"/>
      <c r="AA734" s="71"/>
      <c r="AB734" s="71"/>
      <c r="AC734" s="71"/>
      <c r="AD734" s="71"/>
      <c r="AE734" s="71"/>
      <c r="AF734" s="71"/>
      <c r="AG734" s="71"/>
      <c r="AH734" s="71"/>
      <c r="AI734" s="71"/>
    </row>
    <row r="735" spans="1:35" x14ac:dyDescent="0.2">
      <c r="A735" s="71"/>
      <c r="B735" s="71"/>
      <c r="C735" s="71"/>
      <c r="D735" s="71"/>
      <c r="E735" s="71"/>
      <c r="F735" s="71"/>
      <c r="G735" s="71"/>
      <c r="H735" s="71"/>
      <c r="I735" s="71"/>
      <c r="J735" s="71"/>
      <c r="K735" s="71"/>
      <c r="L735" s="71"/>
      <c r="M735" s="71"/>
      <c r="N735" s="71"/>
      <c r="X735" s="71"/>
      <c r="Y735" s="71"/>
      <c r="Z735" s="71"/>
      <c r="AA735" s="71"/>
      <c r="AB735" s="71"/>
      <c r="AC735" s="71"/>
      <c r="AD735" s="71"/>
      <c r="AE735" s="71"/>
      <c r="AF735" s="71"/>
      <c r="AG735" s="71"/>
      <c r="AH735" s="71"/>
      <c r="AI735" s="71"/>
    </row>
    <row r="736" spans="1:35" x14ac:dyDescent="0.2">
      <c r="A736" s="71"/>
      <c r="B736" s="71"/>
      <c r="C736" s="71"/>
      <c r="D736" s="71"/>
      <c r="E736" s="71"/>
      <c r="F736" s="71"/>
      <c r="G736" s="71"/>
      <c r="H736" s="71"/>
      <c r="I736" s="71"/>
      <c r="J736" s="71"/>
      <c r="K736" s="71"/>
      <c r="L736" s="71"/>
      <c r="M736" s="71"/>
      <c r="N736" s="71"/>
      <c r="X736" s="71"/>
      <c r="Y736" s="71"/>
      <c r="Z736" s="71"/>
      <c r="AA736" s="71"/>
      <c r="AB736" s="71"/>
      <c r="AC736" s="71"/>
      <c r="AD736" s="71"/>
      <c r="AE736" s="71"/>
      <c r="AF736" s="71"/>
      <c r="AG736" s="71"/>
      <c r="AH736" s="71"/>
      <c r="AI736" s="71"/>
    </row>
    <row r="737" spans="1:35" x14ac:dyDescent="0.2">
      <c r="A737" s="71"/>
      <c r="B737" s="71"/>
      <c r="C737" s="71"/>
      <c r="D737" s="71"/>
      <c r="E737" s="71"/>
      <c r="F737" s="71"/>
      <c r="G737" s="71"/>
      <c r="H737" s="71"/>
      <c r="I737" s="71"/>
      <c r="J737" s="71"/>
      <c r="K737" s="71"/>
      <c r="L737" s="71"/>
      <c r="M737" s="71"/>
      <c r="N737" s="71"/>
      <c r="X737" s="71"/>
      <c r="Y737" s="71"/>
      <c r="Z737" s="71"/>
      <c r="AA737" s="71"/>
      <c r="AB737" s="71"/>
      <c r="AC737" s="71"/>
      <c r="AD737" s="71"/>
      <c r="AE737" s="71"/>
      <c r="AF737" s="71"/>
      <c r="AG737" s="71"/>
      <c r="AH737" s="71"/>
      <c r="AI737" s="71"/>
    </row>
    <row r="738" spans="1:35" x14ac:dyDescent="0.2">
      <c r="A738" s="71"/>
      <c r="B738" s="71"/>
      <c r="C738" s="71"/>
      <c r="D738" s="71"/>
      <c r="E738" s="71"/>
      <c r="F738" s="71"/>
      <c r="G738" s="71"/>
      <c r="H738" s="71"/>
      <c r="I738" s="71"/>
      <c r="J738" s="71"/>
      <c r="K738" s="71"/>
      <c r="L738" s="71"/>
      <c r="M738" s="71"/>
      <c r="N738" s="71"/>
      <c r="X738" s="71"/>
      <c r="Y738" s="71"/>
      <c r="Z738" s="71"/>
      <c r="AA738" s="71"/>
      <c r="AB738" s="71"/>
      <c r="AC738" s="71"/>
      <c r="AD738" s="71"/>
      <c r="AE738" s="71"/>
      <c r="AF738" s="71"/>
      <c r="AG738" s="71"/>
      <c r="AH738" s="71"/>
      <c r="AI738" s="71"/>
    </row>
    <row r="739" spans="1:35" x14ac:dyDescent="0.2">
      <c r="A739" s="71"/>
      <c r="B739" s="71"/>
      <c r="C739" s="71"/>
      <c r="D739" s="71"/>
      <c r="E739" s="71"/>
      <c r="F739" s="71"/>
      <c r="G739" s="71"/>
      <c r="H739" s="71"/>
      <c r="I739" s="71"/>
      <c r="J739" s="71"/>
      <c r="K739" s="71"/>
      <c r="L739" s="71"/>
      <c r="M739" s="71"/>
      <c r="N739" s="71"/>
      <c r="X739" s="71"/>
      <c r="Y739" s="71"/>
      <c r="Z739" s="71"/>
      <c r="AA739" s="71"/>
      <c r="AB739" s="71"/>
      <c r="AC739" s="71"/>
      <c r="AD739" s="71"/>
      <c r="AE739" s="71"/>
      <c r="AF739" s="71"/>
      <c r="AG739" s="71"/>
      <c r="AH739" s="71"/>
      <c r="AI739" s="71"/>
    </row>
    <row r="740" spans="1:35" x14ac:dyDescent="0.2">
      <c r="A740" s="71"/>
      <c r="B740" s="71"/>
      <c r="C740" s="71"/>
      <c r="D740" s="71"/>
      <c r="E740" s="71"/>
      <c r="F740" s="71"/>
      <c r="G740" s="71"/>
      <c r="H740" s="71"/>
      <c r="I740" s="71"/>
      <c r="J740" s="71"/>
      <c r="K740" s="71"/>
      <c r="L740" s="71"/>
      <c r="M740" s="71"/>
      <c r="N740" s="71"/>
      <c r="X740" s="71"/>
      <c r="Y740" s="71"/>
      <c r="Z740" s="71"/>
      <c r="AA740" s="71"/>
      <c r="AB740" s="71"/>
      <c r="AC740" s="71"/>
      <c r="AD740" s="71"/>
      <c r="AE740" s="71"/>
      <c r="AF740" s="71"/>
      <c r="AG740" s="71"/>
      <c r="AH740" s="71"/>
      <c r="AI740" s="71"/>
    </row>
    <row r="741" spans="1:35" x14ac:dyDescent="0.2">
      <c r="A741" s="71"/>
      <c r="B741" s="71"/>
      <c r="C741" s="71"/>
      <c r="D741" s="71"/>
      <c r="E741" s="71"/>
      <c r="F741" s="71"/>
      <c r="G741" s="71"/>
      <c r="H741" s="71"/>
      <c r="I741" s="71"/>
      <c r="J741" s="71"/>
      <c r="K741" s="71"/>
      <c r="L741" s="71"/>
      <c r="M741" s="71"/>
      <c r="N741" s="71"/>
      <c r="X741" s="71"/>
      <c r="Y741" s="71"/>
      <c r="Z741" s="71"/>
      <c r="AA741" s="71"/>
      <c r="AB741" s="71"/>
      <c r="AC741" s="71"/>
      <c r="AD741" s="71"/>
      <c r="AE741" s="71"/>
      <c r="AF741" s="71"/>
      <c r="AG741" s="71"/>
      <c r="AH741" s="71"/>
      <c r="AI741" s="71"/>
    </row>
    <row r="742" spans="1:35" x14ac:dyDescent="0.2">
      <c r="A742" s="71"/>
      <c r="B742" s="71"/>
      <c r="C742" s="71"/>
      <c r="D742" s="71"/>
      <c r="E742" s="71"/>
      <c r="F742" s="71"/>
      <c r="G742" s="71"/>
      <c r="H742" s="71"/>
      <c r="I742" s="71"/>
      <c r="J742" s="71"/>
      <c r="K742" s="71"/>
      <c r="L742" s="71"/>
      <c r="M742" s="71"/>
      <c r="N742" s="71"/>
      <c r="X742" s="71"/>
      <c r="Y742" s="71"/>
      <c r="Z742" s="71"/>
      <c r="AA742" s="71"/>
      <c r="AB742" s="71"/>
      <c r="AC742" s="71"/>
      <c r="AD742" s="71"/>
      <c r="AE742" s="71"/>
      <c r="AF742" s="71"/>
      <c r="AG742" s="71"/>
      <c r="AH742" s="71"/>
      <c r="AI742" s="71"/>
    </row>
    <row r="743" spans="1:35" x14ac:dyDescent="0.2">
      <c r="A743" s="71"/>
      <c r="B743" s="71"/>
      <c r="C743" s="71"/>
      <c r="D743" s="71"/>
      <c r="E743" s="71"/>
      <c r="F743" s="71"/>
      <c r="G743" s="71"/>
      <c r="H743" s="71"/>
      <c r="I743" s="71"/>
      <c r="J743" s="71"/>
      <c r="K743" s="71"/>
      <c r="L743" s="71"/>
      <c r="M743" s="71"/>
      <c r="N743" s="71"/>
      <c r="X743" s="71"/>
      <c r="Y743" s="71"/>
      <c r="Z743" s="71"/>
      <c r="AA743" s="71"/>
      <c r="AB743" s="71"/>
      <c r="AC743" s="71"/>
      <c r="AD743" s="71"/>
      <c r="AE743" s="71"/>
      <c r="AF743" s="71"/>
      <c r="AG743" s="71"/>
      <c r="AH743" s="71"/>
      <c r="AI743" s="71"/>
    </row>
    <row r="744" spans="1:35" x14ac:dyDescent="0.2">
      <c r="A744" s="71"/>
      <c r="B744" s="71"/>
      <c r="C744" s="71"/>
      <c r="D744" s="71"/>
      <c r="E744" s="71"/>
      <c r="F744" s="71"/>
      <c r="G744" s="71"/>
      <c r="H744" s="71"/>
      <c r="I744" s="71"/>
      <c r="J744" s="71"/>
      <c r="K744" s="71"/>
      <c r="L744" s="71"/>
      <c r="M744" s="71"/>
      <c r="N744" s="71"/>
      <c r="X744" s="71"/>
      <c r="Y744" s="71"/>
      <c r="Z744" s="71"/>
      <c r="AA744" s="71"/>
      <c r="AB744" s="71"/>
      <c r="AC744" s="71"/>
      <c r="AD744" s="71"/>
      <c r="AE744" s="71"/>
      <c r="AF744" s="71"/>
      <c r="AG744" s="71"/>
      <c r="AH744" s="71"/>
      <c r="AI744" s="71"/>
    </row>
    <row r="745" spans="1:35" x14ac:dyDescent="0.2">
      <c r="A745" s="71"/>
      <c r="B745" s="71"/>
      <c r="C745" s="71"/>
      <c r="D745" s="71"/>
      <c r="E745" s="71"/>
      <c r="F745" s="71"/>
      <c r="G745" s="71"/>
      <c r="H745" s="71"/>
      <c r="I745" s="71"/>
      <c r="J745" s="71"/>
      <c r="K745" s="71"/>
      <c r="L745" s="71"/>
      <c r="M745" s="71"/>
      <c r="N745" s="71"/>
      <c r="X745" s="71"/>
      <c r="Y745" s="71"/>
      <c r="Z745" s="71"/>
      <c r="AA745" s="71"/>
      <c r="AB745" s="71"/>
      <c r="AC745" s="71"/>
      <c r="AD745" s="71"/>
      <c r="AE745" s="71"/>
      <c r="AF745" s="71"/>
      <c r="AG745" s="71"/>
      <c r="AH745" s="71"/>
      <c r="AI745" s="71"/>
    </row>
    <row r="746" spans="1:35" x14ac:dyDescent="0.2">
      <c r="A746" s="71"/>
      <c r="B746" s="71"/>
      <c r="C746" s="71"/>
      <c r="D746" s="71"/>
      <c r="E746" s="71"/>
      <c r="F746" s="71"/>
      <c r="G746" s="71"/>
      <c r="H746" s="71"/>
      <c r="I746" s="71"/>
      <c r="J746" s="71"/>
      <c r="K746" s="71"/>
      <c r="L746" s="71"/>
      <c r="M746" s="71"/>
      <c r="N746" s="71"/>
      <c r="X746" s="71"/>
      <c r="Y746" s="71"/>
      <c r="Z746" s="71"/>
      <c r="AA746" s="71"/>
      <c r="AB746" s="71"/>
      <c r="AC746" s="71"/>
      <c r="AD746" s="71"/>
      <c r="AE746" s="71"/>
      <c r="AF746" s="71"/>
      <c r="AG746" s="71"/>
      <c r="AH746" s="71"/>
      <c r="AI746" s="71"/>
    </row>
    <row r="747" spans="1:35" x14ac:dyDescent="0.2">
      <c r="A747" s="71"/>
      <c r="B747" s="71"/>
      <c r="C747" s="71"/>
      <c r="D747" s="71"/>
      <c r="E747" s="71"/>
      <c r="F747" s="71"/>
      <c r="G747" s="71"/>
      <c r="H747" s="71"/>
      <c r="I747" s="71"/>
      <c r="J747" s="71"/>
      <c r="K747" s="71"/>
      <c r="L747" s="71"/>
      <c r="M747" s="71"/>
      <c r="N747" s="71"/>
      <c r="X747" s="71"/>
      <c r="Y747" s="71"/>
      <c r="Z747" s="71"/>
      <c r="AA747" s="71"/>
      <c r="AB747" s="71"/>
      <c r="AC747" s="71"/>
      <c r="AD747" s="71"/>
      <c r="AE747" s="71"/>
      <c r="AF747" s="71"/>
      <c r="AG747" s="71"/>
      <c r="AH747" s="71"/>
      <c r="AI747" s="71"/>
    </row>
    <row r="748" spans="1:35" x14ac:dyDescent="0.2">
      <c r="A748" s="71"/>
      <c r="B748" s="71"/>
      <c r="C748" s="71"/>
      <c r="D748" s="71"/>
      <c r="E748" s="71"/>
      <c r="F748" s="71"/>
      <c r="G748" s="71"/>
      <c r="H748" s="71"/>
      <c r="I748" s="71"/>
      <c r="J748" s="71"/>
      <c r="K748" s="71"/>
      <c r="L748" s="71"/>
      <c r="M748" s="71"/>
      <c r="N748" s="71"/>
      <c r="X748" s="71"/>
      <c r="Y748" s="71"/>
      <c r="Z748" s="71"/>
      <c r="AA748" s="71"/>
      <c r="AB748" s="71"/>
      <c r="AC748" s="71"/>
      <c r="AD748" s="71"/>
      <c r="AE748" s="71"/>
      <c r="AF748" s="71"/>
      <c r="AG748" s="71"/>
      <c r="AH748" s="71"/>
      <c r="AI748" s="71"/>
    </row>
    <row r="749" spans="1:35" x14ac:dyDescent="0.2">
      <c r="A749" s="71"/>
      <c r="B749" s="71"/>
      <c r="C749" s="71"/>
      <c r="D749" s="71"/>
      <c r="E749" s="71"/>
      <c r="F749" s="71"/>
      <c r="G749" s="71"/>
      <c r="H749" s="71"/>
      <c r="I749" s="71"/>
      <c r="J749" s="71"/>
      <c r="K749" s="71"/>
      <c r="L749" s="71"/>
      <c r="M749" s="71"/>
      <c r="N749" s="71"/>
      <c r="X749" s="71"/>
      <c r="Y749" s="71"/>
      <c r="Z749" s="71"/>
      <c r="AA749" s="71"/>
      <c r="AB749" s="71"/>
      <c r="AC749" s="71"/>
      <c r="AD749" s="71"/>
      <c r="AE749" s="71"/>
      <c r="AF749" s="71"/>
      <c r="AG749" s="71"/>
      <c r="AH749" s="71"/>
      <c r="AI749" s="71"/>
    </row>
    <row r="750" spans="1:35" x14ac:dyDescent="0.2">
      <c r="A750" s="71"/>
      <c r="B750" s="71"/>
      <c r="C750" s="71"/>
      <c r="D750" s="71"/>
      <c r="E750" s="71"/>
      <c r="F750" s="71"/>
      <c r="G750" s="71"/>
      <c r="H750" s="71"/>
      <c r="I750" s="71"/>
      <c r="J750" s="71"/>
      <c r="K750" s="71"/>
      <c r="L750" s="71"/>
      <c r="M750" s="71"/>
      <c r="N750" s="71"/>
      <c r="X750" s="71"/>
      <c r="Y750" s="71"/>
      <c r="Z750" s="71"/>
      <c r="AA750" s="71"/>
      <c r="AB750" s="71"/>
      <c r="AC750" s="71"/>
      <c r="AD750" s="71"/>
      <c r="AE750" s="71"/>
      <c r="AF750" s="71"/>
      <c r="AG750" s="71"/>
      <c r="AH750" s="71"/>
      <c r="AI750" s="71"/>
    </row>
    <row r="751" spans="1:35" x14ac:dyDescent="0.2">
      <c r="A751" s="71"/>
      <c r="B751" s="71"/>
      <c r="C751" s="71"/>
      <c r="D751" s="71"/>
      <c r="E751" s="71"/>
      <c r="F751" s="71"/>
      <c r="G751" s="71"/>
      <c r="H751" s="71"/>
      <c r="I751" s="71"/>
      <c r="J751" s="71"/>
      <c r="K751" s="71"/>
      <c r="L751" s="71"/>
      <c r="M751" s="71"/>
      <c r="N751" s="71"/>
      <c r="X751" s="71"/>
      <c r="Y751" s="71"/>
      <c r="Z751" s="71"/>
      <c r="AA751" s="71"/>
      <c r="AB751" s="71"/>
      <c r="AC751" s="71"/>
      <c r="AD751" s="71"/>
      <c r="AE751" s="71"/>
      <c r="AF751" s="71"/>
      <c r="AG751" s="71"/>
      <c r="AH751" s="71"/>
      <c r="AI751" s="71"/>
    </row>
    <row r="752" spans="1:35" x14ac:dyDescent="0.2">
      <c r="A752" s="71"/>
      <c r="B752" s="71"/>
      <c r="C752" s="71"/>
      <c r="D752" s="71"/>
      <c r="E752" s="71"/>
      <c r="F752" s="71"/>
      <c r="G752" s="71"/>
      <c r="H752" s="71"/>
      <c r="I752" s="71"/>
      <c r="J752" s="71"/>
      <c r="K752" s="71"/>
      <c r="L752" s="71"/>
      <c r="M752" s="71"/>
      <c r="N752" s="71"/>
      <c r="X752" s="71"/>
      <c r="Y752" s="71"/>
      <c r="Z752" s="71"/>
      <c r="AA752" s="71"/>
      <c r="AB752" s="71"/>
      <c r="AC752" s="71"/>
      <c r="AD752" s="71"/>
      <c r="AE752" s="71"/>
      <c r="AF752" s="71"/>
      <c r="AG752" s="71"/>
      <c r="AH752" s="71"/>
      <c r="AI752" s="71"/>
    </row>
    <row r="753" spans="1:35" x14ac:dyDescent="0.2">
      <c r="A753" s="71"/>
      <c r="B753" s="71"/>
      <c r="C753" s="71"/>
      <c r="D753" s="71"/>
      <c r="E753" s="71"/>
      <c r="F753" s="71"/>
      <c r="G753" s="71"/>
      <c r="H753" s="71"/>
      <c r="I753" s="71"/>
      <c r="J753" s="71"/>
      <c r="K753" s="71"/>
      <c r="L753" s="71"/>
      <c r="M753" s="71"/>
      <c r="N753" s="71"/>
      <c r="X753" s="71"/>
      <c r="Y753" s="71"/>
      <c r="Z753" s="71"/>
      <c r="AA753" s="71"/>
      <c r="AB753" s="71"/>
      <c r="AC753" s="71"/>
      <c r="AD753" s="71"/>
      <c r="AE753" s="71"/>
      <c r="AF753" s="71"/>
      <c r="AG753" s="71"/>
      <c r="AH753" s="71"/>
      <c r="AI753" s="71"/>
    </row>
    <row r="754" spans="1:35" x14ac:dyDescent="0.2">
      <c r="A754" s="71"/>
      <c r="B754" s="71"/>
      <c r="C754" s="71"/>
      <c r="D754" s="71"/>
      <c r="E754" s="71"/>
      <c r="F754" s="71"/>
      <c r="G754" s="71"/>
      <c r="H754" s="71"/>
      <c r="I754" s="71"/>
      <c r="J754" s="71"/>
      <c r="K754" s="71"/>
      <c r="L754" s="71"/>
      <c r="M754" s="71"/>
      <c r="N754" s="71"/>
      <c r="X754" s="71"/>
      <c r="Y754" s="71"/>
      <c r="Z754" s="71"/>
      <c r="AA754" s="71"/>
      <c r="AB754" s="71"/>
      <c r="AC754" s="71"/>
      <c r="AD754" s="71"/>
      <c r="AE754" s="71"/>
      <c r="AF754" s="71"/>
      <c r="AG754" s="71"/>
      <c r="AH754" s="71"/>
      <c r="AI754" s="71"/>
    </row>
    <row r="755" spans="1:35" x14ac:dyDescent="0.2">
      <c r="A755" s="71"/>
      <c r="B755" s="71"/>
      <c r="C755" s="71"/>
      <c r="D755" s="71"/>
      <c r="E755" s="71"/>
      <c r="F755" s="71"/>
      <c r="G755" s="71"/>
      <c r="H755" s="71"/>
      <c r="I755" s="71"/>
      <c r="J755" s="71"/>
      <c r="K755" s="71"/>
      <c r="L755" s="71"/>
      <c r="M755" s="71"/>
      <c r="N755" s="71"/>
      <c r="X755" s="71"/>
      <c r="Y755" s="71"/>
      <c r="Z755" s="71"/>
      <c r="AA755" s="71"/>
      <c r="AB755" s="71"/>
      <c r="AC755" s="71"/>
      <c r="AD755" s="71"/>
      <c r="AE755" s="71"/>
      <c r="AF755" s="71"/>
      <c r="AG755" s="71"/>
      <c r="AH755" s="71"/>
      <c r="AI755" s="71"/>
    </row>
    <row r="756" spans="1:35" x14ac:dyDescent="0.2">
      <c r="A756" s="71"/>
      <c r="B756" s="71"/>
      <c r="C756" s="71"/>
      <c r="D756" s="71"/>
      <c r="E756" s="71"/>
      <c r="F756" s="71"/>
      <c r="G756" s="71"/>
      <c r="H756" s="71"/>
      <c r="I756" s="71"/>
      <c r="J756" s="71"/>
      <c r="K756" s="71"/>
      <c r="L756" s="71"/>
      <c r="M756" s="71"/>
      <c r="N756" s="71"/>
      <c r="X756" s="71"/>
      <c r="Y756" s="71"/>
      <c r="Z756" s="71"/>
      <c r="AA756" s="71"/>
      <c r="AB756" s="71"/>
      <c r="AC756" s="71"/>
      <c r="AD756" s="71"/>
      <c r="AE756" s="71"/>
      <c r="AF756" s="71"/>
      <c r="AG756" s="71"/>
      <c r="AH756" s="71"/>
      <c r="AI756" s="71"/>
    </row>
    <row r="757" spans="1:35" x14ac:dyDescent="0.2">
      <c r="A757" s="71"/>
      <c r="B757" s="71"/>
      <c r="C757" s="71"/>
      <c r="D757" s="71"/>
      <c r="E757" s="71"/>
      <c r="F757" s="71"/>
      <c r="G757" s="71"/>
      <c r="H757" s="71"/>
      <c r="I757" s="71"/>
      <c r="J757" s="71"/>
      <c r="K757" s="71"/>
      <c r="L757" s="71"/>
      <c r="M757" s="71"/>
      <c r="N757" s="71"/>
      <c r="X757" s="71"/>
      <c r="Y757" s="71"/>
      <c r="Z757" s="71"/>
      <c r="AA757" s="71"/>
      <c r="AB757" s="71"/>
      <c r="AC757" s="71"/>
      <c r="AD757" s="71"/>
      <c r="AE757" s="71"/>
      <c r="AF757" s="71"/>
      <c r="AG757" s="71"/>
      <c r="AH757" s="71"/>
      <c r="AI757" s="71"/>
    </row>
    <row r="758" spans="1:35" x14ac:dyDescent="0.2">
      <c r="A758" s="71"/>
      <c r="B758" s="71"/>
      <c r="C758" s="71"/>
      <c r="D758" s="71"/>
      <c r="E758" s="71"/>
      <c r="F758" s="71"/>
      <c r="G758" s="71"/>
      <c r="H758" s="71"/>
      <c r="I758" s="71"/>
      <c r="J758" s="71"/>
      <c r="K758" s="71"/>
      <c r="L758" s="71"/>
      <c r="M758" s="71"/>
      <c r="N758" s="71"/>
      <c r="X758" s="71"/>
      <c r="Y758" s="71"/>
      <c r="Z758" s="71"/>
      <c r="AA758" s="71"/>
      <c r="AB758" s="71"/>
      <c r="AC758" s="71"/>
      <c r="AD758" s="71"/>
      <c r="AE758" s="71"/>
      <c r="AF758" s="71"/>
      <c r="AG758" s="71"/>
      <c r="AH758" s="71"/>
      <c r="AI758" s="71"/>
    </row>
    <row r="759" spans="1:35" x14ac:dyDescent="0.2">
      <c r="A759" s="71"/>
      <c r="B759" s="71"/>
      <c r="C759" s="71"/>
      <c r="D759" s="71"/>
      <c r="E759" s="71"/>
      <c r="F759" s="71"/>
      <c r="G759" s="71"/>
      <c r="H759" s="71"/>
      <c r="I759" s="71"/>
      <c r="J759" s="71"/>
      <c r="K759" s="71"/>
      <c r="L759" s="71"/>
      <c r="M759" s="71"/>
      <c r="N759" s="71"/>
      <c r="X759" s="71"/>
      <c r="Y759" s="71"/>
      <c r="Z759" s="71"/>
      <c r="AA759" s="71"/>
      <c r="AB759" s="71"/>
      <c r="AC759" s="71"/>
      <c r="AD759" s="71"/>
      <c r="AE759" s="71"/>
      <c r="AF759" s="71"/>
      <c r="AG759" s="71"/>
      <c r="AH759" s="71"/>
      <c r="AI759" s="71"/>
    </row>
    <row r="760" spans="1:35" x14ac:dyDescent="0.2">
      <c r="A760" s="71"/>
      <c r="B760" s="71"/>
      <c r="C760" s="71"/>
      <c r="D760" s="71"/>
      <c r="E760" s="71"/>
      <c r="F760" s="71"/>
      <c r="G760" s="71"/>
      <c r="H760" s="71"/>
      <c r="I760" s="71"/>
      <c r="J760" s="71"/>
      <c r="K760" s="71"/>
      <c r="L760" s="71"/>
      <c r="M760" s="71"/>
      <c r="N760" s="71"/>
      <c r="X760" s="71"/>
      <c r="Y760" s="71"/>
      <c r="Z760" s="71"/>
      <c r="AA760" s="71"/>
      <c r="AB760" s="71"/>
      <c r="AC760" s="71"/>
      <c r="AD760" s="71"/>
      <c r="AE760" s="71"/>
      <c r="AF760" s="71"/>
      <c r="AG760" s="71"/>
      <c r="AH760" s="71"/>
      <c r="AI760" s="71"/>
    </row>
    <row r="761" spans="1:35" x14ac:dyDescent="0.2">
      <c r="A761" s="71"/>
      <c r="B761" s="71"/>
      <c r="C761" s="71"/>
      <c r="D761" s="71"/>
      <c r="E761" s="71"/>
      <c r="F761" s="71"/>
      <c r="G761" s="71"/>
      <c r="H761" s="71"/>
      <c r="I761" s="71"/>
      <c r="J761" s="71"/>
      <c r="K761" s="71"/>
      <c r="L761" s="71"/>
      <c r="M761" s="71"/>
      <c r="N761" s="71"/>
      <c r="X761" s="71"/>
      <c r="Y761" s="71"/>
      <c r="Z761" s="71"/>
      <c r="AA761" s="71"/>
      <c r="AB761" s="71"/>
      <c r="AC761" s="71"/>
      <c r="AD761" s="71"/>
      <c r="AE761" s="71"/>
      <c r="AF761" s="71"/>
      <c r="AG761" s="71"/>
      <c r="AH761" s="71"/>
      <c r="AI761" s="71"/>
    </row>
    <row r="762" spans="1:35" x14ac:dyDescent="0.2">
      <c r="A762" s="71"/>
      <c r="B762" s="71"/>
      <c r="C762" s="71"/>
      <c r="D762" s="71"/>
      <c r="E762" s="71"/>
      <c r="F762" s="71"/>
      <c r="G762" s="71"/>
      <c r="H762" s="71"/>
      <c r="I762" s="71"/>
      <c r="J762" s="71"/>
      <c r="K762" s="71"/>
      <c r="L762" s="71"/>
      <c r="M762" s="71"/>
      <c r="N762" s="71"/>
      <c r="X762" s="71"/>
      <c r="Y762" s="71"/>
      <c r="Z762" s="71"/>
      <c r="AA762" s="71"/>
      <c r="AB762" s="71"/>
      <c r="AC762" s="71"/>
      <c r="AD762" s="71"/>
      <c r="AE762" s="71"/>
      <c r="AF762" s="71"/>
      <c r="AG762" s="71"/>
      <c r="AH762" s="71"/>
      <c r="AI762" s="71"/>
    </row>
    <row r="763" spans="1:35" x14ac:dyDescent="0.2">
      <c r="A763" s="71"/>
      <c r="B763" s="71"/>
      <c r="C763" s="71"/>
      <c r="D763" s="71"/>
      <c r="E763" s="71"/>
      <c r="F763" s="71"/>
      <c r="G763" s="71"/>
      <c r="H763" s="71"/>
      <c r="I763" s="71"/>
      <c r="J763" s="71"/>
      <c r="K763" s="71"/>
      <c r="L763" s="71"/>
      <c r="M763" s="71"/>
      <c r="N763" s="71"/>
      <c r="X763" s="71"/>
      <c r="Y763" s="71"/>
      <c r="Z763" s="71"/>
      <c r="AA763" s="71"/>
      <c r="AB763" s="71"/>
      <c r="AC763" s="71"/>
      <c r="AD763" s="71"/>
      <c r="AE763" s="71"/>
      <c r="AF763" s="71"/>
      <c r="AG763" s="71"/>
      <c r="AH763" s="71"/>
      <c r="AI763" s="71"/>
    </row>
    <row r="764" spans="1:35" x14ac:dyDescent="0.2">
      <c r="A764" s="71"/>
      <c r="B764" s="71"/>
      <c r="C764" s="71"/>
      <c r="D764" s="71"/>
      <c r="E764" s="71"/>
      <c r="F764" s="71"/>
      <c r="G764" s="71"/>
      <c r="H764" s="71"/>
      <c r="I764" s="71"/>
      <c r="J764" s="71"/>
      <c r="K764" s="71"/>
      <c r="L764" s="71"/>
      <c r="M764" s="71"/>
      <c r="N764" s="71"/>
      <c r="X764" s="71"/>
      <c r="Y764" s="71"/>
      <c r="Z764" s="71"/>
      <c r="AA764" s="71"/>
      <c r="AB764" s="71"/>
      <c r="AC764" s="71"/>
      <c r="AD764" s="71"/>
      <c r="AE764" s="71"/>
      <c r="AF764" s="71"/>
      <c r="AG764" s="71"/>
      <c r="AH764" s="71"/>
      <c r="AI764" s="71"/>
    </row>
    <row r="765" spans="1:35" x14ac:dyDescent="0.2">
      <c r="A765" s="71"/>
      <c r="B765" s="71"/>
      <c r="C765" s="71"/>
      <c r="D765" s="71"/>
      <c r="E765" s="71"/>
      <c r="F765" s="71"/>
      <c r="G765" s="71"/>
      <c r="H765" s="71"/>
      <c r="I765" s="71"/>
      <c r="J765" s="71"/>
      <c r="K765" s="71"/>
      <c r="L765" s="71"/>
      <c r="M765" s="71"/>
      <c r="N765" s="71"/>
      <c r="X765" s="71"/>
      <c r="Y765" s="71"/>
      <c r="Z765" s="71"/>
      <c r="AA765" s="71"/>
      <c r="AB765" s="71"/>
      <c r="AC765" s="71"/>
      <c r="AD765" s="71"/>
      <c r="AE765" s="71"/>
      <c r="AF765" s="71"/>
      <c r="AG765" s="71"/>
      <c r="AH765" s="71"/>
      <c r="AI765" s="71"/>
    </row>
    <row r="766" spans="1:35" x14ac:dyDescent="0.2">
      <c r="A766" s="71"/>
      <c r="B766" s="71"/>
      <c r="C766" s="71"/>
      <c r="D766" s="71"/>
      <c r="E766" s="71"/>
      <c r="F766" s="71"/>
      <c r="G766" s="71"/>
      <c r="H766" s="71"/>
      <c r="I766" s="71"/>
      <c r="J766" s="71"/>
      <c r="K766" s="71"/>
      <c r="L766" s="71"/>
      <c r="M766" s="71"/>
      <c r="N766" s="71"/>
      <c r="X766" s="71"/>
      <c r="Y766" s="71"/>
      <c r="Z766" s="71"/>
      <c r="AA766" s="71"/>
      <c r="AB766" s="71"/>
      <c r="AC766" s="71"/>
      <c r="AD766" s="71"/>
      <c r="AE766" s="71"/>
      <c r="AF766" s="71"/>
      <c r="AG766" s="71"/>
      <c r="AH766" s="71"/>
      <c r="AI766" s="71"/>
    </row>
    <row r="767" spans="1:35" x14ac:dyDescent="0.2">
      <c r="A767" s="71"/>
      <c r="B767" s="71"/>
      <c r="C767" s="71"/>
      <c r="D767" s="71"/>
      <c r="E767" s="71"/>
      <c r="F767" s="71"/>
      <c r="G767" s="71"/>
      <c r="H767" s="71"/>
      <c r="I767" s="71"/>
      <c r="J767" s="71"/>
      <c r="K767" s="71"/>
      <c r="L767" s="71"/>
      <c r="M767" s="71"/>
      <c r="N767" s="71"/>
      <c r="X767" s="71"/>
      <c r="Y767" s="71"/>
      <c r="Z767" s="71"/>
      <c r="AA767" s="71"/>
      <c r="AB767" s="71"/>
      <c r="AC767" s="71"/>
      <c r="AD767" s="71"/>
      <c r="AE767" s="71"/>
      <c r="AF767" s="71"/>
      <c r="AG767" s="71"/>
      <c r="AH767" s="71"/>
      <c r="AI767" s="71"/>
    </row>
    <row r="768" spans="1:35" x14ac:dyDescent="0.2">
      <c r="A768" s="71"/>
      <c r="B768" s="71"/>
      <c r="C768" s="71"/>
      <c r="D768" s="71"/>
      <c r="E768" s="71"/>
      <c r="F768" s="71"/>
      <c r="G768" s="71"/>
      <c r="H768" s="71"/>
      <c r="I768" s="71"/>
      <c r="J768" s="71"/>
      <c r="K768" s="71"/>
      <c r="L768" s="71"/>
      <c r="M768" s="71"/>
      <c r="N768" s="71"/>
      <c r="X768" s="71"/>
      <c r="Y768" s="71"/>
      <c r="Z768" s="71"/>
      <c r="AA768" s="71"/>
      <c r="AB768" s="71"/>
      <c r="AC768" s="71"/>
      <c r="AD768" s="71"/>
      <c r="AE768" s="71"/>
      <c r="AF768" s="71"/>
      <c r="AG768" s="71"/>
      <c r="AH768" s="71"/>
      <c r="AI768" s="71"/>
    </row>
    <row r="769" spans="1:35" x14ac:dyDescent="0.2">
      <c r="A769" s="71"/>
      <c r="B769" s="71"/>
      <c r="C769" s="71"/>
      <c r="D769" s="71"/>
      <c r="E769" s="71"/>
      <c r="F769" s="71"/>
      <c r="G769" s="71"/>
      <c r="H769" s="71"/>
      <c r="I769" s="71"/>
      <c r="J769" s="71"/>
      <c r="K769" s="71"/>
      <c r="L769" s="71"/>
      <c r="M769" s="71"/>
      <c r="N769" s="71"/>
      <c r="X769" s="71"/>
      <c r="Y769" s="71"/>
      <c r="Z769" s="71"/>
      <c r="AA769" s="71"/>
      <c r="AB769" s="71"/>
      <c r="AC769" s="71"/>
      <c r="AD769" s="71"/>
      <c r="AE769" s="71"/>
      <c r="AF769" s="71"/>
      <c r="AG769" s="71"/>
      <c r="AH769" s="71"/>
      <c r="AI769" s="71"/>
    </row>
    <row r="770" spans="1:35" x14ac:dyDescent="0.2">
      <c r="A770" s="71"/>
      <c r="B770" s="71"/>
      <c r="C770" s="71"/>
      <c r="D770" s="71"/>
      <c r="E770" s="71"/>
      <c r="F770" s="71"/>
      <c r="G770" s="71"/>
      <c r="H770" s="71"/>
      <c r="I770" s="71"/>
      <c r="J770" s="71"/>
      <c r="K770" s="71"/>
      <c r="L770" s="71"/>
      <c r="M770" s="71"/>
      <c r="N770" s="71"/>
      <c r="X770" s="71"/>
      <c r="Y770" s="71"/>
      <c r="Z770" s="71"/>
      <c r="AA770" s="71"/>
      <c r="AB770" s="71"/>
      <c r="AC770" s="71"/>
      <c r="AD770" s="71"/>
      <c r="AE770" s="71"/>
      <c r="AF770" s="71"/>
      <c r="AG770" s="71"/>
      <c r="AH770" s="71"/>
      <c r="AI770" s="71"/>
    </row>
    <row r="771" spans="1:35" x14ac:dyDescent="0.2">
      <c r="A771" s="71"/>
      <c r="B771" s="71"/>
      <c r="C771" s="71"/>
      <c r="D771" s="71"/>
      <c r="E771" s="71"/>
      <c r="F771" s="71"/>
      <c r="G771" s="71"/>
      <c r="H771" s="71"/>
      <c r="I771" s="71"/>
      <c r="J771" s="71"/>
      <c r="K771" s="71"/>
      <c r="L771" s="71"/>
      <c r="M771" s="71"/>
      <c r="N771" s="71"/>
      <c r="X771" s="71"/>
      <c r="Y771" s="71"/>
      <c r="Z771" s="71"/>
      <c r="AA771" s="71"/>
      <c r="AB771" s="71"/>
      <c r="AC771" s="71"/>
      <c r="AD771" s="71"/>
      <c r="AE771" s="71"/>
      <c r="AF771" s="71"/>
      <c r="AG771" s="71"/>
      <c r="AH771" s="71"/>
      <c r="AI771" s="71"/>
    </row>
    <row r="772" spans="1:35" x14ac:dyDescent="0.2">
      <c r="A772" s="71"/>
      <c r="B772" s="71"/>
      <c r="C772" s="71"/>
      <c r="D772" s="71"/>
      <c r="E772" s="71"/>
      <c r="F772" s="71"/>
      <c r="G772" s="71"/>
      <c r="H772" s="71"/>
      <c r="I772" s="71"/>
      <c r="J772" s="71"/>
      <c r="K772" s="71"/>
      <c r="L772" s="71"/>
      <c r="M772" s="71"/>
      <c r="N772" s="71"/>
      <c r="X772" s="71"/>
      <c r="Y772" s="71"/>
      <c r="Z772" s="71"/>
      <c r="AA772" s="71"/>
      <c r="AB772" s="71"/>
      <c r="AC772" s="71"/>
      <c r="AD772" s="71"/>
      <c r="AE772" s="71"/>
      <c r="AF772" s="71"/>
      <c r="AG772" s="71"/>
      <c r="AH772" s="71"/>
      <c r="AI772" s="71"/>
    </row>
    <row r="773" spans="1:35" x14ac:dyDescent="0.2">
      <c r="A773" s="71"/>
      <c r="B773" s="71"/>
      <c r="C773" s="71"/>
      <c r="D773" s="71"/>
      <c r="E773" s="71"/>
      <c r="F773" s="71"/>
      <c r="G773" s="71"/>
      <c r="H773" s="71"/>
      <c r="I773" s="71"/>
      <c r="J773" s="71"/>
      <c r="K773" s="71"/>
      <c r="L773" s="71"/>
      <c r="M773" s="71"/>
      <c r="N773" s="71"/>
      <c r="X773" s="71"/>
      <c r="Y773" s="71"/>
      <c r="Z773" s="71"/>
      <c r="AA773" s="71"/>
      <c r="AB773" s="71"/>
      <c r="AC773" s="71"/>
      <c r="AD773" s="71"/>
      <c r="AE773" s="71"/>
      <c r="AF773" s="71"/>
      <c r="AG773" s="71"/>
      <c r="AH773" s="71"/>
      <c r="AI773" s="71"/>
    </row>
    <row r="774" spans="1:35" x14ac:dyDescent="0.2">
      <c r="A774" s="71"/>
      <c r="B774" s="71"/>
      <c r="C774" s="71"/>
      <c r="D774" s="71"/>
      <c r="E774" s="71"/>
      <c r="F774" s="71"/>
      <c r="X774" s="71"/>
      <c r="Y774" s="71"/>
      <c r="Z774" s="71"/>
      <c r="AA774" s="71"/>
      <c r="AB774" s="71"/>
      <c r="AC774" s="71"/>
      <c r="AD774" s="71"/>
      <c r="AE774" s="71"/>
      <c r="AF774" s="71"/>
      <c r="AG774" s="71"/>
      <c r="AH774" s="71"/>
      <c r="AI774" s="71"/>
    </row>
    <row r="775" spans="1:35" x14ac:dyDescent="0.2">
      <c r="A775" s="71"/>
      <c r="B775" s="71"/>
      <c r="C775" s="71"/>
      <c r="D775" s="71"/>
      <c r="E775" s="71"/>
      <c r="F775" s="71"/>
      <c r="G775" s="71"/>
      <c r="X775" s="71"/>
      <c r="Y775" s="71"/>
      <c r="Z775" s="71"/>
      <c r="AA775" s="71"/>
      <c r="AB775" s="71"/>
      <c r="AC775" s="71"/>
      <c r="AD775" s="71"/>
      <c r="AE775" s="71"/>
      <c r="AF775" s="71"/>
      <c r="AG775" s="71"/>
      <c r="AH775" s="71"/>
      <c r="AI775" s="71"/>
    </row>
    <row r="776" spans="1:35" x14ac:dyDescent="0.2">
      <c r="A776" s="71"/>
      <c r="B776" s="71"/>
      <c r="C776" s="71"/>
      <c r="D776" s="71"/>
      <c r="E776" s="71"/>
      <c r="F776" s="71"/>
      <c r="G776" s="71"/>
      <c r="X776" s="71"/>
      <c r="Y776" s="71"/>
      <c r="Z776" s="71"/>
      <c r="AA776" s="71"/>
      <c r="AB776" s="71"/>
      <c r="AC776" s="71"/>
      <c r="AD776" s="71"/>
      <c r="AE776" s="71"/>
      <c r="AF776" s="71"/>
      <c r="AG776" s="71"/>
      <c r="AH776" s="71"/>
      <c r="AI776" s="71"/>
    </row>
    <row r="777" spans="1:35" x14ac:dyDescent="0.2">
      <c r="A777" s="71"/>
      <c r="B777" s="71"/>
      <c r="C777" s="71"/>
      <c r="D777" s="71"/>
      <c r="E777" s="71"/>
      <c r="F777" s="71"/>
      <c r="G777" s="71"/>
      <c r="H777" s="71"/>
      <c r="I777" s="71"/>
      <c r="J777" s="71"/>
      <c r="K777" s="71"/>
      <c r="L777" s="71"/>
      <c r="M777" s="71"/>
      <c r="N777" s="71"/>
      <c r="O777" s="71"/>
      <c r="P777" s="71"/>
      <c r="X777" s="71"/>
      <c r="Y777" s="71"/>
      <c r="Z777" s="71"/>
      <c r="AA777" s="71"/>
      <c r="AB777" s="71"/>
      <c r="AC777" s="71"/>
      <c r="AD777" s="71"/>
      <c r="AE777" s="71"/>
      <c r="AF777" s="71"/>
      <c r="AG777" s="71"/>
      <c r="AH777" s="71"/>
      <c r="AI777" s="71"/>
    </row>
    <row r="778" spans="1:35" x14ac:dyDescent="0.2">
      <c r="A778" s="71"/>
      <c r="B778" s="71"/>
      <c r="C778" s="71"/>
      <c r="D778" s="71"/>
      <c r="E778" s="71"/>
      <c r="F778" s="71"/>
      <c r="G778" s="71"/>
      <c r="H778" s="71"/>
      <c r="I778" s="71"/>
      <c r="J778" s="71"/>
      <c r="K778" s="71"/>
      <c r="L778" s="71"/>
      <c r="M778" s="71"/>
      <c r="N778" s="71"/>
      <c r="O778" s="71"/>
      <c r="P778" s="71"/>
      <c r="X778" s="71"/>
      <c r="Y778" s="71"/>
      <c r="Z778" s="71"/>
      <c r="AA778" s="71"/>
      <c r="AB778" s="71"/>
      <c r="AC778" s="71"/>
      <c r="AD778" s="71"/>
      <c r="AE778" s="71"/>
      <c r="AF778" s="71"/>
      <c r="AG778" s="71"/>
      <c r="AH778" s="71"/>
      <c r="AI778" s="71"/>
    </row>
    <row r="779" spans="1:35" x14ac:dyDescent="0.2">
      <c r="A779" s="71"/>
      <c r="B779" s="71"/>
      <c r="C779" s="71"/>
      <c r="D779" s="71"/>
      <c r="E779" s="71"/>
      <c r="F779" s="71"/>
      <c r="G779" s="71"/>
      <c r="H779" s="71"/>
      <c r="I779" s="71"/>
      <c r="J779" s="71"/>
      <c r="K779" s="71"/>
      <c r="L779" s="71"/>
      <c r="M779" s="71"/>
      <c r="N779" s="71"/>
      <c r="O779" s="71"/>
      <c r="P779" s="71"/>
      <c r="X779" s="71"/>
      <c r="Y779" s="71"/>
      <c r="Z779" s="71"/>
      <c r="AA779" s="71"/>
      <c r="AB779" s="71"/>
      <c r="AC779" s="71"/>
      <c r="AD779" s="71"/>
      <c r="AE779" s="71"/>
      <c r="AF779" s="71"/>
      <c r="AG779" s="71"/>
      <c r="AH779" s="71"/>
      <c r="AI779" s="71"/>
    </row>
    <row r="780" spans="1:35" x14ac:dyDescent="0.2">
      <c r="A780" s="71"/>
      <c r="B780" s="71"/>
      <c r="C780" s="71"/>
      <c r="D780" s="71"/>
      <c r="E780" s="71"/>
      <c r="F780" s="71"/>
      <c r="G780" s="71"/>
      <c r="H780" s="71"/>
      <c r="I780" s="71"/>
      <c r="J780" s="71"/>
      <c r="K780" s="71"/>
      <c r="L780" s="71"/>
      <c r="M780" s="71"/>
      <c r="N780" s="71"/>
      <c r="O780" s="71"/>
      <c r="P780" s="71"/>
      <c r="Q780" s="71"/>
      <c r="R780" s="71"/>
      <c r="X780" s="71"/>
      <c r="Y780" s="71"/>
      <c r="Z780" s="71"/>
      <c r="AA780" s="71"/>
      <c r="AB780" s="71"/>
      <c r="AC780" s="71"/>
      <c r="AD780" s="71"/>
      <c r="AE780" s="71"/>
      <c r="AF780" s="71"/>
      <c r="AG780" s="71"/>
      <c r="AH780" s="71"/>
      <c r="AI780" s="71"/>
    </row>
    <row r="781" spans="1:35" x14ac:dyDescent="0.2">
      <c r="A781" s="71"/>
      <c r="B781" s="71"/>
      <c r="C781" s="71"/>
      <c r="D781" s="71"/>
      <c r="E781" s="71"/>
      <c r="F781" s="71"/>
      <c r="G781" s="71"/>
      <c r="H781" s="71"/>
      <c r="I781" s="71"/>
      <c r="J781" s="71"/>
      <c r="K781" s="71"/>
      <c r="L781" s="71"/>
      <c r="M781" s="71"/>
      <c r="N781" s="71"/>
      <c r="O781" s="71"/>
      <c r="P781" s="71"/>
      <c r="Q781" s="71"/>
      <c r="R781" s="71"/>
      <c r="X781" s="71"/>
      <c r="Y781" s="71"/>
      <c r="Z781" s="71"/>
      <c r="AA781" s="71"/>
      <c r="AB781" s="71"/>
      <c r="AC781" s="71"/>
      <c r="AD781" s="71"/>
      <c r="AE781" s="71"/>
      <c r="AF781" s="71"/>
      <c r="AG781" s="71"/>
      <c r="AH781" s="71"/>
      <c r="AI781" s="71"/>
    </row>
    <row r="782" spans="1:35" x14ac:dyDescent="0.2">
      <c r="A782" s="71"/>
      <c r="B782" s="71"/>
      <c r="C782" s="71"/>
      <c r="D782" s="71"/>
      <c r="E782" s="71"/>
      <c r="F782" s="71"/>
      <c r="G782" s="71"/>
      <c r="H782" s="71"/>
      <c r="I782" s="71"/>
      <c r="J782" s="71"/>
      <c r="K782" s="71"/>
      <c r="L782" s="71"/>
      <c r="M782" s="71"/>
      <c r="N782" s="71"/>
      <c r="O782" s="71"/>
      <c r="P782" s="71"/>
      <c r="Q782" s="71"/>
      <c r="R782" s="71"/>
      <c r="X782" s="71"/>
      <c r="Y782" s="71"/>
      <c r="Z782" s="71"/>
      <c r="AA782" s="71"/>
      <c r="AB782" s="71"/>
      <c r="AC782" s="71"/>
      <c r="AD782" s="71"/>
      <c r="AE782" s="71"/>
      <c r="AF782" s="71"/>
      <c r="AG782" s="71"/>
      <c r="AH782" s="71"/>
      <c r="AI782" s="71"/>
    </row>
    <row r="783" spans="1:35" x14ac:dyDescent="0.2">
      <c r="A783" s="71"/>
      <c r="B783" s="71"/>
      <c r="C783" s="71"/>
      <c r="D783" s="71"/>
      <c r="E783" s="71"/>
      <c r="F783" s="71"/>
      <c r="G783" s="71"/>
      <c r="H783" s="71"/>
      <c r="I783" s="71"/>
      <c r="J783" s="71"/>
      <c r="K783" s="71"/>
      <c r="L783" s="71"/>
      <c r="M783" s="71"/>
      <c r="N783" s="71"/>
      <c r="O783" s="71"/>
      <c r="P783" s="71"/>
      <c r="Q783" s="71"/>
      <c r="R783" s="71"/>
      <c r="X783" s="71"/>
      <c r="Y783" s="71"/>
      <c r="Z783" s="71"/>
      <c r="AA783" s="71"/>
      <c r="AB783" s="71"/>
      <c r="AC783" s="71"/>
      <c r="AD783" s="71"/>
      <c r="AE783" s="71"/>
      <c r="AF783" s="71"/>
      <c r="AG783" s="71"/>
      <c r="AH783" s="71"/>
      <c r="AI783" s="71"/>
    </row>
    <row r="784" spans="1:35" x14ac:dyDescent="0.2">
      <c r="A784" s="71"/>
      <c r="B784" s="71"/>
      <c r="C784" s="71"/>
      <c r="D784" s="71"/>
      <c r="E784" s="71"/>
      <c r="F784" s="71"/>
      <c r="G784" s="71"/>
      <c r="H784" s="71"/>
      <c r="I784" s="71"/>
      <c r="J784" s="71"/>
      <c r="K784" s="71"/>
      <c r="L784" s="71"/>
      <c r="M784" s="71"/>
      <c r="N784" s="71"/>
      <c r="O784" s="71"/>
      <c r="P784" s="71"/>
      <c r="Q784" s="71"/>
      <c r="R784" s="71"/>
      <c r="X784" s="71"/>
      <c r="Y784" s="71"/>
      <c r="Z784" s="71"/>
      <c r="AA784" s="71"/>
      <c r="AB784" s="71"/>
      <c r="AC784" s="71"/>
      <c r="AD784" s="71"/>
      <c r="AE784" s="71"/>
      <c r="AF784" s="71"/>
      <c r="AG784" s="71"/>
      <c r="AH784" s="71"/>
      <c r="AI784" s="71"/>
    </row>
    <row r="785" spans="1:35" x14ac:dyDescent="0.2">
      <c r="A785" s="71"/>
      <c r="B785" s="71"/>
      <c r="C785" s="71"/>
      <c r="D785" s="71"/>
      <c r="E785" s="71"/>
      <c r="F785" s="71"/>
      <c r="G785" s="71"/>
      <c r="H785" s="71"/>
      <c r="I785" s="71"/>
      <c r="J785" s="71"/>
      <c r="K785" s="71"/>
      <c r="L785" s="71"/>
      <c r="M785" s="71"/>
      <c r="N785" s="71"/>
      <c r="O785" s="71"/>
      <c r="P785" s="71"/>
      <c r="X785" s="71"/>
      <c r="Y785" s="71"/>
      <c r="Z785" s="71"/>
      <c r="AA785" s="71"/>
      <c r="AB785" s="71"/>
      <c r="AC785" s="71"/>
      <c r="AD785" s="71"/>
      <c r="AE785" s="71"/>
      <c r="AF785" s="71"/>
      <c r="AG785" s="71"/>
      <c r="AH785" s="71"/>
      <c r="AI785" s="71"/>
    </row>
    <row r="786" spans="1:35" x14ac:dyDescent="0.2">
      <c r="A786" s="71"/>
      <c r="B786" s="71"/>
      <c r="C786" s="71"/>
      <c r="D786" s="71"/>
      <c r="E786" s="71"/>
      <c r="F786" s="71"/>
      <c r="G786" s="71"/>
      <c r="H786" s="71"/>
      <c r="I786" s="71"/>
      <c r="J786" s="71"/>
      <c r="K786" s="71"/>
      <c r="L786" s="71"/>
      <c r="M786" s="71"/>
      <c r="N786" s="71"/>
      <c r="O786" s="71"/>
      <c r="P786" s="71"/>
      <c r="X786" s="71"/>
      <c r="Y786" s="71"/>
      <c r="Z786" s="71"/>
      <c r="AA786" s="71"/>
      <c r="AB786" s="71"/>
      <c r="AC786" s="71"/>
      <c r="AD786" s="71"/>
      <c r="AE786" s="71"/>
      <c r="AF786" s="71"/>
      <c r="AG786" s="71"/>
      <c r="AH786" s="71"/>
      <c r="AI786" s="71"/>
    </row>
    <row r="787" spans="1:35" x14ac:dyDescent="0.2">
      <c r="A787" s="71"/>
      <c r="B787" s="71"/>
      <c r="C787" s="71"/>
      <c r="D787" s="71"/>
      <c r="E787" s="71"/>
      <c r="F787" s="71"/>
      <c r="G787" s="71"/>
      <c r="H787" s="71"/>
      <c r="I787" s="71"/>
      <c r="J787" s="71"/>
      <c r="K787" s="71"/>
      <c r="L787" s="71"/>
      <c r="M787" s="71"/>
      <c r="N787" s="71"/>
      <c r="O787" s="71"/>
      <c r="P787" s="71"/>
      <c r="X787" s="71"/>
      <c r="Y787" s="71"/>
      <c r="Z787" s="71"/>
      <c r="AA787" s="71"/>
      <c r="AB787" s="71"/>
      <c r="AC787" s="71"/>
      <c r="AD787" s="71"/>
      <c r="AE787" s="71"/>
      <c r="AF787" s="71"/>
      <c r="AG787" s="71"/>
      <c r="AH787" s="71"/>
      <c r="AI787" s="71"/>
    </row>
    <row r="788" spans="1:35" x14ac:dyDescent="0.2">
      <c r="A788" s="71"/>
      <c r="B788" s="71"/>
      <c r="C788" s="71"/>
      <c r="D788" s="71"/>
      <c r="E788" s="71"/>
      <c r="F788" s="71"/>
      <c r="G788" s="71"/>
      <c r="H788" s="71"/>
      <c r="I788" s="71"/>
      <c r="J788" s="71"/>
      <c r="K788" s="71"/>
      <c r="L788" s="71"/>
      <c r="M788" s="71"/>
      <c r="N788" s="71"/>
      <c r="O788" s="71"/>
      <c r="P788" s="71"/>
      <c r="X788" s="71"/>
      <c r="Y788" s="71"/>
      <c r="Z788" s="71"/>
      <c r="AA788" s="71"/>
      <c r="AB788" s="71"/>
      <c r="AC788" s="71"/>
      <c r="AD788" s="71"/>
      <c r="AE788" s="71"/>
      <c r="AF788" s="71"/>
      <c r="AG788" s="71"/>
      <c r="AH788" s="71"/>
      <c r="AI788" s="71"/>
    </row>
    <row r="789" spans="1:35" x14ac:dyDescent="0.2">
      <c r="A789" s="71"/>
      <c r="B789" s="71"/>
      <c r="C789" s="71"/>
      <c r="D789" s="71"/>
      <c r="E789" s="71"/>
      <c r="F789" s="71"/>
      <c r="G789" s="71"/>
      <c r="H789" s="71"/>
      <c r="I789" s="71"/>
      <c r="J789" s="71"/>
      <c r="K789" s="71"/>
      <c r="L789" s="71"/>
      <c r="M789" s="71"/>
      <c r="N789" s="71"/>
      <c r="O789" s="71"/>
      <c r="P789" s="71"/>
      <c r="X789" s="71"/>
      <c r="Y789" s="71"/>
      <c r="Z789" s="71"/>
      <c r="AA789" s="71"/>
      <c r="AB789" s="71"/>
      <c r="AC789" s="71"/>
      <c r="AD789" s="71"/>
      <c r="AE789" s="71"/>
      <c r="AF789" s="71"/>
      <c r="AG789" s="71"/>
      <c r="AH789" s="71"/>
      <c r="AI789" s="71"/>
    </row>
    <row r="790" spans="1:35" x14ac:dyDescent="0.2">
      <c r="A790" s="71"/>
      <c r="B790" s="71"/>
      <c r="C790" s="71"/>
      <c r="D790" s="71"/>
      <c r="E790" s="71"/>
      <c r="F790" s="71"/>
      <c r="G790" s="71"/>
      <c r="H790" s="71"/>
      <c r="I790" s="71"/>
      <c r="J790" s="71"/>
      <c r="K790" s="71"/>
      <c r="L790" s="71"/>
      <c r="M790" s="71"/>
      <c r="N790" s="71"/>
      <c r="O790" s="71"/>
      <c r="P790" s="71"/>
      <c r="X790" s="71"/>
      <c r="Y790" s="71"/>
      <c r="Z790" s="71"/>
      <c r="AA790" s="71"/>
      <c r="AB790" s="71"/>
      <c r="AC790" s="71"/>
      <c r="AD790" s="71"/>
      <c r="AE790" s="71"/>
      <c r="AF790" s="71"/>
      <c r="AG790" s="71"/>
      <c r="AH790" s="71"/>
      <c r="AI790" s="71"/>
    </row>
    <row r="791" spans="1:35" x14ac:dyDescent="0.2">
      <c r="A791" s="71"/>
      <c r="B791" s="71"/>
      <c r="C791" s="71"/>
      <c r="D791" s="71"/>
      <c r="E791" s="71"/>
      <c r="F791" s="71"/>
      <c r="G791" s="71"/>
      <c r="H791" s="71"/>
      <c r="I791" s="71"/>
      <c r="J791" s="71"/>
      <c r="K791" s="71"/>
      <c r="L791" s="71"/>
      <c r="M791" s="71"/>
      <c r="N791" s="71"/>
      <c r="O791" s="71"/>
      <c r="P791" s="71"/>
      <c r="X791" s="71"/>
      <c r="Y791" s="71"/>
      <c r="Z791" s="71"/>
      <c r="AA791" s="71"/>
      <c r="AB791" s="71"/>
      <c r="AC791" s="71"/>
      <c r="AD791" s="71"/>
      <c r="AE791" s="71"/>
      <c r="AF791" s="71"/>
      <c r="AG791" s="71"/>
      <c r="AH791" s="71"/>
      <c r="AI791" s="71"/>
    </row>
    <row r="792" spans="1:35" x14ac:dyDescent="0.2">
      <c r="A792" s="71"/>
      <c r="B792" s="71"/>
      <c r="C792" s="71"/>
      <c r="D792" s="71"/>
      <c r="E792" s="71"/>
      <c r="F792" s="71"/>
      <c r="G792" s="71"/>
      <c r="H792" s="71"/>
      <c r="I792" s="71"/>
      <c r="J792" s="71"/>
      <c r="K792" s="71"/>
      <c r="L792" s="71"/>
      <c r="M792" s="71"/>
      <c r="N792" s="71"/>
      <c r="O792" s="71"/>
      <c r="P792" s="71"/>
      <c r="X792" s="71"/>
      <c r="Y792" s="71"/>
      <c r="Z792" s="71"/>
      <c r="AA792" s="71"/>
      <c r="AB792" s="71"/>
      <c r="AC792" s="71"/>
      <c r="AD792" s="71"/>
      <c r="AE792" s="71"/>
      <c r="AF792" s="71"/>
      <c r="AG792" s="71"/>
      <c r="AH792" s="71"/>
      <c r="AI792" s="71"/>
    </row>
    <row r="793" spans="1:35" x14ac:dyDescent="0.2">
      <c r="A793" s="71"/>
      <c r="B793" s="71"/>
      <c r="C793" s="71"/>
      <c r="D793" s="71"/>
      <c r="E793" s="71"/>
      <c r="F793" s="71"/>
      <c r="G793" s="71"/>
      <c r="H793" s="71"/>
      <c r="I793" s="71"/>
      <c r="J793" s="71"/>
      <c r="K793" s="71"/>
      <c r="L793" s="71"/>
      <c r="M793" s="71"/>
      <c r="N793" s="71"/>
      <c r="O793" s="71"/>
      <c r="P793" s="71"/>
      <c r="X793" s="71"/>
      <c r="Y793" s="71"/>
      <c r="Z793" s="71"/>
      <c r="AA793" s="71"/>
      <c r="AB793" s="71"/>
      <c r="AC793" s="71"/>
      <c r="AD793" s="71"/>
      <c r="AE793" s="71"/>
      <c r="AF793" s="71"/>
      <c r="AG793" s="71"/>
      <c r="AH793" s="71"/>
      <c r="AI793" s="71"/>
    </row>
    <row r="794" spans="1:35" x14ac:dyDescent="0.2">
      <c r="A794" s="71"/>
      <c r="B794" s="71"/>
      <c r="C794" s="71"/>
      <c r="D794" s="71"/>
      <c r="E794" s="71"/>
      <c r="F794" s="71"/>
      <c r="G794" s="71"/>
      <c r="H794" s="71"/>
      <c r="I794" s="71"/>
      <c r="J794" s="71"/>
      <c r="K794" s="71"/>
      <c r="L794" s="71"/>
      <c r="M794" s="71"/>
      <c r="N794" s="71"/>
      <c r="O794" s="71"/>
      <c r="P794" s="71"/>
      <c r="X794" s="71"/>
      <c r="Y794" s="71"/>
      <c r="Z794" s="71"/>
      <c r="AA794" s="71"/>
      <c r="AB794" s="71"/>
      <c r="AC794" s="71"/>
      <c r="AD794" s="71"/>
      <c r="AE794" s="71"/>
      <c r="AF794" s="71"/>
      <c r="AG794" s="71"/>
      <c r="AH794" s="71"/>
      <c r="AI794" s="71"/>
    </row>
    <row r="795" spans="1:35" x14ac:dyDescent="0.2">
      <c r="A795" s="71"/>
      <c r="B795" s="71"/>
      <c r="C795" s="71"/>
      <c r="D795" s="71"/>
      <c r="E795" s="71"/>
      <c r="F795" s="71"/>
      <c r="G795" s="71"/>
      <c r="H795" s="71"/>
      <c r="I795" s="71"/>
      <c r="J795" s="71"/>
      <c r="K795" s="71"/>
      <c r="L795" s="71"/>
      <c r="M795" s="71"/>
      <c r="N795" s="71"/>
      <c r="O795" s="71"/>
      <c r="P795" s="71"/>
      <c r="X795" s="71"/>
      <c r="Y795" s="71"/>
      <c r="Z795" s="71"/>
      <c r="AA795" s="71"/>
      <c r="AB795" s="71"/>
      <c r="AC795" s="71"/>
      <c r="AD795" s="71"/>
      <c r="AE795" s="71"/>
      <c r="AF795" s="71"/>
      <c r="AG795" s="71"/>
      <c r="AH795" s="71"/>
      <c r="AI795" s="71"/>
    </row>
    <row r="796" spans="1:35" x14ac:dyDescent="0.2">
      <c r="A796" s="71"/>
      <c r="B796" s="71"/>
      <c r="C796" s="71"/>
      <c r="D796" s="71"/>
      <c r="E796" s="71"/>
      <c r="F796" s="71"/>
      <c r="G796" s="71"/>
      <c r="H796" s="71"/>
      <c r="I796" s="71"/>
      <c r="J796" s="71"/>
      <c r="K796" s="71"/>
      <c r="L796" s="71"/>
      <c r="M796" s="71"/>
      <c r="N796" s="71"/>
      <c r="O796" s="71"/>
      <c r="P796" s="71"/>
      <c r="X796" s="71"/>
      <c r="Y796" s="71"/>
      <c r="Z796" s="71"/>
      <c r="AA796" s="71"/>
      <c r="AB796" s="71"/>
      <c r="AC796" s="71"/>
      <c r="AD796" s="71"/>
      <c r="AE796" s="71"/>
      <c r="AF796" s="71"/>
      <c r="AG796" s="71"/>
      <c r="AH796" s="71"/>
      <c r="AI796" s="71"/>
    </row>
    <row r="797" spans="1:35" x14ac:dyDescent="0.2">
      <c r="A797" s="71"/>
      <c r="B797" s="71"/>
      <c r="C797" s="71"/>
      <c r="D797" s="71"/>
      <c r="E797" s="71"/>
      <c r="F797" s="71"/>
      <c r="G797" s="71"/>
      <c r="H797" s="71"/>
      <c r="I797" s="71"/>
      <c r="J797" s="71"/>
      <c r="K797" s="71"/>
      <c r="L797" s="71"/>
      <c r="M797" s="71"/>
      <c r="N797" s="71"/>
      <c r="O797" s="71"/>
      <c r="P797" s="71"/>
      <c r="X797" s="71"/>
      <c r="Y797" s="71"/>
      <c r="Z797" s="71"/>
      <c r="AA797" s="71"/>
      <c r="AB797" s="71"/>
      <c r="AC797" s="71"/>
      <c r="AD797" s="71"/>
      <c r="AE797" s="71"/>
      <c r="AF797" s="71"/>
      <c r="AG797" s="71"/>
      <c r="AH797" s="71"/>
      <c r="AI797" s="71"/>
    </row>
    <row r="798" spans="1:35" x14ac:dyDescent="0.2">
      <c r="A798" s="71"/>
      <c r="B798" s="71"/>
      <c r="C798" s="71"/>
      <c r="D798" s="71"/>
      <c r="E798" s="71"/>
      <c r="F798" s="71"/>
      <c r="G798" s="71"/>
      <c r="H798" s="71"/>
      <c r="I798" s="71"/>
      <c r="J798" s="71"/>
      <c r="K798" s="71"/>
      <c r="L798" s="71"/>
      <c r="M798" s="71"/>
      <c r="N798" s="71"/>
      <c r="O798" s="71"/>
      <c r="P798" s="71"/>
      <c r="X798" s="71"/>
      <c r="Y798" s="71"/>
      <c r="Z798" s="71"/>
      <c r="AA798" s="71"/>
      <c r="AB798" s="71"/>
      <c r="AC798" s="71"/>
      <c r="AD798" s="71"/>
      <c r="AE798" s="71"/>
      <c r="AF798" s="71"/>
      <c r="AG798" s="71"/>
      <c r="AH798" s="71"/>
      <c r="AI798" s="71"/>
    </row>
    <row r="799" spans="1:35" x14ac:dyDescent="0.2">
      <c r="A799" s="71"/>
      <c r="B799" s="71"/>
      <c r="C799" s="71"/>
      <c r="D799" s="71"/>
      <c r="E799" s="71"/>
      <c r="F799" s="71"/>
      <c r="G799" s="71"/>
      <c r="H799" s="71"/>
      <c r="I799" s="71"/>
      <c r="J799" s="71"/>
      <c r="K799" s="71"/>
      <c r="L799" s="71"/>
      <c r="M799" s="71"/>
      <c r="N799" s="71"/>
      <c r="O799" s="71"/>
      <c r="P799" s="71"/>
      <c r="X799" s="71"/>
      <c r="Y799" s="71"/>
      <c r="Z799" s="71"/>
      <c r="AA799" s="71"/>
      <c r="AB799" s="71"/>
      <c r="AC799" s="71"/>
      <c r="AD799" s="71"/>
      <c r="AE799" s="71"/>
      <c r="AF799" s="71"/>
      <c r="AG799" s="71"/>
      <c r="AH799" s="71"/>
      <c r="AI799" s="71"/>
    </row>
    <row r="800" spans="1:35" x14ac:dyDescent="0.2">
      <c r="A800" s="71"/>
      <c r="B800" s="71"/>
      <c r="C800" s="71"/>
      <c r="D800" s="71"/>
      <c r="E800" s="71"/>
      <c r="F800" s="71"/>
      <c r="G800" s="71"/>
      <c r="H800" s="71"/>
      <c r="I800" s="71"/>
      <c r="J800" s="71"/>
      <c r="K800" s="71"/>
      <c r="L800" s="71"/>
      <c r="M800" s="71"/>
      <c r="N800" s="71"/>
      <c r="O800" s="71"/>
      <c r="P800" s="71"/>
      <c r="X800" s="71"/>
      <c r="Y800" s="71"/>
      <c r="Z800" s="71"/>
      <c r="AA800" s="71"/>
      <c r="AB800" s="71"/>
      <c r="AC800" s="71"/>
      <c r="AD800" s="71"/>
      <c r="AE800" s="71"/>
      <c r="AF800" s="71"/>
      <c r="AG800" s="71"/>
      <c r="AH800" s="71"/>
      <c r="AI800" s="71"/>
    </row>
    <row r="801" spans="1:60" x14ac:dyDescent="0.2">
      <c r="A801" s="71"/>
      <c r="B801" s="71"/>
      <c r="C801" s="71"/>
      <c r="D801" s="71"/>
      <c r="E801" s="71"/>
      <c r="F801" s="71"/>
      <c r="G801" s="71"/>
      <c r="H801" s="71"/>
      <c r="I801" s="71"/>
      <c r="J801" s="71"/>
      <c r="K801" s="71"/>
      <c r="L801" s="71"/>
      <c r="M801" s="71"/>
      <c r="N801" s="71"/>
      <c r="O801" s="71"/>
      <c r="P801" s="71"/>
      <c r="X801" s="71"/>
      <c r="Y801" s="71"/>
      <c r="Z801" s="71"/>
      <c r="AA801" s="71"/>
      <c r="AB801" s="71"/>
      <c r="AC801" s="71"/>
      <c r="AD801" s="71"/>
      <c r="AE801" s="71"/>
      <c r="AF801" s="71"/>
      <c r="AG801" s="71"/>
      <c r="AH801" s="71"/>
      <c r="AI801" s="71"/>
    </row>
    <row r="802" spans="1:60" x14ac:dyDescent="0.2">
      <c r="A802" s="71"/>
      <c r="B802" s="71"/>
      <c r="C802" s="71"/>
      <c r="D802" s="71"/>
      <c r="E802" s="71"/>
      <c r="F802" s="71"/>
      <c r="G802" s="71"/>
      <c r="H802" s="71"/>
      <c r="I802" s="71"/>
      <c r="J802" s="71"/>
      <c r="K802" s="71"/>
      <c r="L802" s="71"/>
      <c r="M802" s="71"/>
      <c r="N802" s="71"/>
      <c r="O802" s="71"/>
      <c r="P802" s="71"/>
      <c r="X802" s="71"/>
      <c r="Y802" s="71"/>
      <c r="Z802" s="71"/>
      <c r="AA802" s="71"/>
      <c r="AB802" s="71"/>
      <c r="AC802" s="71"/>
      <c r="AD802" s="71"/>
      <c r="AE802" s="71"/>
      <c r="AF802" s="71"/>
      <c r="AG802" s="71"/>
      <c r="AH802" s="71"/>
      <c r="AI802" s="71"/>
      <c r="BA802" s="71"/>
      <c r="BB802" s="71"/>
      <c r="BC802" s="71"/>
      <c r="BD802" s="71"/>
      <c r="BE802" s="71"/>
      <c r="BF802" s="71"/>
      <c r="BG802" s="71"/>
      <c r="BH802" s="71"/>
    </row>
    <row r="803" spans="1:60" s="71" customFormat="1" x14ac:dyDescent="0.2">
      <c r="A803" s="74"/>
      <c r="B803" s="74"/>
      <c r="C803" s="74"/>
      <c r="D803" s="74"/>
      <c r="E803" s="74"/>
      <c r="F803" s="74"/>
      <c r="G803" s="74"/>
    </row>
    <row r="804" spans="1:60" s="71" customFormat="1" x14ac:dyDescent="0.2">
      <c r="A804" s="74"/>
      <c r="B804" s="74"/>
      <c r="C804" s="74"/>
      <c r="D804" s="74"/>
      <c r="E804" s="74"/>
      <c r="F804" s="74"/>
      <c r="G804" s="74"/>
    </row>
    <row r="805" spans="1:60" s="71" customFormat="1" x14ac:dyDescent="0.2">
      <c r="A805" s="74"/>
      <c r="B805" s="74"/>
      <c r="C805" s="74"/>
      <c r="D805" s="74"/>
      <c r="E805" s="74"/>
      <c r="F805" s="74"/>
      <c r="G805" s="74"/>
    </row>
    <row r="806" spans="1:60" s="71" customFormat="1" x14ac:dyDescent="0.2">
      <c r="A806" s="74"/>
      <c r="B806" s="74"/>
      <c r="C806" s="74"/>
      <c r="D806" s="74"/>
      <c r="E806" s="74"/>
      <c r="F806" s="74"/>
      <c r="G806" s="74"/>
    </row>
    <row r="807" spans="1:60" s="71" customFormat="1" x14ac:dyDescent="0.2">
      <c r="A807" s="74"/>
      <c r="B807" s="74"/>
      <c r="C807" s="74"/>
      <c r="D807" s="74"/>
      <c r="E807" s="74"/>
      <c r="F807" s="74"/>
      <c r="G807" s="74"/>
    </row>
    <row r="808" spans="1:60" s="71" customFormat="1" x14ac:dyDescent="0.2">
      <c r="A808" s="74"/>
      <c r="B808" s="74"/>
      <c r="C808" s="74"/>
      <c r="D808" s="74"/>
      <c r="E808" s="74"/>
      <c r="F808" s="74"/>
      <c r="G808" s="74"/>
    </row>
    <row r="809" spans="1:60" s="71" customFormat="1" x14ac:dyDescent="0.2">
      <c r="A809" s="74"/>
      <c r="B809" s="74"/>
      <c r="C809" s="74"/>
      <c r="D809" s="74"/>
      <c r="E809" s="74"/>
      <c r="F809" s="74"/>
      <c r="G809" s="74"/>
    </row>
    <row r="810" spans="1:60" s="71" customFormat="1" x14ac:dyDescent="0.2">
      <c r="A810" s="74"/>
      <c r="B810" s="74"/>
      <c r="C810" s="74"/>
      <c r="D810" s="74"/>
      <c r="E810" s="74"/>
      <c r="F810" s="74"/>
      <c r="G810" s="74"/>
    </row>
    <row r="811" spans="1:60" s="71" customFormat="1" x14ac:dyDescent="0.2">
      <c r="A811" s="74"/>
      <c r="B811" s="74"/>
      <c r="C811" s="74"/>
      <c r="D811" s="74"/>
      <c r="E811" s="74"/>
      <c r="F811" s="74"/>
      <c r="G811" s="74"/>
    </row>
    <row r="812" spans="1:60" s="71" customFormat="1" x14ac:dyDescent="0.2">
      <c r="A812" s="74"/>
      <c r="B812" s="74"/>
      <c r="C812" s="74"/>
      <c r="D812" s="74"/>
      <c r="E812" s="74"/>
      <c r="F812" s="74"/>
      <c r="G812" s="74"/>
    </row>
    <row r="813" spans="1:60" s="71" customFormat="1" x14ac:dyDescent="0.2">
      <c r="A813" s="74"/>
      <c r="B813" s="74"/>
      <c r="C813" s="74"/>
      <c r="D813" s="74"/>
      <c r="E813" s="74"/>
      <c r="F813" s="74"/>
      <c r="G813" s="74"/>
    </row>
    <row r="814" spans="1:60" s="71" customFormat="1" x14ac:dyDescent="0.2">
      <c r="A814" s="74"/>
      <c r="B814" s="74"/>
      <c r="C814" s="74"/>
      <c r="D814" s="74"/>
      <c r="E814" s="74"/>
      <c r="F814" s="74"/>
      <c r="G814" s="74"/>
    </row>
    <row r="815" spans="1:60" s="71" customFormat="1" x14ac:dyDescent="0.2">
      <c r="A815" s="74"/>
      <c r="B815" s="74"/>
      <c r="C815" s="74"/>
      <c r="D815" s="74"/>
      <c r="E815" s="74"/>
      <c r="F815" s="74"/>
      <c r="G815" s="74"/>
    </row>
    <row r="816" spans="1:60" s="71" customFormat="1" x14ac:dyDescent="0.2">
      <c r="A816" s="74"/>
      <c r="B816" s="74"/>
      <c r="C816" s="74"/>
      <c r="D816" s="74"/>
      <c r="E816" s="74"/>
      <c r="F816" s="74"/>
      <c r="G816" s="74"/>
    </row>
    <row r="817" spans="1:7" s="71" customFormat="1" x14ac:dyDescent="0.2">
      <c r="A817" s="74"/>
      <c r="B817" s="74"/>
      <c r="C817" s="74"/>
      <c r="D817" s="74"/>
      <c r="E817" s="74"/>
      <c r="F817" s="74"/>
      <c r="G817" s="74"/>
    </row>
    <row r="818" spans="1:7" s="71" customFormat="1" x14ac:dyDescent="0.2">
      <c r="A818" s="74"/>
      <c r="B818" s="74"/>
      <c r="C818" s="74"/>
      <c r="D818" s="74"/>
      <c r="E818" s="74"/>
      <c r="F818" s="74"/>
      <c r="G818" s="74"/>
    </row>
    <row r="819" spans="1:7" s="71" customFormat="1" x14ac:dyDescent="0.2">
      <c r="A819" s="74"/>
      <c r="B819" s="74"/>
      <c r="C819" s="74"/>
      <c r="D819" s="74"/>
      <c r="E819" s="74"/>
      <c r="F819" s="74"/>
      <c r="G819" s="74"/>
    </row>
    <row r="820" spans="1:7" s="71" customFormat="1" x14ac:dyDescent="0.2">
      <c r="A820" s="74"/>
      <c r="B820" s="74"/>
      <c r="C820" s="74"/>
      <c r="D820" s="74"/>
      <c r="E820" s="74"/>
      <c r="F820" s="74"/>
      <c r="G820" s="74"/>
    </row>
    <row r="821" spans="1:7" s="71" customFormat="1" x14ac:dyDescent="0.2">
      <c r="A821" s="74"/>
      <c r="B821" s="74"/>
      <c r="C821" s="74"/>
      <c r="D821" s="74"/>
      <c r="E821" s="74"/>
      <c r="F821" s="74"/>
      <c r="G821" s="74"/>
    </row>
    <row r="822" spans="1:7" s="71" customFormat="1" x14ac:dyDescent="0.2">
      <c r="A822" s="74"/>
      <c r="B822" s="74"/>
      <c r="C822" s="74"/>
      <c r="D822" s="74"/>
      <c r="E822" s="74"/>
      <c r="F822" s="74"/>
      <c r="G822" s="74"/>
    </row>
    <row r="823" spans="1:7" s="71" customFormat="1" x14ac:dyDescent="0.2">
      <c r="A823" s="74"/>
      <c r="B823" s="74"/>
      <c r="C823" s="74"/>
      <c r="D823" s="74"/>
      <c r="E823" s="74"/>
      <c r="F823" s="74"/>
      <c r="G823" s="74"/>
    </row>
    <row r="824" spans="1:7" s="71" customFormat="1" x14ac:dyDescent="0.2">
      <c r="A824" s="74"/>
      <c r="B824" s="74"/>
      <c r="C824" s="74"/>
      <c r="D824" s="74"/>
      <c r="E824" s="74"/>
      <c r="F824" s="74"/>
      <c r="G824" s="74"/>
    </row>
    <row r="825" spans="1:7" s="71" customFormat="1" x14ac:dyDescent="0.2">
      <c r="A825" s="74"/>
      <c r="B825" s="74"/>
      <c r="C825" s="74"/>
      <c r="D825" s="74"/>
      <c r="E825" s="74"/>
      <c r="F825" s="74"/>
      <c r="G825" s="74"/>
    </row>
    <row r="826" spans="1:7" s="71" customFormat="1" x14ac:dyDescent="0.2">
      <c r="A826" s="74"/>
      <c r="B826" s="74"/>
      <c r="C826" s="74"/>
      <c r="D826" s="74"/>
      <c r="E826" s="74"/>
      <c r="F826" s="74"/>
      <c r="G826" s="74"/>
    </row>
    <row r="827" spans="1:7" s="71" customFormat="1" x14ac:dyDescent="0.2">
      <c r="A827" s="74"/>
      <c r="B827" s="74"/>
      <c r="C827" s="74"/>
      <c r="D827" s="74"/>
      <c r="E827" s="74"/>
      <c r="F827" s="74"/>
      <c r="G827" s="74"/>
    </row>
    <row r="828" spans="1:7" s="71" customFormat="1" x14ac:dyDescent="0.2">
      <c r="A828" s="74"/>
      <c r="B828" s="74"/>
      <c r="C828" s="74"/>
      <c r="D828" s="74"/>
      <c r="E828" s="74"/>
      <c r="F828" s="74"/>
      <c r="G828" s="74"/>
    </row>
    <row r="829" spans="1:7" s="71" customFormat="1" x14ac:dyDescent="0.2">
      <c r="A829" s="74"/>
      <c r="B829" s="74"/>
      <c r="C829" s="74"/>
      <c r="D829" s="74"/>
      <c r="E829" s="74"/>
      <c r="F829" s="74"/>
      <c r="G829" s="74"/>
    </row>
    <row r="830" spans="1:7" s="71" customFormat="1" x14ac:dyDescent="0.2">
      <c r="A830" s="74"/>
      <c r="B830" s="74"/>
      <c r="C830" s="74"/>
      <c r="D830" s="74"/>
      <c r="E830" s="74"/>
      <c r="F830" s="74"/>
      <c r="G830" s="74"/>
    </row>
    <row r="831" spans="1:7" s="71" customFormat="1" x14ac:dyDescent="0.2">
      <c r="A831" s="74"/>
      <c r="B831" s="74"/>
      <c r="C831" s="74"/>
      <c r="D831" s="74"/>
      <c r="E831" s="74"/>
      <c r="F831" s="74"/>
      <c r="G831" s="74"/>
    </row>
    <row r="832" spans="1:7" s="71" customFormat="1" x14ac:dyDescent="0.2">
      <c r="A832" s="74"/>
      <c r="B832" s="74"/>
      <c r="C832" s="74"/>
      <c r="D832" s="74"/>
      <c r="E832" s="74"/>
      <c r="F832" s="74"/>
      <c r="G832" s="74"/>
    </row>
    <row r="833" spans="1:7" s="71" customFormat="1" x14ac:dyDescent="0.2">
      <c r="A833" s="74"/>
      <c r="B833" s="74"/>
      <c r="C833" s="74"/>
      <c r="D833" s="74"/>
      <c r="E833" s="74"/>
      <c r="F833" s="74"/>
      <c r="G833" s="74"/>
    </row>
    <row r="834" spans="1:7" s="71" customFormat="1" x14ac:dyDescent="0.2">
      <c r="A834" s="74"/>
      <c r="B834" s="74"/>
      <c r="C834" s="74"/>
      <c r="D834" s="74"/>
      <c r="E834" s="74"/>
      <c r="F834" s="74"/>
      <c r="G834" s="74"/>
    </row>
    <row r="835" spans="1:7" s="71" customFormat="1" x14ac:dyDescent="0.2">
      <c r="A835" s="74"/>
      <c r="B835" s="74"/>
      <c r="C835" s="74"/>
      <c r="D835" s="74"/>
      <c r="E835" s="74"/>
      <c r="F835" s="74"/>
      <c r="G835" s="74"/>
    </row>
    <row r="836" spans="1:7" s="71" customFormat="1" x14ac:dyDescent="0.2">
      <c r="A836" s="74"/>
      <c r="B836" s="74"/>
      <c r="C836" s="74"/>
      <c r="D836" s="74"/>
      <c r="E836" s="74"/>
      <c r="F836" s="74"/>
      <c r="G836" s="74"/>
    </row>
    <row r="837" spans="1:7" s="71" customFormat="1" x14ac:dyDescent="0.2">
      <c r="A837" s="74"/>
      <c r="B837" s="74"/>
      <c r="C837" s="74"/>
      <c r="D837" s="74"/>
      <c r="E837" s="74"/>
      <c r="F837" s="74"/>
      <c r="G837" s="74"/>
    </row>
    <row r="838" spans="1:7" s="71" customFormat="1" x14ac:dyDescent="0.2">
      <c r="A838" s="74"/>
      <c r="B838" s="74"/>
      <c r="C838" s="74"/>
      <c r="D838" s="74"/>
      <c r="E838" s="74"/>
      <c r="F838" s="74"/>
      <c r="G838" s="74"/>
    </row>
    <row r="839" spans="1:7" s="71" customFormat="1" x14ac:dyDescent="0.2">
      <c r="A839" s="74"/>
      <c r="B839" s="74"/>
      <c r="C839" s="74"/>
      <c r="D839" s="74"/>
      <c r="E839" s="74"/>
      <c r="F839" s="74"/>
      <c r="G839" s="74"/>
    </row>
    <row r="840" spans="1:7" s="71" customFormat="1" x14ac:dyDescent="0.2">
      <c r="A840" s="74"/>
      <c r="B840" s="74"/>
      <c r="C840" s="74"/>
      <c r="D840" s="74"/>
      <c r="E840" s="74"/>
      <c r="F840" s="74"/>
      <c r="G840" s="74"/>
    </row>
    <row r="841" spans="1:7" s="71" customFormat="1" x14ac:dyDescent="0.2">
      <c r="A841" s="74"/>
      <c r="B841" s="74"/>
      <c r="C841" s="74"/>
      <c r="D841" s="74"/>
      <c r="E841" s="74"/>
      <c r="F841" s="74"/>
      <c r="G841" s="74"/>
    </row>
    <row r="842" spans="1:7" s="71" customFormat="1" x14ac:dyDescent="0.2">
      <c r="A842" s="74"/>
      <c r="B842" s="74"/>
      <c r="C842" s="74"/>
      <c r="D842" s="74"/>
      <c r="E842" s="74"/>
      <c r="F842" s="74"/>
      <c r="G842" s="74"/>
    </row>
    <row r="843" spans="1:7" s="71" customFormat="1" x14ac:dyDescent="0.2">
      <c r="A843" s="74"/>
      <c r="B843" s="74"/>
      <c r="C843" s="74"/>
      <c r="D843" s="74"/>
      <c r="E843" s="74"/>
      <c r="F843" s="74"/>
      <c r="G843" s="74"/>
    </row>
    <row r="844" spans="1:7" s="71" customFormat="1" x14ac:dyDescent="0.2">
      <c r="A844" s="74"/>
      <c r="B844" s="74"/>
      <c r="C844" s="74"/>
      <c r="D844" s="74"/>
      <c r="E844" s="74"/>
      <c r="F844" s="74"/>
      <c r="G844" s="74"/>
    </row>
    <row r="845" spans="1:7" s="71" customFormat="1" x14ac:dyDescent="0.2">
      <c r="A845" s="74"/>
      <c r="B845" s="74"/>
      <c r="C845" s="74"/>
      <c r="D845" s="74"/>
      <c r="E845" s="74"/>
      <c r="F845" s="74"/>
      <c r="G845" s="74"/>
    </row>
    <row r="846" spans="1:7" s="71" customFormat="1" x14ac:dyDescent="0.2">
      <c r="A846" s="74"/>
      <c r="B846" s="74"/>
      <c r="C846" s="74"/>
      <c r="D846" s="74"/>
      <c r="E846" s="74"/>
      <c r="F846" s="74"/>
      <c r="G846" s="74"/>
    </row>
    <row r="847" spans="1:7" s="71" customFormat="1" x14ac:dyDescent="0.2">
      <c r="A847" s="74"/>
      <c r="B847" s="74"/>
      <c r="C847" s="74"/>
      <c r="D847" s="74"/>
      <c r="E847" s="74"/>
      <c r="F847" s="74"/>
      <c r="G847" s="74"/>
    </row>
    <row r="848" spans="1:7" s="71" customFormat="1" x14ac:dyDescent="0.2">
      <c r="A848" s="74"/>
      <c r="B848" s="74"/>
      <c r="C848" s="74"/>
      <c r="D848" s="74"/>
      <c r="E848" s="74"/>
      <c r="F848" s="74"/>
      <c r="G848" s="74"/>
    </row>
    <row r="849" spans="1:7" s="71" customFormat="1" x14ac:dyDescent="0.2">
      <c r="A849" s="74"/>
      <c r="B849" s="74"/>
      <c r="C849" s="74"/>
      <c r="D849" s="74"/>
      <c r="E849" s="74"/>
      <c r="F849" s="74"/>
      <c r="G849" s="74"/>
    </row>
    <row r="850" spans="1:7" s="71" customFormat="1" x14ac:dyDescent="0.2">
      <c r="A850" s="74"/>
      <c r="B850" s="74"/>
      <c r="C850" s="74"/>
      <c r="D850" s="74"/>
      <c r="E850" s="74"/>
      <c r="F850" s="74"/>
      <c r="G850" s="74"/>
    </row>
    <row r="851" spans="1:7" s="71" customFormat="1" x14ac:dyDescent="0.2">
      <c r="A851" s="74"/>
      <c r="B851" s="74"/>
      <c r="C851" s="74"/>
      <c r="D851" s="74"/>
      <c r="E851" s="74"/>
      <c r="F851" s="74"/>
      <c r="G851" s="74"/>
    </row>
    <row r="852" spans="1:7" s="71" customFormat="1" x14ac:dyDescent="0.2">
      <c r="A852" s="74"/>
      <c r="B852" s="74"/>
      <c r="C852" s="74"/>
      <c r="D852" s="74"/>
      <c r="E852" s="74"/>
      <c r="F852" s="74"/>
      <c r="G852" s="74"/>
    </row>
    <row r="853" spans="1:7" s="71" customFormat="1" x14ac:dyDescent="0.2">
      <c r="A853" s="74"/>
      <c r="B853" s="74"/>
      <c r="C853" s="74"/>
      <c r="D853" s="74"/>
      <c r="E853" s="74"/>
      <c r="F853" s="74"/>
      <c r="G853" s="74"/>
    </row>
    <row r="854" spans="1:7" s="71" customFormat="1" x14ac:dyDescent="0.2">
      <c r="A854" s="74"/>
      <c r="B854" s="74"/>
      <c r="C854" s="74"/>
      <c r="D854" s="74"/>
      <c r="E854" s="74"/>
      <c r="F854" s="74"/>
      <c r="G854" s="74"/>
    </row>
    <row r="855" spans="1:7" s="71" customFormat="1" x14ac:dyDescent="0.2">
      <c r="A855" s="74"/>
      <c r="B855" s="74"/>
      <c r="C855" s="74"/>
      <c r="D855" s="74"/>
      <c r="E855" s="74"/>
      <c r="F855" s="74"/>
      <c r="G855" s="74"/>
    </row>
    <row r="856" spans="1:7" s="71" customFormat="1" x14ac:dyDescent="0.2">
      <c r="A856" s="74"/>
      <c r="B856" s="74"/>
      <c r="C856" s="74"/>
      <c r="D856" s="74"/>
      <c r="E856" s="74"/>
      <c r="F856" s="74"/>
      <c r="G856" s="74"/>
    </row>
    <row r="857" spans="1:7" s="71" customFormat="1" x14ac:dyDescent="0.2">
      <c r="A857" s="74"/>
      <c r="B857" s="74"/>
      <c r="C857" s="74"/>
      <c r="D857" s="74"/>
      <c r="E857" s="74"/>
      <c r="F857" s="74"/>
      <c r="G857" s="74"/>
    </row>
    <row r="858" spans="1:7" s="71" customFormat="1" x14ac:dyDescent="0.2">
      <c r="A858" s="74"/>
      <c r="B858" s="74"/>
      <c r="C858" s="74"/>
      <c r="D858" s="74"/>
      <c r="E858" s="74"/>
      <c r="F858" s="74"/>
      <c r="G858" s="74"/>
    </row>
    <row r="859" spans="1:7" s="71" customFormat="1" x14ac:dyDescent="0.2">
      <c r="A859" s="74"/>
      <c r="B859" s="74"/>
      <c r="C859" s="74"/>
      <c r="D859" s="74"/>
      <c r="E859" s="74"/>
      <c r="F859" s="74"/>
      <c r="G859" s="74"/>
    </row>
    <row r="860" spans="1:7" s="71" customFormat="1" x14ac:dyDescent="0.2">
      <c r="A860" s="74"/>
      <c r="B860" s="74"/>
      <c r="C860" s="74"/>
      <c r="D860" s="74"/>
      <c r="E860" s="74"/>
      <c r="F860" s="74"/>
      <c r="G860" s="74"/>
    </row>
    <row r="861" spans="1:7" s="71" customFormat="1" x14ac:dyDescent="0.2">
      <c r="A861" s="74"/>
      <c r="B861" s="74"/>
      <c r="C861" s="74"/>
      <c r="D861" s="74"/>
      <c r="E861" s="74"/>
      <c r="F861" s="74"/>
      <c r="G861" s="74"/>
    </row>
    <row r="862" spans="1:7" s="71" customFormat="1" x14ac:dyDescent="0.2">
      <c r="A862" s="74"/>
      <c r="B862" s="74"/>
      <c r="C862" s="74"/>
      <c r="D862" s="74"/>
      <c r="E862" s="74"/>
      <c r="F862" s="74"/>
      <c r="G862" s="74"/>
    </row>
    <row r="863" spans="1:7" s="71" customFormat="1" x14ac:dyDescent="0.2">
      <c r="A863" s="74"/>
      <c r="B863" s="74"/>
      <c r="C863" s="74"/>
      <c r="D863" s="74"/>
      <c r="E863" s="74"/>
      <c r="F863" s="74"/>
      <c r="G863" s="74"/>
    </row>
    <row r="864" spans="1:7" s="71" customFormat="1" x14ac:dyDescent="0.2">
      <c r="A864" s="74"/>
      <c r="B864" s="74"/>
      <c r="C864" s="74"/>
      <c r="D864" s="74"/>
      <c r="E864" s="74"/>
      <c r="F864" s="74"/>
      <c r="G864" s="74"/>
    </row>
    <row r="865" spans="1:7" s="71" customFormat="1" x14ac:dyDescent="0.2">
      <c r="A865" s="74"/>
      <c r="B865" s="74"/>
      <c r="C865" s="74"/>
      <c r="D865" s="74"/>
      <c r="E865" s="74"/>
      <c r="F865" s="74"/>
      <c r="G865" s="74"/>
    </row>
    <row r="866" spans="1:7" s="71" customFormat="1" x14ac:dyDescent="0.2">
      <c r="A866" s="74"/>
      <c r="B866" s="74"/>
      <c r="C866" s="74"/>
      <c r="D866" s="74"/>
      <c r="E866" s="74"/>
      <c r="F866" s="74"/>
      <c r="G866" s="74"/>
    </row>
    <row r="867" spans="1:7" s="71" customFormat="1" x14ac:dyDescent="0.2">
      <c r="A867" s="74"/>
      <c r="B867" s="74"/>
      <c r="C867" s="74"/>
      <c r="D867" s="74"/>
      <c r="E867" s="74"/>
      <c r="F867" s="74"/>
      <c r="G867" s="74"/>
    </row>
    <row r="868" spans="1:7" s="71" customFormat="1" x14ac:dyDescent="0.2">
      <c r="A868" s="74"/>
      <c r="B868" s="74"/>
      <c r="C868" s="74"/>
      <c r="D868" s="74"/>
      <c r="E868" s="74"/>
      <c r="F868" s="74"/>
      <c r="G868" s="74"/>
    </row>
    <row r="869" spans="1:7" s="71" customFormat="1" x14ac:dyDescent="0.2">
      <c r="A869" s="74"/>
      <c r="B869" s="74"/>
      <c r="C869" s="74"/>
      <c r="D869" s="74"/>
      <c r="E869" s="74"/>
      <c r="F869" s="74"/>
      <c r="G869" s="74"/>
    </row>
    <row r="870" spans="1:7" s="71" customFormat="1" x14ac:dyDescent="0.2">
      <c r="A870" s="74"/>
      <c r="B870" s="74"/>
      <c r="C870" s="74"/>
      <c r="D870" s="74"/>
      <c r="E870" s="74"/>
      <c r="F870" s="74"/>
      <c r="G870" s="74"/>
    </row>
    <row r="871" spans="1:7" s="71" customFormat="1" x14ac:dyDescent="0.2">
      <c r="A871" s="74"/>
      <c r="B871" s="74"/>
      <c r="C871" s="74"/>
      <c r="D871" s="74"/>
      <c r="E871" s="74"/>
      <c r="F871" s="74"/>
      <c r="G871" s="74"/>
    </row>
    <row r="872" spans="1:7" s="71" customFormat="1" x14ac:dyDescent="0.2">
      <c r="A872" s="74"/>
      <c r="B872" s="74"/>
      <c r="C872" s="74"/>
      <c r="D872" s="74"/>
      <c r="E872" s="74"/>
      <c r="F872" s="74"/>
      <c r="G872" s="74"/>
    </row>
    <row r="873" spans="1:7" s="71" customFormat="1" x14ac:dyDescent="0.2">
      <c r="A873" s="74"/>
      <c r="B873" s="74"/>
      <c r="C873" s="74"/>
      <c r="D873" s="74"/>
      <c r="E873" s="74"/>
      <c r="F873" s="74"/>
      <c r="G873" s="74"/>
    </row>
    <row r="874" spans="1:7" s="71" customFormat="1" x14ac:dyDescent="0.2">
      <c r="A874" s="74"/>
      <c r="B874" s="74"/>
      <c r="C874" s="74"/>
      <c r="D874" s="74"/>
      <c r="E874" s="74"/>
      <c r="F874" s="74"/>
      <c r="G874" s="74"/>
    </row>
    <row r="875" spans="1:7" s="71" customFormat="1" x14ac:dyDescent="0.2">
      <c r="A875" s="74"/>
      <c r="B875" s="74"/>
      <c r="C875" s="74"/>
      <c r="D875" s="74"/>
      <c r="E875" s="74"/>
      <c r="F875" s="74"/>
      <c r="G875" s="74"/>
    </row>
    <row r="876" spans="1:7" s="71" customFormat="1" x14ac:dyDescent="0.2">
      <c r="A876" s="74"/>
      <c r="B876" s="74"/>
      <c r="C876" s="74"/>
      <c r="D876" s="74"/>
      <c r="E876" s="74"/>
      <c r="F876" s="74"/>
      <c r="G876" s="74"/>
    </row>
    <row r="877" spans="1:7" s="71" customFormat="1" x14ac:dyDescent="0.2">
      <c r="A877" s="74"/>
      <c r="B877" s="74"/>
      <c r="C877" s="74"/>
      <c r="D877" s="74"/>
      <c r="E877" s="74"/>
      <c r="F877" s="74"/>
      <c r="G877" s="74"/>
    </row>
    <row r="878" spans="1:7" s="71" customFormat="1" x14ac:dyDescent="0.2">
      <c r="A878" s="74"/>
      <c r="B878" s="74"/>
      <c r="C878" s="74"/>
      <c r="D878" s="74"/>
      <c r="E878" s="74"/>
      <c r="F878" s="74"/>
      <c r="G878" s="74"/>
    </row>
    <row r="879" spans="1:7" s="71" customFormat="1" x14ac:dyDescent="0.2">
      <c r="A879" s="74"/>
      <c r="B879" s="74"/>
      <c r="C879" s="74"/>
      <c r="D879" s="74"/>
      <c r="E879" s="74"/>
      <c r="F879" s="74"/>
      <c r="G879" s="74"/>
    </row>
    <row r="880" spans="1:7" s="71" customFormat="1" x14ac:dyDescent="0.2">
      <c r="A880" s="74"/>
      <c r="B880" s="74"/>
      <c r="C880" s="74"/>
      <c r="D880" s="74"/>
      <c r="E880" s="74"/>
      <c r="F880" s="74"/>
      <c r="G880" s="74"/>
    </row>
    <row r="881" spans="1:7" s="71" customFormat="1" x14ac:dyDescent="0.2">
      <c r="A881" s="74"/>
      <c r="B881" s="74"/>
      <c r="C881" s="74"/>
      <c r="D881" s="74"/>
      <c r="E881" s="74"/>
      <c r="F881" s="74"/>
      <c r="G881" s="74"/>
    </row>
    <row r="882" spans="1:7" s="71" customFormat="1" x14ac:dyDescent="0.2">
      <c r="A882" s="74"/>
      <c r="B882" s="74"/>
      <c r="C882" s="74"/>
      <c r="D882" s="74"/>
      <c r="E882" s="74"/>
      <c r="F882" s="74"/>
      <c r="G882" s="74"/>
    </row>
    <row r="883" spans="1:7" s="71" customFormat="1" x14ac:dyDescent="0.2">
      <c r="A883" s="74"/>
      <c r="B883" s="74"/>
      <c r="C883" s="74"/>
      <c r="D883" s="74"/>
      <c r="E883" s="74"/>
      <c r="F883" s="74"/>
      <c r="G883" s="74"/>
    </row>
    <row r="884" spans="1:7" s="71" customFormat="1" x14ac:dyDescent="0.2">
      <c r="A884" s="74"/>
      <c r="B884" s="74"/>
      <c r="C884" s="74"/>
      <c r="D884" s="74"/>
      <c r="E884" s="74"/>
      <c r="F884" s="74"/>
      <c r="G884" s="74"/>
    </row>
    <row r="885" spans="1:7" s="71" customFormat="1" x14ac:dyDescent="0.2">
      <c r="A885" s="74"/>
      <c r="B885" s="74"/>
      <c r="C885" s="74"/>
      <c r="D885" s="74"/>
      <c r="E885" s="74"/>
      <c r="F885" s="74"/>
      <c r="G885" s="74"/>
    </row>
    <row r="886" spans="1:7" s="71" customFormat="1" x14ac:dyDescent="0.2">
      <c r="A886" s="74"/>
      <c r="B886" s="74"/>
      <c r="C886" s="74"/>
      <c r="D886" s="74"/>
      <c r="E886" s="74"/>
      <c r="F886" s="74"/>
      <c r="G886" s="74"/>
    </row>
    <row r="887" spans="1:7" s="71" customFormat="1" x14ac:dyDescent="0.2">
      <c r="A887" s="74"/>
      <c r="B887" s="74"/>
      <c r="C887" s="74"/>
      <c r="D887" s="74"/>
      <c r="E887" s="74"/>
      <c r="F887" s="74"/>
      <c r="G887" s="74"/>
    </row>
    <row r="888" spans="1:7" s="71" customFormat="1" x14ac:dyDescent="0.2">
      <c r="A888" s="74"/>
      <c r="B888" s="74"/>
      <c r="C888" s="74"/>
      <c r="D888" s="74"/>
      <c r="E888" s="74"/>
      <c r="F888" s="74"/>
      <c r="G888" s="74"/>
    </row>
    <row r="889" spans="1:7" s="71" customFormat="1" x14ac:dyDescent="0.2">
      <c r="A889" s="74"/>
      <c r="B889" s="74"/>
      <c r="C889" s="74"/>
      <c r="D889" s="74"/>
      <c r="E889" s="74"/>
      <c r="F889" s="74"/>
      <c r="G889" s="74"/>
    </row>
    <row r="890" spans="1:7" s="71" customFormat="1" x14ac:dyDescent="0.2">
      <c r="A890" s="74"/>
      <c r="B890" s="74"/>
      <c r="C890" s="74"/>
      <c r="D890" s="74"/>
      <c r="E890" s="74"/>
      <c r="F890" s="74"/>
      <c r="G890" s="74"/>
    </row>
    <row r="891" spans="1:7" s="71" customFormat="1" x14ac:dyDescent="0.2">
      <c r="A891" s="74"/>
      <c r="B891" s="74"/>
      <c r="C891" s="74"/>
      <c r="D891" s="74"/>
      <c r="E891" s="74"/>
      <c r="F891" s="74"/>
      <c r="G891" s="74"/>
    </row>
    <row r="892" spans="1:7" s="71" customFormat="1" x14ac:dyDescent="0.2">
      <c r="A892" s="74"/>
      <c r="B892" s="74"/>
      <c r="C892" s="74"/>
      <c r="D892" s="74"/>
      <c r="E892" s="74"/>
      <c r="F892" s="74"/>
      <c r="G892" s="74"/>
    </row>
    <row r="893" spans="1:7" s="71" customFormat="1" x14ac:dyDescent="0.2">
      <c r="A893" s="74"/>
      <c r="B893" s="74"/>
      <c r="C893" s="74"/>
      <c r="D893" s="74"/>
      <c r="E893" s="74"/>
      <c r="F893" s="74"/>
      <c r="G893" s="74"/>
    </row>
    <row r="894" spans="1:7" s="71" customFormat="1" x14ac:dyDescent="0.2">
      <c r="A894" s="74"/>
      <c r="B894" s="74"/>
      <c r="C894" s="74"/>
      <c r="D894" s="74"/>
      <c r="E894" s="74"/>
      <c r="F894" s="74"/>
      <c r="G894" s="74"/>
    </row>
    <row r="895" spans="1:7" s="71" customFormat="1" x14ac:dyDescent="0.2">
      <c r="A895" s="74"/>
      <c r="B895" s="74"/>
      <c r="C895" s="74"/>
      <c r="D895" s="74"/>
      <c r="E895" s="74"/>
      <c r="F895" s="74"/>
      <c r="G895" s="74"/>
    </row>
    <row r="896" spans="1:7" s="71" customFormat="1" x14ac:dyDescent="0.2">
      <c r="A896" s="74"/>
      <c r="B896" s="74"/>
      <c r="C896" s="74"/>
      <c r="D896" s="74"/>
      <c r="E896" s="74"/>
      <c r="F896" s="74"/>
      <c r="G896" s="74"/>
    </row>
    <row r="897" spans="1:7" s="71" customFormat="1" x14ac:dyDescent="0.2">
      <c r="A897" s="74"/>
      <c r="B897" s="74"/>
      <c r="C897" s="74"/>
      <c r="D897" s="74"/>
      <c r="E897" s="74"/>
      <c r="F897" s="74"/>
      <c r="G897" s="74"/>
    </row>
    <row r="898" spans="1:7" s="71" customFormat="1" x14ac:dyDescent="0.2">
      <c r="A898" s="74"/>
      <c r="B898" s="74"/>
      <c r="C898" s="74"/>
      <c r="D898" s="74"/>
      <c r="E898" s="74"/>
      <c r="F898" s="74"/>
      <c r="G898" s="74"/>
    </row>
    <row r="899" spans="1:7" s="71" customFormat="1" x14ac:dyDescent="0.2">
      <c r="A899" s="74"/>
      <c r="B899" s="74"/>
      <c r="C899" s="74"/>
      <c r="D899" s="74"/>
      <c r="E899" s="74"/>
      <c r="F899" s="74"/>
      <c r="G899" s="74"/>
    </row>
    <row r="900" spans="1:7" s="71" customFormat="1" x14ac:dyDescent="0.2">
      <c r="A900" s="74"/>
      <c r="B900" s="74"/>
      <c r="C900" s="74"/>
      <c r="D900" s="74"/>
      <c r="E900" s="74"/>
      <c r="F900" s="74"/>
      <c r="G900" s="74"/>
    </row>
    <row r="901" spans="1:7" s="71" customFormat="1" x14ac:dyDescent="0.2">
      <c r="A901" s="74"/>
      <c r="B901" s="74"/>
      <c r="C901" s="74"/>
      <c r="D901" s="74"/>
      <c r="E901" s="74"/>
      <c r="F901" s="74"/>
      <c r="G901" s="74"/>
    </row>
    <row r="902" spans="1:7" s="71" customFormat="1" x14ac:dyDescent="0.2">
      <c r="A902" s="74"/>
      <c r="B902" s="74"/>
      <c r="C902" s="74"/>
      <c r="D902" s="74"/>
      <c r="E902" s="74"/>
      <c r="F902" s="74"/>
      <c r="G902" s="74"/>
    </row>
    <row r="903" spans="1:7" s="71" customFormat="1" x14ac:dyDescent="0.2">
      <c r="A903" s="74"/>
      <c r="B903" s="74"/>
      <c r="C903" s="74"/>
      <c r="D903" s="74"/>
      <c r="E903" s="74"/>
      <c r="F903" s="74"/>
      <c r="G903" s="74"/>
    </row>
    <row r="904" spans="1:7" s="71" customFormat="1" x14ac:dyDescent="0.2">
      <c r="A904" s="74"/>
      <c r="B904" s="74"/>
      <c r="C904" s="74"/>
      <c r="D904" s="74"/>
      <c r="E904" s="74"/>
      <c r="F904" s="74"/>
      <c r="G904" s="74"/>
    </row>
    <row r="905" spans="1:7" s="71" customFormat="1" x14ac:dyDescent="0.2">
      <c r="A905" s="74"/>
      <c r="B905" s="74"/>
      <c r="C905" s="74"/>
      <c r="D905" s="74"/>
      <c r="E905" s="74"/>
      <c r="F905" s="74"/>
      <c r="G905" s="74"/>
    </row>
    <row r="906" spans="1:7" s="71" customFormat="1" x14ac:dyDescent="0.2">
      <c r="A906" s="74"/>
      <c r="B906" s="74"/>
      <c r="C906" s="74"/>
      <c r="D906" s="74"/>
      <c r="E906" s="74"/>
      <c r="F906" s="74"/>
      <c r="G906" s="74"/>
    </row>
    <row r="907" spans="1:7" s="71" customFormat="1" x14ac:dyDescent="0.2">
      <c r="A907" s="74"/>
      <c r="B907" s="74"/>
      <c r="C907" s="74"/>
      <c r="D907" s="74"/>
      <c r="E907" s="74"/>
      <c r="F907" s="74"/>
      <c r="G907" s="74"/>
    </row>
    <row r="908" spans="1:7" s="71" customFormat="1" x14ac:dyDescent="0.2">
      <c r="A908" s="74"/>
      <c r="B908" s="74"/>
      <c r="C908" s="74"/>
      <c r="D908" s="74"/>
      <c r="E908" s="74"/>
      <c r="F908" s="74"/>
      <c r="G908" s="74"/>
    </row>
    <row r="909" spans="1:7" s="71" customFormat="1" x14ac:dyDescent="0.2">
      <c r="A909" s="74"/>
      <c r="B909" s="74"/>
      <c r="C909" s="74"/>
      <c r="D909" s="74"/>
      <c r="E909" s="74"/>
      <c r="F909" s="74"/>
      <c r="G909" s="74"/>
    </row>
    <row r="910" spans="1:7" s="71" customFormat="1" x14ac:dyDescent="0.2">
      <c r="A910" s="74"/>
      <c r="B910" s="74"/>
      <c r="C910" s="74"/>
      <c r="D910" s="74"/>
      <c r="E910" s="74"/>
      <c r="F910" s="74"/>
      <c r="G910" s="74"/>
    </row>
    <row r="911" spans="1:7" s="71" customFormat="1" x14ac:dyDescent="0.2">
      <c r="A911" s="74"/>
      <c r="B911" s="74"/>
      <c r="C911" s="74"/>
      <c r="D911" s="74"/>
      <c r="E911" s="74"/>
      <c r="F911" s="74"/>
      <c r="G911" s="74"/>
    </row>
    <row r="912" spans="1:7" s="71" customFormat="1" x14ac:dyDescent="0.2">
      <c r="A912" s="74"/>
      <c r="B912" s="74"/>
      <c r="C912" s="74"/>
      <c r="D912" s="74"/>
      <c r="E912" s="74"/>
      <c r="F912" s="74"/>
      <c r="G912" s="74"/>
    </row>
    <row r="913" spans="1:7" s="71" customFormat="1" x14ac:dyDescent="0.2">
      <c r="A913" s="74"/>
      <c r="B913" s="74"/>
      <c r="C913" s="74"/>
      <c r="D913" s="74"/>
      <c r="E913" s="74"/>
      <c r="F913" s="74"/>
      <c r="G913" s="74"/>
    </row>
    <row r="914" spans="1:7" s="71" customFormat="1" x14ac:dyDescent="0.2">
      <c r="A914" s="74"/>
      <c r="B914" s="74"/>
      <c r="C914" s="74"/>
      <c r="D914" s="74"/>
      <c r="E914" s="74"/>
      <c r="F914" s="74"/>
      <c r="G914" s="74"/>
    </row>
    <row r="915" spans="1:7" s="71" customFormat="1" x14ac:dyDescent="0.2">
      <c r="A915" s="74"/>
      <c r="B915" s="74"/>
      <c r="C915" s="74"/>
      <c r="D915" s="74"/>
      <c r="E915" s="74"/>
      <c r="F915" s="74"/>
      <c r="G915" s="74"/>
    </row>
    <row r="916" spans="1:7" s="71" customFormat="1" x14ac:dyDescent="0.2">
      <c r="A916" s="74"/>
      <c r="B916" s="74"/>
      <c r="C916" s="74"/>
      <c r="D916" s="74"/>
      <c r="E916" s="74"/>
      <c r="F916" s="74"/>
      <c r="G916" s="74"/>
    </row>
    <row r="917" spans="1:7" s="71" customFormat="1" x14ac:dyDescent="0.2">
      <c r="A917" s="74"/>
      <c r="B917" s="74"/>
      <c r="C917" s="74"/>
      <c r="D917" s="74"/>
      <c r="E917" s="74"/>
      <c r="F917" s="74"/>
      <c r="G917" s="74"/>
    </row>
    <row r="918" spans="1:7" s="71" customFormat="1" x14ac:dyDescent="0.2">
      <c r="A918" s="74"/>
      <c r="B918" s="74"/>
      <c r="C918" s="74"/>
      <c r="D918" s="74"/>
      <c r="E918" s="74"/>
      <c r="F918" s="74"/>
      <c r="G918" s="74"/>
    </row>
    <row r="919" spans="1:7" s="71" customFormat="1" x14ac:dyDescent="0.2">
      <c r="A919" s="74"/>
      <c r="B919" s="74"/>
      <c r="C919" s="74"/>
      <c r="D919" s="74"/>
      <c r="E919" s="74"/>
      <c r="F919" s="74"/>
      <c r="G919" s="74"/>
    </row>
    <row r="920" spans="1:7" s="71" customFormat="1" x14ac:dyDescent="0.2">
      <c r="A920" s="74"/>
      <c r="B920" s="74"/>
      <c r="C920" s="74"/>
      <c r="D920" s="74"/>
      <c r="E920" s="74"/>
      <c r="F920" s="74"/>
      <c r="G920" s="74"/>
    </row>
    <row r="921" spans="1:7" s="71" customFormat="1" x14ac:dyDescent="0.2">
      <c r="A921" s="74"/>
      <c r="B921" s="74"/>
      <c r="C921" s="74"/>
      <c r="D921" s="74"/>
      <c r="E921" s="74"/>
      <c r="F921" s="74"/>
      <c r="G921" s="74"/>
    </row>
    <row r="922" spans="1:7" s="71" customFormat="1" x14ac:dyDescent="0.2">
      <c r="A922" s="74"/>
      <c r="B922" s="74"/>
      <c r="C922" s="74"/>
      <c r="D922" s="74"/>
      <c r="E922" s="74"/>
      <c r="F922" s="74"/>
      <c r="G922" s="74"/>
    </row>
    <row r="923" spans="1:7" s="71" customFormat="1" x14ac:dyDescent="0.2">
      <c r="A923" s="74"/>
      <c r="B923" s="74"/>
      <c r="C923" s="74"/>
      <c r="D923" s="74"/>
      <c r="E923" s="74"/>
      <c r="F923" s="74"/>
      <c r="G923" s="74"/>
    </row>
    <row r="924" spans="1:7" s="71" customFormat="1" x14ac:dyDescent="0.2">
      <c r="A924" s="74"/>
      <c r="B924" s="74"/>
      <c r="C924" s="74"/>
      <c r="D924" s="74"/>
      <c r="E924" s="74"/>
      <c r="F924" s="74"/>
      <c r="G924" s="74"/>
    </row>
    <row r="925" spans="1:7" s="71" customFormat="1" x14ac:dyDescent="0.2">
      <c r="A925" s="74"/>
      <c r="B925" s="74"/>
      <c r="C925" s="74"/>
      <c r="D925" s="74"/>
      <c r="E925" s="74"/>
      <c r="F925" s="74"/>
      <c r="G925" s="74"/>
    </row>
    <row r="926" spans="1:7" s="71" customFormat="1" x14ac:dyDescent="0.2">
      <c r="A926" s="74"/>
      <c r="B926" s="74"/>
      <c r="C926" s="74"/>
      <c r="D926" s="74"/>
      <c r="E926" s="74"/>
      <c r="F926" s="74"/>
      <c r="G926" s="74"/>
    </row>
    <row r="927" spans="1:7" s="71" customFormat="1" x14ac:dyDescent="0.2">
      <c r="A927" s="74"/>
      <c r="B927" s="74"/>
      <c r="C927" s="74"/>
      <c r="D927" s="74"/>
      <c r="E927" s="74"/>
      <c r="F927" s="74"/>
      <c r="G927" s="74"/>
    </row>
    <row r="928" spans="1:7" s="71" customFormat="1" x14ac:dyDescent="0.2">
      <c r="A928" s="74"/>
      <c r="B928" s="74"/>
      <c r="C928" s="74"/>
      <c r="D928" s="74"/>
      <c r="E928" s="74"/>
      <c r="F928" s="74"/>
      <c r="G928" s="74"/>
    </row>
    <row r="929" spans="1:7" s="71" customFormat="1" x14ac:dyDescent="0.2">
      <c r="A929" s="74"/>
      <c r="B929" s="74"/>
      <c r="C929" s="74"/>
      <c r="D929" s="74"/>
      <c r="E929" s="74"/>
      <c r="F929" s="74"/>
      <c r="G929" s="74"/>
    </row>
    <row r="930" spans="1:7" s="71" customFormat="1" x14ac:dyDescent="0.2">
      <c r="A930" s="74"/>
      <c r="B930" s="74"/>
      <c r="C930" s="74"/>
      <c r="D930" s="74"/>
      <c r="E930" s="74"/>
      <c r="F930" s="74"/>
      <c r="G930" s="74"/>
    </row>
    <row r="931" spans="1:7" s="71" customFormat="1" x14ac:dyDescent="0.2">
      <c r="A931" s="74"/>
      <c r="B931" s="74"/>
      <c r="C931" s="74"/>
      <c r="D931" s="74"/>
      <c r="E931" s="74"/>
      <c r="F931" s="74"/>
      <c r="G931" s="74"/>
    </row>
    <row r="932" spans="1:7" s="71" customFormat="1" x14ac:dyDescent="0.2">
      <c r="A932" s="74"/>
      <c r="B932" s="74"/>
      <c r="C932" s="74"/>
      <c r="D932" s="74"/>
      <c r="E932" s="74"/>
      <c r="F932" s="74"/>
      <c r="G932" s="74"/>
    </row>
    <row r="933" spans="1:7" s="71" customFormat="1" x14ac:dyDescent="0.2">
      <c r="A933" s="74"/>
      <c r="B933" s="74"/>
      <c r="C933" s="74"/>
      <c r="D933" s="74"/>
      <c r="E933" s="74"/>
      <c r="F933" s="74"/>
      <c r="G933" s="74"/>
    </row>
    <row r="934" spans="1:7" s="71" customFormat="1" x14ac:dyDescent="0.2">
      <c r="A934" s="74"/>
      <c r="B934" s="74"/>
      <c r="C934" s="74"/>
      <c r="D934" s="74"/>
      <c r="E934" s="74"/>
      <c r="F934" s="74"/>
      <c r="G934" s="74"/>
    </row>
    <row r="935" spans="1:7" s="71" customFormat="1" x14ac:dyDescent="0.2">
      <c r="A935" s="74"/>
      <c r="B935" s="74"/>
      <c r="C935" s="74"/>
      <c r="D935" s="74"/>
      <c r="E935" s="74"/>
      <c r="F935" s="74"/>
      <c r="G935" s="74"/>
    </row>
    <row r="936" spans="1:7" s="71" customFormat="1" x14ac:dyDescent="0.2">
      <c r="A936" s="74"/>
      <c r="B936" s="74"/>
      <c r="C936" s="74"/>
      <c r="D936" s="74"/>
      <c r="E936" s="74"/>
      <c r="F936" s="74"/>
      <c r="G936" s="74"/>
    </row>
    <row r="937" spans="1:7" s="71" customFormat="1" x14ac:dyDescent="0.2">
      <c r="A937" s="74"/>
      <c r="B937" s="74"/>
      <c r="C937" s="74"/>
      <c r="D937" s="74"/>
      <c r="E937" s="74"/>
      <c r="F937" s="74"/>
      <c r="G937" s="74"/>
    </row>
    <row r="938" spans="1:7" s="71" customFormat="1" x14ac:dyDescent="0.2">
      <c r="A938" s="74"/>
      <c r="B938" s="74"/>
      <c r="C938" s="74"/>
      <c r="D938" s="74"/>
      <c r="E938" s="74"/>
      <c r="F938" s="74"/>
      <c r="G938" s="74"/>
    </row>
    <row r="939" spans="1:7" s="71" customFormat="1" x14ac:dyDescent="0.2">
      <c r="A939" s="74"/>
      <c r="B939" s="74"/>
      <c r="C939" s="74"/>
      <c r="D939" s="74"/>
      <c r="E939" s="74"/>
      <c r="F939" s="74"/>
      <c r="G939" s="74"/>
    </row>
    <row r="940" spans="1:7" s="71" customFormat="1" x14ac:dyDescent="0.2">
      <c r="A940" s="74"/>
      <c r="B940" s="74"/>
      <c r="C940" s="74"/>
      <c r="D940" s="74"/>
      <c r="E940" s="74"/>
      <c r="F940" s="74"/>
      <c r="G940" s="74"/>
    </row>
    <row r="941" spans="1:7" s="71" customFormat="1" x14ac:dyDescent="0.2">
      <c r="A941" s="74"/>
      <c r="B941" s="74"/>
      <c r="C941" s="74"/>
      <c r="D941" s="74"/>
      <c r="E941" s="74"/>
      <c r="F941" s="74"/>
      <c r="G941" s="74"/>
    </row>
    <row r="942" spans="1:7" s="71" customFormat="1" x14ac:dyDescent="0.2">
      <c r="A942" s="74"/>
      <c r="B942" s="74"/>
      <c r="C942" s="74"/>
      <c r="D942" s="74"/>
      <c r="E942" s="74"/>
      <c r="F942" s="74"/>
      <c r="G942" s="74"/>
    </row>
    <row r="943" spans="1:7" s="71" customFormat="1" x14ac:dyDescent="0.2">
      <c r="A943" s="74"/>
      <c r="B943" s="74"/>
      <c r="C943" s="74"/>
      <c r="D943" s="74"/>
      <c r="E943" s="74"/>
      <c r="F943" s="74"/>
      <c r="G943" s="74"/>
    </row>
    <row r="944" spans="1:7" s="71" customFormat="1" x14ac:dyDescent="0.2">
      <c r="A944" s="74"/>
      <c r="B944" s="74"/>
      <c r="C944" s="74"/>
      <c r="D944" s="74"/>
      <c r="E944" s="74"/>
      <c r="F944" s="74"/>
      <c r="G944" s="74"/>
    </row>
    <row r="945" spans="1:7" s="71" customFormat="1" x14ac:dyDescent="0.2">
      <c r="A945" s="74"/>
      <c r="B945" s="74"/>
      <c r="C945" s="74"/>
      <c r="D945" s="74"/>
      <c r="E945" s="74"/>
      <c r="F945" s="74"/>
      <c r="G945" s="74"/>
    </row>
    <row r="946" spans="1:7" s="71" customFormat="1" x14ac:dyDescent="0.2">
      <c r="A946" s="74"/>
      <c r="B946" s="74"/>
      <c r="C946" s="74"/>
      <c r="D946" s="74"/>
      <c r="E946" s="74"/>
      <c r="F946" s="74"/>
      <c r="G946" s="74"/>
    </row>
    <row r="947" spans="1:7" s="71" customFormat="1" x14ac:dyDescent="0.2">
      <c r="A947" s="74"/>
      <c r="B947" s="74"/>
      <c r="C947" s="74"/>
      <c r="D947" s="74"/>
      <c r="E947" s="74"/>
      <c r="F947" s="74"/>
      <c r="G947" s="74"/>
    </row>
    <row r="948" spans="1:7" s="71" customFormat="1" x14ac:dyDescent="0.2">
      <c r="A948" s="74"/>
      <c r="B948" s="74"/>
      <c r="C948" s="74"/>
      <c r="D948" s="74"/>
      <c r="E948" s="74"/>
      <c r="F948" s="74"/>
      <c r="G948" s="74"/>
    </row>
    <row r="949" spans="1:7" s="71" customFormat="1" x14ac:dyDescent="0.2">
      <c r="A949" s="74"/>
      <c r="B949" s="74"/>
      <c r="C949" s="74"/>
      <c r="D949" s="74"/>
      <c r="E949" s="74"/>
      <c r="F949" s="74"/>
      <c r="G949" s="74"/>
    </row>
    <row r="950" spans="1:7" s="71" customFormat="1" x14ac:dyDescent="0.2">
      <c r="A950" s="74"/>
      <c r="B950" s="74"/>
      <c r="C950" s="74"/>
      <c r="D950" s="74"/>
      <c r="E950" s="74"/>
      <c r="F950" s="74"/>
      <c r="G950" s="74"/>
    </row>
    <row r="951" spans="1:7" s="71" customFormat="1" x14ac:dyDescent="0.2">
      <c r="A951" s="74"/>
      <c r="B951" s="74"/>
      <c r="C951" s="74"/>
      <c r="D951" s="74"/>
      <c r="E951" s="74"/>
      <c r="F951" s="74"/>
      <c r="G951" s="74"/>
    </row>
    <row r="952" spans="1:7" s="71" customFormat="1" x14ac:dyDescent="0.2">
      <c r="A952" s="74"/>
      <c r="B952" s="74"/>
      <c r="C952" s="74"/>
      <c r="D952" s="74"/>
      <c r="E952" s="74"/>
      <c r="F952" s="74"/>
      <c r="G952" s="74"/>
    </row>
    <row r="953" spans="1:7" s="71" customFormat="1" x14ac:dyDescent="0.2">
      <c r="A953" s="74"/>
      <c r="B953" s="74"/>
      <c r="C953" s="74"/>
      <c r="D953" s="74"/>
      <c r="E953" s="74"/>
      <c r="F953" s="74"/>
      <c r="G953" s="74"/>
    </row>
    <row r="954" spans="1:7" s="71" customFormat="1" x14ac:dyDescent="0.2">
      <c r="A954" s="74"/>
      <c r="B954" s="74"/>
      <c r="C954" s="74"/>
      <c r="D954" s="74"/>
      <c r="E954" s="74"/>
      <c r="F954" s="74"/>
      <c r="G954" s="74"/>
    </row>
    <row r="955" spans="1:7" s="71" customFormat="1" x14ac:dyDescent="0.2">
      <c r="A955" s="74"/>
      <c r="B955" s="74"/>
      <c r="C955" s="74"/>
      <c r="D955" s="74"/>
      <c r="E955" s="74"/>
      <c r="F955" s="74"/>
      <c r="G955" s="74"/>
    </row>
    <row r="956" spans="1:7" s="71" customFormat="1" x14ac:dyDescent="0.2">
      <c r="A956" s="74"/>
      <c r="B956" s="74"/>
      <c r="C956" s="74"/>
      <c r="D956" s="74"/>
      <c r="E956" s="74"/>
      <c r="F956" s="74"/>
      <c r="G956" s="74"/>
    </row>
    <row r="957" spans="1:7" s="71" customFormat="1" x14ac:dyDescent="0.2">
      <c r="A957" s="74"/>
      <c r="B957" s="74"/>
      <c r="C957" s="74"/>
      <c r="D957" s="74"/>
      <c r="E957" s="74"/>
      <c r="F957" s="74"/>
      <c r="G957" s="74"/>
    </row>
    <row r="958" spans="1:7" s="71" customFormat="1" x14ac:dyDescent="0.2">
      <c r="A958" s="74"/>
      <c r="B958" s="74"/>
      <c r="C958" s="74"/>
      <c r="D958" s="74"/>
      <c r="E958" s="74"/>
      <c r="F958" s="74"/>
      <c r="G958" s="74"/>
    </row>
    <row r="959" spans="1:7" s="71" customFormat="1" x14ac:dyDescent="0.2">
      <c r="A959" s="74"/>
      <c r="B959" s="74"/>
      <c r="C959" s="74"/>
      <c r="D959" s="74"/>
      <c r="E959" s="74"/>
      <c r="F959" s="74"/>
      <c r="G959" s="74"/>
    </row>
    <row r="960" spans="1:7" s="71" customFormat="1" x14ac:dyDescent="0.2">
      <c r="A960" s="74"/>
      <c r="B960" s="74"/>
      <c r="C960" s="74"/>
      <c r="D960" s="74"/>
      <c r="E960" s="74"/>
      <c r="F960" s="74"/>
      <c r="G960" s="74"/>
    </row>
    <row r="961" spans="1:7" s="71" customFormat="1" x14ac:dyDescent="0.2">
      <c r="A961" s="74"/>
      <c r="B961" s="74"/>
      <c r="C961" s="74"/>
      <c r="D961" s="74"/>
      <c r="E961" s="74"/>
      <c r="F961" s="74"/>
      <c r="G961" s="74"/>
    </row>
    <row r="962" spans="1:7" s="71" customFormat="1" x14ac:dyDescent="0.2">
      <c r="A962" s="74"/>
      <c r="B962" s="74"/>
      <c r="C962" s="74"/>
      <c r="D962" s="74"/>
      <c r="E962" s="74"/>
      <c r="F962" s="74"/>
      <c r="G962" s="74"/>
    </row>
    <row r="963" spans="1:7" s="71" customFormat="1" x14ac:dyDescent="0.2">
      <c r="A963" s="74"/>
      <c r="B963" s="74"/>
      <c r="C963" s="74"/>
      <c r="D963" s="74"/>
      <c r="E963" s="74"/>
      <c r="F963" s="74"/>
      <c r="G963" s="74"/>
    </row>
    <row r="964" spans="1:7" s="71" customFormat="1" x14ac:dyDescent="0.2">
      <c r="A964" s="74"/>
      <c r="B964" s="74"/>
      <c r="C964" s="74"/>
      <c r="D964" s="74"/>
      <c r="E964" s="74"/>
      <c r="F964" s="74"/>
      <c r="G964" s="74"/>
    </row>
    <row r="965" spans="1:7" s="71" customFormat="1" x14ac:dyDescent="0.2">
      <c r="A965" s="74"/>
      <c r="B965" s="74"/>
      <c r="C965" s="74"/>
      <c r="D965" s="74"/>
      <c r="E965" s="74"/>
      <c r="F965" s="74"/>
      <c r="G965" s="74"/>
    </row>
    <row r="966" spans="1:7" s="71" customFormat="1" x14ac:dyDescent="0.2">
      <c r="A966" s="74"/>
      <c r="B966" s="74"/>
      <c r="C966" s="74"/>
      <c r="D966" s="74"/>
      <c r="E966" s="74"/>
      <c r="F966" s="74"/>
      <c r="G966" s="74"/>
    </row>
    <row r="967" spans="1:7" s="71" customFormat="1" ht="13.5" customHeight="1" x14ac:dyDescent="0.2">
      <c r="A967" s="74"/>
      <c r="B967" s="74"/>
      <c r="C967" s="74"/>
      <c r="D967" s="74"/>
      <c r="E967" s="74"/>
      <c r="F967" s="74"/>
      <c r="G967" s="74"/>
    </row>
    <row r="968" spans="1:7" s="71" customFormat="1" x14ac:dyDescent="0.2">
      <c r="A968" s="74"/>
      <c r="B968" s="74"/>
      <c r="C968" s="74"/>
      <c r="D968" s="74"/>
      <c r="E968" s="74"/>
      <c r="F968" s="74"/>
      <c r="G968" s="74"/>
    </row>
    <row r="969" spans="1:7" s="71" customFormat="1" x14ac:dyDescent="0.2">
      <c r="A969" s="74"/>
      <c r="B969" s="74"/>
      <c r="C969" s="74"/>
      <c r="D969" s="74"/>
      <c r="E969" s="74"/>
      <c r="F969" s="74"/>
      <c r="G969" s="74"/>
    </row>
    <row r="970" spans="1:7" s="71" customFormat="1" x14ac:dyDescent="0.2">
      <c r="A970" s="74"/>
      <c r="B970" s="74"/>
      <c r="C970" s="74"/>
      <c r="D970" s="74"/>
      <c r="E970" s="74"/>
      <c r="F970" s="74"/>
      <c r="G970" s="74"/>
    </row>
    <row r="971" spans="1:7" s="71" customFormat="1" x14ac:dyDescent="0.2">
      <c r="A971" s="74"/>
      <c r="B971" s="74"/>
      <c r="C971" s="74"/>
      <c r="D971" s="74"/>
      <c r="E971" s="74"/>
      <c r="F971" s="74"/>
      <c r="G971" s="74"/>
    </row>
    <row r="972" spans="1:7" s="71" customFormat="1" x14ac:dyDescent="0.2">
      <c r="A972" s="74"/>
      <c r="B972" s="74"/>
      <c r="C972" s="74"/>
      <c r="D972" s="74"/>
      <c r="E972" s="74"/>
      <c r="F972" s="74"/>
      <c r="G972" s="74"/>
    </row>
    <row r="973" spans="1:7" s="71" customFormat="1" x14ac:dyDescent="0.2">
      <c r="A973" s="74"/>
      <c r="B973" s="74"/>
      <c r="C973" s="74"/>
      <c r="D973" s="74"/>
      <c r="E973" s="74"/>
      <c r="F973" s="74"/>
      <c r="G973" s="74"/>
    </row>
    <row r="974" spans="1:7" s="71" customFormat="1" x14ac:dyDescent="0.2">
      <c r="A974" s="74"/>
      <c r="B974" s="74"/>
      <c r="C974" s="74"/>
      <c r="D974" s="74"/>
      <c r="E974" s="74"/>
      <c r="F974" s="74"/>
      <c r="G974" s="74"/>
    </row>
    <row r="975" spans="1:7" s="71" customFormat="1" x14ac:dyDescent="0.2">
      <c r="A975" s="74"/>
      <c r="B975" s="74"/>
      <c r="C975" s="74"/>
      <c r="D975" s="74"/>
      <c r="E975" s="74"/>
      <c r="F975" s="74"/>
      <c r="G975" s="74"/>
    </row>
    <row r="976" spans="1:7" s="71" customFormat="1" x14ac:dyDescent="0.2">
      <c r="A976" s="74"/>
      <c r="B976" s="74"/>
      <c r="C976" s="74"/>
      <c r="D976" s="74"/>
      <c r="E976" s="74"/>
      <c r="F976" s="74"/>
      <c r="G976" s="74"/>
    </row>
    <row r="977" spans="1:7" s="71" customFormat="1" x14ac:dyDescent="0.2">
      <c r="A977" s="74"/>
      <c r="B977" s="74"/>
      <c r="C977" s="74"/>
      <c r="D977" s="74"/>
      <c r="E977" s="74"/>
      <c r="F977" s="74"/>
      <c r="G977" s="74"/>
    </row>
    <row r="978" spans="1:7" s="71" customFormat="1" x14ac:dyDescent="0.2">
      <c r="A978" s="74"/>
      <c r="B978" s="74"/>
      <c r="C978" s="74"/>
      <c r="D978" s="74"/>
      <c r="E978" s="74"/>
      <c r="F978" s="74"/>
      <c r="G978" s="74"/>
    </row>
    <row r="979" spans="1:7" s="71" customFormat="1" x14ac:dyDescent="0.2">
      <c r="A979" s="74"/>
      <c r="B979" s="74"/>
      <c r="C979" s="74"/>
      <c r="D979" s="74"/>
      <c r="E979" s="74"/>
      <c r="F979" s="74"/>
      <c r="G979" s="74"/>
    </row>
    <row r="980" spans="1:7" s="71" customFormat="1" x14ac:dyDescent="0.2">
      <c r="A980" s="74"/>
      <c r="B980" s="74"/>
      <c r="C980" s="74"/>
      <c r="D980" s="74"/>
      <c r="E980" s="74"/>
      <c r="F980" s="74"/>
      <c r="G980" s="74"/>
    </row>
    <row r="981" spans="1:7" s="71" customFormat="1" x14ac:dyDescent="0.2">
      <c r="A981" s="74"/>
      <c r="B981" s="74"/>
      <c r="C981" s="74"/>
      <c r="D981" s="74"/>
      <c r="E981" s="74"/>
      <c r="F981" s="74"/>
      <c r="G981" s="74"/>
    </row>
    <row r="982" spans="1:7" s="71" customFormat="1" x14ac:dyDescent="0.2">
      <c r="A982" s="74"/>
      <c r="B982" s="74"/>
      <c r="C982" s="74"/>
      <c r="D982" s="74"/>
      <c r="E982" s="74"/>
      <c r="F982" s="74"/>
      <c r="G982" s="74"/>
    </row>
    <row r="983" spans="1:7" s="71" customFormat="1" x14ac:dyDescent="0.2">
      <c r="A983" s="74"/>
      <c r="B983" s="74"/>
      <c r="C983" s="74"/>
      <c r="D983" s="74"/>
      <c r="E983" s="74"/>
      <c r="F983" s="74"/>
      <c r="G983" s="74"/>
    </row>
    <row r="984" spans="1:7" s="71" customFormat="1" x14ac:dyDescent="0.2">
      <c r="A984" s="74"/>
      <c r="B984" s="74"/>
      <c r="C984" s="74"/>
      <c r="D984" s="74"/>
      <c r="E984" s="74"/>
      <c r="F984" s="74"/>
      <c r="G984" s="74"/>
    </row>
    <row r="985" spans="1:7" s="71" customFormat="1" x14ac:dyDescent="0.2">
      <c r="A985" s="74"/>
      <c r="B985" s="74"/>
      <c r="C985" s="74"/>
      <c r="D985" s="74"/>
      <c r="E985" s="74"/>
      <c r="F985" s="74"/>
      <c r="G985" s="74"/>
    </row>
    <row r="986" spans="1:7" s="71" customFormat="1" x14ac:dyDescent="0.2">
      <c r="A986" s="74"/>
      <c r="B986" s="74"/>
      <c r="C986" s="74"/>
      <c r="D986" s="74"/>
      <c r="E986" s="74"/>
      <c r="F986" s="74"/>
      <c r="G986" s="74"/>
    </row>
    <row r="987" spans="1:7" s="71" customFormat="1" x14ac:dyDescent="0.2">
      <c r="A987" s="74"/>
      <c r="B987" s="74"/>
      <c r="C987" s="74"/>
      <c r="D987" s="74"/>
      <c r="E987" s="74"/>
      <c r="F987" s="74"/>
      <c r="G987" s="74"/>
    </row>
    <row r="988" spans="1:7" s="71" customFormat="1" x14ac:dyDescent="0.2">
      <c r="A988" s="74"/>
      <c r="B988" s="74"/>
      <c r="C988" s="74"/>
      <c r="D988" s="74"/>
      <c r="E988" s="74"/>
      <c r="F988" s="74"/>
      <c r="G988" s="74"/>
    </row>
    <row r="989" spans="1:7" s="71" customFormat="1" x14ac:dyDescent="0.2">
      <c r="A989" s="74"/>
      <c r="B989" s="74"/>
      <c r="C989" s="74"/>
      <c r="D989" s="74"/>
      <c r="E989" s="74"/>
      <c r="F989" s="74"/>
      <c r="G989" s="74"/>
    </row>
    <row r="990" spans="1:7" s="71" customFormat="1" x14ac:dyDescent="0.2">
      <c r="A990" s="74"/>
      <c r="B990" s="74"/>
      <c r="C990" s="74"/>
      <c r="D990" s="74"/>
      <c r="E990" s="74"/>
      <c r="F990" s="74"/>
      <c r="G990" s="74"/>
    </row>
    <row r="991" spans="1:7" s="71" customFormat="1" x14ac:dyDescent="0.2">
      <c r="A991" s="74"/>
      <c r="B991" s="74"/>
      <c r="C991" s="74"/>
      <c r="D991" s="74"/>
      <c r="E991" s="74"/>
      <c r="F991" s="74"/>
      <c r="G991" s="74"/>
    </row>
    <row r="992" spans="1:7" s="71" customFormat="1" x14ac:dyDescent="0.2">
      <c r="A992" s="74"/>
      <c r="B992" s="74"/>
      <c r="C992" s="74"/>
      <c r="D992" s="74"/>
      <c r="E992" s="74"/>
      <c r="F992" s="74"/>
      <c r="G992" s="74"/>
    </row>
    <row r="993" spans="1:7" s="71" customFormat="1" x14ac:dyDescent="0.2">
      <c r="A993" s="74"/>
      <c r="B993" s="74"/>
      <c r="C993" s="74"/>
      <c r="D993" s="74"/>
      <c r="E993" s="74"/>
      <c r="F993" s="74"/>
      <c r="G993" s="74"/>
    </row>
    <row r="994" spans="1:7" s="71" customFormat="1" x14ac:dyDescent="0.2">
      <c r="A994" s="74"/>
      <c r="B994" s="74"/>
      <c r="C994" s="74"/>
      <c r="D994" s="74"/>
      <c r="E994" s="74"/>
      <c r="F994" s="74"/>
      <c r="G994" s="74"/>
    </row>
    <row r="995" spans="1:7" s="71" customFormat="1" x14ac:dyDescent="0.2">
      <c r="A995" s="74"/>
      <c r="B995" s="74"/>
      <c r="C995" s="74"/>
      <c r="D995" s="74"/>
      <c r="E995" s="74"/>
      <c r="F995" s="74"/>
      <c r="G995" s="74"/>
    </row>
    <row r="996" spans="1:7" s="71" customFormat="1" x14ac:dyDescent="0.2">
      <c r="A996" s="74"/>
      <c r="B996" s="74"/>
      <c r="C996" s="74"/>
      <c r="D996" s="74"/>
      <c r="E996" s="74"/>
      <c r="F996" s="74"/>
      <c r="G996" s="74"/>
    </row>
    <row r="997" spans="1:7" s="71" customFormat="1" x14ac:dyDescent="0.2">
      <c r="A997" s="74"/>
      <c r="B997" s="74"/>
      <c r="C997" s="74"/>
      <c r="D997" s="74"/>
      <c r="E997" s="74"/>
      <c r="F997" s="74"/>
      <c r="G997" s="74"/>
    </row>
    <row r="998" spans="1:7" s="71" customFormat="1" x14ac:dyDescent="0.2">
      <c r="A998" s="74"/>
      <c r="B998" s="74"/>
      <c r="C998" s="74"/>
      <c r="D998" s="74"/>
      <c r="E998" s="74"/>
      <c r="F998" s="74"/>
      <c r="G998" s="74"/>
    </row>
    <row r="999" spans="1:7" s="71" customFormat="1" x14ac:dyDescent="0.2">
      <c r="A999" s="74"/>
      <c r="B999" s="74"/>
      <c r="C999" s="74"/>
      <c r="D999" s="74"/>
      <c r="E999" s="74"/>
      <c r="F999" s="74"/>
      <c r="G999" s="74"/>
    </row>
    <row r="1000" spans="1:7" s="71" customFormat="1" x14ac:dyDescent="0.2">
      <c r="A1000" s="74"/>
      <c r="B1000" s="74"/>
      <c r="C1000" s="74"/>
      <c r="D1000" s="74"/>
      <c r="E1000" s="74"/>
      <c r="F1000" s="74"/>
      <c r="G1000" s="74"/>
    </row>
    <row r="1001" spans="1:7" s="71" customFormat="1" x14ac:dyDescent="0.2">
      <c r="A1001" s="74"/>
      <c r="B1001" s="74"/>
      <c r="C1001" s="74"/>
      <c r="D1001" s="74"/>
      <c r="E1001" s="74"/>
      <c r="F1001" s="74"/>
      <c r="G1001" s="74"/>
    </row>
    <row r="1002" spans="1:7" s="71" customFormat="1" x14ac:dyDescent="0.2">
      <c r="A1002" s="74"/>
      <c r="B1002" s="74"/>
      <c r="C1002" s="74"/>
      <c r="D1002" s="74"/>
      <c r="E1002" s="74"/>
      <c r="F1002" s="74"/>
      <c r="G1002" s="74"/>
    </row>
    <row r="1003" spans="1:7" s="71" customFormat="1" x14ac:dyDescent="0.2">
      <c r="A1003" s="74"/>
      <c r="B1003" s="74"/>
      <c r="C1003" s="74"/>
      <c r="D1003" s="74"/>
      <c r="E1003" s="74"/>
      <c r="F1003" s="74"/>
      <c r="G1003" s="74"/>
    </row>
    <row r="1004" spans="1:7" s="71" customFormat="1" x14ac:dyDescent="0.2">
      <c r="A1004" s="74"/>
      <c r="B1004" s="74"/>
      <c r="C1004" s="74"/>
      <c r="D1004" s="74"/>
      <c r="E1004" s="74"/>
      <c r="F1004" s="74"/>
      <c r="G1004" s="74"/>
    </row>
    <row r="1005" spans="1:7" s="71" customFormat="1" x14ac:dyDescent="0.2">
      <c r="A1005" s="74"/>
      <c r="B1005" s="74"/>
      <c r="C1005" s="74"/>
      <c r="D1005" s="74"/>
      <c r="E1005" s="74"/>
      <c r="F1005" s="74"/>
      <c r="G1005" s="74"/>
    </row>
    <row r="1006" spans="1:7" s="71" customFormat="1" x14ac:dyDescent="0.2">
      <c r="A1006" s="74"/>
      <c r="B1006" s="74"/>
      <c r="C1006" s="74"/>
      <c r="D1006" s="74"/>
      <c r="E1006" s="74"/>
      <c r="F1006" s="74"/>
      <c r="G1006" s="74"/>
    </row>
    <row r="1007" spans="1:7" s="71" customFormat="1" x14ac:dyDescent="0.2">
      <c r="A1007" s="74"/>
      <c r="B1007" s="74"/>
      <c r="C1007" s="74"/>
      <c r="D1007" s="74"/>
      <c r="E1007" s="74"/>
      <c r="F1007" s="74"/>
      <c r="G1007" s="74"/>
    </row>
    <row r="1008" spans="1:7" s="71" customFormat="1" x14ac:dyDescent="0.2">
      <c r="A1008" s="74"/>
      <c r="B1008" s="74"/>
      <c r="C1008" s="74"/>
      <c r="D1008" s="74"/>
      <c r="E1008" s="74"/>
      <c r="F1008" s="74"/>
      <c r="G1008" s="74"/>
    </row>
    <row r="1009" spans="1:7" s="71" customFormat="1" x14ac:dyDescent="0.2">
      <c r="A1009" s="74"/>
      <c r="B1009" s="74"/>
      <c r="C1009" s="74"/>
      <c r="D1009" s="74"/>
      <c r="E1009" s="74"/>
      <c r="F1009" s="74"/>
      <c r="G1009" s="74"/>
    </row>
    <row r="1010" spans="1:7" s="71" customFormat="1" x14ac:dyDescent="0.2">
      <c r="A1010" s="74"/>
      <c r="B1010" s="74"/>
      <c r="C1010" s="74"/>
      <c r="D1010" s="74"/>
      <c r="E1010" s="74"/>
      <c r="F1010" s="74"/>
      <c r="G1010" s="74"/>
    </row>
    <row r="1011" spans="1:7" s="71" customFormat="1" x14ac:dyDescent="0.2">
      <c r="A1011" s="74"/>
      <c r="B1011" s="74"/>
      <c r="C1011" s="74"/>
      <c r="D1011" s="74"/>
      <c r="E1011" s="74"/>
      <c r="F1011" s="74"/>
      <c r="G1011" s="74"/>
    </row>
    <row r="1012" spans="1:7" s="71" customFormat="1" x14ac:dyDescent="0.2">
      <c r="A1012" s="74"/>
      <c r="B1012" s="74"/>
      <c r="C1012" s="74"/>
      <c r="D1012" s="74"/>
      <c r="E1012" s="74"/>
      <c r="F1012" s="74"/>
      <c r="G1012" s="74"/>
    </row>
    <row r="1013" spans="1:7" s="71" customFormat="1" x14ac:dyDescent="0.2">
      <c r="A1013" s="74"/>
      <c r="B1013" s="74"/>
      <c r="C1013" s="74"/>
      <c r="D1013" s="74"/>
      <c r="E1013" s="74"/>
      <c r="F1013" s="74"/>
      <c r="G1013" s="74"/>
    </row>
    <row r="1014" spans="1:7" s="71" customFormat="1" x14ac:dyDescent="0.2">
      <c r="A1014" s="74"/>
      <c r="B1014" s="74"/>
      <c r="C1014" s="74"/>
      <c r="D1014" s="74"/>
      <c r="E1014" s="74"/>
      <c r="F1014" s="74"/>
      <c r="G1014" s="74"/>
    </row>
    <row r="1015" spans="1:7" s="71" customFormat="1" x14ac:dyDescent="0.2">
      <c r="A1015" s="74"/>
      <c r="B1015" s="74"/>
      <c r="C1015" s="74"/>
      <c r="D1015" s="74"/>
      <c r="E1015" s="74"/>
      <c r="F1015" s="74"/>
      <c r="G1015" s="74"/>
    </row>
    <row r="1016" spans="1:7" s="71" customFormat="1" x14ac:dyDescent="0.2">
      <c r="A1016" s="74"/>
      <c r="B1016" s="74"/>
      <c r="C1016" s="74"/>
      <c r="D1016" s="74"/>
      <c r="E1016" s="74"/>
      <c r="F1016" s="74"/>
      <c r="G1016" s="74"/>
    </row>
    <row r="1017" spans="1:7" s="71" customFormat="1" x14ac:dyDescent="0.2">
      <c r="A1017" s="74"/>
      <c r="B1017" s="74"/>
      <c r="C1017" s="74"/>
      <c r="D1017" s="74"/>
      <c r="E1017" s="74"/>
      <c r="F1017" s="74"/>
      <c r="G1017" s="74"/>
    </row>
    <row r="1018" spans="1:7" s="71" customFormat="1" x14ac:dyDescent="0.2">
      <c r="A1018" s="74"/>
      <c r="B1018" s="74"/>
      <c r="C1018" s="74"/>
      <c r="D1018" s="74"/>
      <c r="E1018" s="74"/>
      <c r="F1018" s="74"/>
      <c r="G1018" s="74"/>
    </row>
    <row r="1019" spans="1:7" s="71" customFormat="1" x14ac:dyDescent="0.2">
      <c r="A1019" s="74"/>
      <c r="B1019" s="74"/>
      <c r="C1019" s="74"/>
      <c r="D1019" s="74"/>
      <c r="E1019" s="74"/>
      <c r="F1019" s="74"/>
      <c r="G1019" s="74"/>
    </row>
    <row r="1020" spans="1:7" s="71" customFormat="1" x14ac:dyDescent="0.2">
      <c r="A1020" s="74"/>
      <c r="B1020" s="74"/>
      <c r="C1020" s="74"/>
      <c r="D1020" s="74"/>
      <c r="E1020" s="74"/>
      <c r="F1020" s="74"/>
      <c r="G1020" s="74"/>
    </row>
    <row r="1021" spans="1:7" s="71" customFormat="1" x14ac:dyDescent="0.2">
      <c r="A1021" s="74"/>
      <c r="B1021" s="74"/>
      <c r="C1021" s="74"/>
      <c r="D1021" s="74"/>
      <c r="E1021" s="74"/>
      <c r="F1021" s="74"/>
      <c r="G1021" s="74"/>
    </row>
    <row r="1022" spans="1:7" s="71" customFormat="1" x14ac:dyDescent="0.2">
      <c r="A1022" s="74"/>
      <c r="B1022" s="74"/>
      <c r="C1022" s="74"/>
      <c r="D1022" s="74"/>
      <c r="E1022" s="74"/>
      <c r="F1022" s="74"/>
      <c r="G1022" s="74"/>
    </row>
    <row r="1023" spans="1:7" s="71" customFormat="1" x14ac:dyDescent="0.2">
      <c r="A1023" s="74"/>
      <c r="B1023" s="74"/>
      <c r="C1023" s="74"/>
      <c r="D1023" s="74"/>
      <c r="E1023" s="74"/>
      <c r="F1023" s="74"/>
      <c r="G1023" s="74"/>
    </row>
    <row r="1024" spans="1:7" s="71" customFormat="1" x14ac:dyDescent="0.2">
      <c r="A1024" s="74"/>
      <c r="B1024" s="74"/>
      <c r="C1024" s="74"/>
      <c r="D1024" s="74"/>
      <c r="E1024" s="74"/>
      <c r="F1024" s="74"/>
      <c r="G1024" s="74"/>
    </row>
    <row r="1025" spans="1:7" s="71" customFormat="1" x14ac:dyDescent="0.2">
      <c r="A1025" s="74"/>
      <c r="B1025" s="74"/>
      <c r="C1025" s="74"/>
      <c r="D1025" s="74"/>
      <c r="E1025" s="74"/>
      <c r="F1025" s="74"/>
      <c r="G1025" s="74"/>
    </row>
    <row r="1026" spans="1:7" s="71" customFormat="1" x14ac:dyDescent="0.2">
      <c r="A1026" s="74"/>
      <c r="B1026" s="74"/>
      <c r="C1026" s="74"/>
      <c r="D1026" s="74"/>
      <c r="E1026" s="74"/>
      <c r="F1026" s="74"/>
      <c r="G1026" s="74"/>
    </row>
    <row r="1027" spans="1:7" s="71" customFormat="1" x14ac:dyDescent="0.2">
      <c r="A1027" s="74"/>
      <c r="B1027" s="74"/>
      <c r="C1027" s="74"/>
      <c r="D1027" s="74"/>
      <c r="E1027" s="74"/>
      <c r="F1027" s="74"/>
      <c r="G1027" s="74"/>
    </row>
    <row r="1028" spans="1:7" s="71" customFormat="1" x14ac:dyDescent="0.2">
      <c r="A1028" s="74"/>
      <c r="B1028" s="74"/>
      <c r="C1028" s="74"/>
      <c r="D1028" s="74"/>
      <c r="E1028" s="74"/>
      <c r="F1028" s="74"/>
      <c r="G1028" s="74"/>
    </row>
    <row r="1029" spans="1:7" s="71" customFormat="1" x14ac:dyDescent="0.2">
      <c r="A1029" s="74"/>
      <c r="B1029" s="74"/>
      <c r="C1029" s="74"/>
      <c r="D1029" s="74"/>
      <c r="E1029" s="74"/>
      <c r="F1029" s="74"/>
      <c r="G1029" s="74"/>
    </row>
    <row r="1030" spans="1:7" s="71" customFormat="1" x14ac:dyDescent="0.2">
      <c r="A1030" s="74"/>
      <c r="B1030" s="74"/>
      <c r="C1030" s="74"/>
      <c r="D1030" s="74"/>
      <c r="E1030" s="74"/>
      <c r="F1030" s="74"/>
      <c r="G1030" s="74"/>
    </row>
    <row r="1031" spans="1:7" s="71" customFormat="1" x14ac:dyDescent="0.2">
      <c r="A1031" s="74"/>
      <c r="B1031" s="74"/>
      <c r="C1031" s="74"/>
      <c r="D1031" s="74"/>
      <c r="E1031" s="74"/>
      <c r="F1031" s="74"/>
      <c r="G1031" s="74"/>
    </row>
    <row r="1032" spans="1:7" s="71" customFormat="1" x14ac:dyDescent="0.2">
      <c r="A1032" s="74"/>
      <c r="B1032" s="74"/>
      <c r="C1032" s="74"/>
      <c r="D1032" s="74"/>
      <c r="E1032" s="74"/>
      <c r="F1032" s="74"/>
      <c r="G1032" s="74"/>
    </row>
    <row r="1033" spans="1:7" s="71" customFormat="1" x14ac:dyDescent="0.2">
      <c r="A1033" s="74"/>
      <c r="B1033" s="74"/>
      <c r="C1033" s="74"/>
      <c r="D1033" s="74"/>
      <c r="E1033" s="74"/>
      <c r="F1033" s="74"/>
      <c r="G1033" s="74"/>
    </row>
    <row r="1034" spans="1:7" s="71" customFormat="1" x14ac:dyDescent="0.2">
      <c r="A1034" s="74"/>
      <c r="B1034" s="74"/>
      <c r="C1034" s="74"/>
      <c r="D1034" s="74"/>
      <c r="E1034" s="74"/>
      <c r="F1034" s="74"/>
      <c r="G1034" s="74"/>
    </row>
    <row r="1035" spans="1:7" s="71" customFormat="1" x14ac:dyDescent="0.2">
      <c r="A1035" s="74"/>
      <c r="B1035" s="74"/>
      <c r="C1035" s="74"/>
      <c r="D1035" s="74"/>
      <c r="E1035" s="74"/>
      <c r="F1035" s="74"/>
      <c r="G1035" s="74"/>
    </row>
    <row r="1036" spans="1:7" s="71" customFormat="1" x14ac:dyDescent="0.2">
      <c r="A1036" s="74"/>
      <c r="B1036" s="74"/>
      <c r="C1036" s="74"/>
      <c r="D1036" s="74"/>
      <c r="E1036" s="74"/>
      <c r="F1036" s="74"/>
      <c r="G1036" s="74"/>
    </row>
    <row r="1037" spans="1:7" s="71" customFormat="1" x14ac:dyDescent="0.2">
      <c r="A1037" s="74"/>
      <c r="B1037" s="74"/>
      <c r="C1037" s="74"/>
      <c r="D1037" s="74"/>
      <c r="E1037" s="74"/>
      <c r="F1037" s="74"/>
      <c r="G1037" s="74"/>
    </row>
    <row r="1038" spans="1:7" s="71" customFormat="1" x14ac:dyDescent="0.2">
      <c r="A1038" s="74"/>
      <c r="B1038" s="74"/>
      <c r="C1038" s="74"/>
      <c r="D1038" s="74"/>
      <c r="E1038" s="74"/>
      <c r="F1038" s="74"/>
      <c r="G1038" s="74"/>
    </row>
    <row r="1039" spans="1:7" s="71" customFormat="1" x14ac:dyDescent="0.2">
      <c r="A1039" s="74"/>
      <c r="B1039" s="74"/>
      <c r="C1039" s="74"/>
      <c r="D1039" s="74"/>
      <c r="E1039" s="74"/>
      <c r="F1039" s="74"/>
      <c r="G1039" s="74"/>
    </row>
    <row r="1040" spans="1:7" s="71" customFormat="1" x14ac:dyDescent="0.2">
      <c r="A1040" s="74"/>
      <c r="B1040" s="74"/>
      <c r="C1040" s="74"/>
      <c r="D1040" s="74"/>
      <c r="E1040" s="74"/>
      <c r="F1040" s="74"/>
      <c r="G1040" s="74"/>
    </row>
    <row r="1041" spans="1:7" s="71" customFormat="1" x14ac:dyDescent="0.2">
      <c r="A1041" s="74"/>
      <c r="B1041" s="74"/>
      <c r="C1041" s="74"/>
      <c r="D1041" s="74"/>
      <c r="E1041" s="74"/>
      <c r="F1041" s="74"/>
      <c r="G1041" s="74"/>
    </row>
    <row r="1042" spans="1:7" s="71" customFormat="1" x14ac:dyDescent="0.2">
      <c r="A1042" s="74"/>
      <c r="B1042" s="74"/>
      <c r="C1042" s="74"/>
      <c r="D1042" s="74"/>
      <c r="E1042" s="74"/>
      <c r="F1042" s="74"/>
      <c r="G1042" s="74"/>
    </row>
    <row r="1043" spans="1:7" s="71" customFormat="1" x14ac:dyDescent="0.2">
      <c r="A1043" s="74"/>
      <c r="B1043" s="74"/>
      <c r="C1043" s="74"/>
      <c r="D1043" s="74"/>
      <c r="E1043" s="74"/>
      <c r="F1043" s="74"/>
      <c r="G1043" s="74"/>
    </row>
    <row r="1044" spans="1:7" s="71" customFormat="1" x14ac:dyDescent="0.2">
      <c r="A1044" s="74"/>
      <c r="B1044" s="74"/>
      <c r="C1044" s="74"/>
      <c r="D1044" s="74"/>
      <c r="E1044" s="74"/>
      <c r="F1044" s="74"/>
      <c r="G1044" s="74"/>
    </row>
    <row r="1045" spans="1:7" s="71" customFormat="1" x14ac:dyDescent="0.2">
      <c r="A1045" s="74"/>
      <c r="B1045" s="74"/>
      <c r="C1045" s="74"/>
      <c r="D1045" s="74"/>
      <c r="E1045" s="74"/>
      <c r="F1045" s="74"/>
      <c r="G1045" s="74"/>
    </row>
    <row r="1046" spans="1:7" s="71" customFormat="1" x14ac:dyDescent="0.2">
      <c r="A1046" s="74"/>
      <c r="B1046" s="74"/>
      <c r="C1046" s="74"/>
      <c r="D1046" s="74"/>
      <c r="E1046" s="74"/>
      <c r="F1046" s="74"/>
      <c r="G1046" s="74"/>
    </row>
    <row r="1047" spans="1:7" s="71" customFormat="1" x14ac:dyDescent="0.2">
      <c r="A1047" s="74"/>
      <c r="B1047" s="74"/>
      <c r="C1047" s="74"/>
      <c r="D1047" s="74"/>
      <c r="E1047" s="74"/>
      <c r="F1047" s="74"/>
      <c r="G1047" s="74"/>
    </row>
    <row r="1048" spans="1:7" s="71" customFormat="1" x14ac:dyDescent="0.2">
      <c r="A1048" s="74"/>
      <c r="B1048" s="74"/>
      <c r="C1048" s="74"/>
      <c r="D1048" s="74"/>
      <c r="E1048" s="74"/>
      <c r="F1048" s="74"/>
      <c r="G1048" s="74"/>
    </row>
    <row r="1049" spans="1:7" s="71" customFormat="1" x14ac:dyDescent="0.2">
      <c r="A1049" s="74"/>
      <c r="B1049" s="74"/>
      <c r="C1049" s="74"/>
      <c r="D1049" s="74"/>
      <c r="E1049" s="74"/>
      <c r="F1049" s="74"/>
      <c r="G1049" s="74"/>
    </row>
    <row r="1050" spans="1:7" s="71" customFormat="1" x14ac:dyDescent="0.2">
      <c r="A1050" s="74"/>
      <c r="B1050" s="74"/>
      <c r="C1050" s="74"/>
      <c r="D1050" s="74"/>
      <c r="E1050" s="74"/>
      <c r="F1050" s="74"/>
      <c r="G1050" s="74"/>
    </row>
    <row r="1051" spans="1:7" s="71" customFormat="1" x14ac:dyDescent="0.2">
      <c r="A1051" s="74"/>
      <c r="B1051" s="74"/>
      <c r="C1051" s="74"/>
      <c r="D1051" s="74"/>
      <c r="E1051" s="74"/>
      <c r="F1051" s="74"/>
      <c r="G1051" s="74"/>
    </row>
    <row r="1052" spans="1:7" s="71" customFormat="1" x14ac:dyDescent="0.2">
      <c r="A1052" s="74"/>
      <c r="B1052" s="74"/>
      <c r="C1052" s="74"/>
      <c r="D1052" s="74"/>
      <c r="E1052" s="74"/>
      <c r="F1052" s="74"/>
      <c r="G1052" s="74"/>
    </row>
    <row r="1053" spans="1:7" s="71" customFormat="1" x14ac:dyDescent="0.2">
      <c r="A1053" s="74"/>
      <c r="B1053" s="74"/>
      <c r="C1053" s="74"/>
      <c r="D1053" s="74"/>
      <c r="E1053" s="74"/>
      <c r="F1053" s="74"/>
      <c r="G1053" s="74"/>
    </row>
    <row r="1054" spans="1:7" s="71" customFormat="1" x14ac:dyDescent="0.2">
      <c r="A1054" s="74"/>
      <c r="B1054" s="74"/>
      <c r="C1054" s="74"/>
      <c r="D1054" s="74"/>
      <c r="E1054" s="74"/>
      <c r="F1054" s="74"/>
      <c r="G1054" s="74"/>
    </row>
    <row r="1055" spans="1:7" s="71" customFormat="1" x14ac:dyDescent="0.2">
      <c r="A1055" s="74"/>
      <c r="B1055" s="74"/>
      <c r="C1055" s="74"/>
      <c r="D1055" s="74"/>
      <c r="E1055" s="74"/>
      <c r="F1055" s="74"/>
      <c r="G1055" s="74"/>
    </row>
    <row r="1056" spans="1:7" s="71" customFormat="1" x14ac:dyDescent="0.2">
      <c r="A1056" s="74"/>
      <c r="B1056" s="74"/>
      <c r="C1056" s="74"/>
      <c r="D1056" s="74"/>
      <c r="E1056" s="74"/>
      <c r="F1056" s="74"/>
      <c r="G1056" s="74"/>
    </row>
    <row r="1057" spans="1:7" s="71" customFormat="1" x14ac:dyDescent="0.2">
      <c r="A1057" s="74"/>
      <c r="B1057" s="74"/>
      <c r="C1057" s="74"/>
      <c r="D1057" s="74"/>
      <c r="E1057" s="74"/>
      <c r="F1057" s="74"/>
      <c r="G1057" s="74"/>
    </row>
    <row r="1058" spans="1:7" s="71" customFormat="1" x14ac:dyDescent="0.2">
      <c r="A1058" s="74"/>
      <c r="B1058" s="74"/>
      <c r="C1058" s="74"/>
      <c r="D1058" s="74"/>
      <c r="E1058" s="74"/>
      <c r="F1058" s="74"/>
      <c r="G1058" s="74"/>
    </row>
    <row r="1059" spans="1:7" s="71" customFormat="1" x14ac:dyDescent="0.2">
      <c r="A1059" s="74"/>
      <c r="B1059" s="74"/>
      <c r="C1059" s="74"/>
      <c r="D1059" s="74"/>
      <c r="E1059" s="74"/>
      <c r="F1059" s="74"/>
      <c r="G1059" s="74"/>
    </row>
    <row r="1060" spans="1:7" s="71" customFormat="1" x14ac:dyDescent="0.2">
      <c r="A1060" s="74"/>
      <c r="B1060" s="74"/>
      <c r="C1060" s="74"/>
      <c r="D1060" s="74"/>
      <c r="E1060" s="74"/>
      <c r="F1060" s="74"/>
      <c r="G1060" s="74"/>
    </row>
    <row r="1061" spans="1:7" s="71" customFormat="1" x14ac:dyDescent="0.2">
      <c r="A1061" s="74"/>
      <c r="B1061" s="74"/>
      <c r="C1061" s="74"/>
      <c r="D1061" s="74"/>
      <c r="E1061" s="74"/>
      <c r="F1061" s="74"/>
      <c r="G1061" s="74"/>
    </row>
    <row r="1062" spans="1:7" s="71" customFormat="1" x14ac:dyDescent="0.2">
      <c r="A1062" s="74"/>
      <c r="B1062" s="74"/>
      <c r="C1062" s="74"/>
      <c r="D1062" s="74"/>
      <c r="E1062" s="74"/>
      <c r="F1062" s="74"/>
      <c r="G1062" s="74"/>
    </row>
    <row r="1063" spans="1:7" s="71" customFormat="1" x14ac:dyDescent="0.2">
      <c r="A1063" s="74"/>
      <c r="B1063" s="74"/>
      <c r="C1063" s="74"/>
      <c r="D1063" s="74"/>
      <c r="E1063" s="74"/>
      <c r="F1063" s="74"/>
      <c r="G1063" s="74"/>
    </row>
    <row r="1064" spans="1:7" s="71" customFormat="1" x14ac:dyDescent="0.2">
      <c r="A1064" s="74"/>
      <c r="B1064" s="74"/>
      <c r="C1064" s="74"/>
      <c r="D1064" s="74"/>
      <c r="E1064" s="74"/>
      <c r="F1064" s="74"/>
      <c r="G1064" s="74"/>
    </row>
    <row r="1065" spans="1:7" s="71" customFormat="1" x14ac:dyDescent="0.2">
      <c r="A1065" s="74"/>
      <c r="B1065" s="74"/>
      <c r="C1065" s="74"/>
      <c r="D1065" s="74"/>
      <c r="E1065" s="74"/>
      <c r="F1065" s="74"/>
      <c r="G1065" s="74"/>
    </row>
    <row r="1066" spans="1:7" s="71" customFormat="1" x14ac:dyDescent="0.2">
      <c r="A1066" s="74"/>
      <c r="B1066" s="74"/>
      <c r="C1066" s="74"/>
      <c r="D1066" s="74"/>
      <c r="E1066" s="74"/>
      <c r="F1066" s="74"/>
      <c r="G1066" s="74"/>
    </row>
    <row r="1067" spans="1:7" s="71" customFormat="1" x14ac:dyDescent="0.2">
      <c r="A1067" s="74"/>
      <c r="B1067" s="74"/>
      <c r="C1067" s="74"/>
      <c r="D1067" s="74"/>
      <c r="E1067" s="74"/>
      <c r="F1067" s="74"/>
      <c r="G1067" s="74"/>
    </row>
    <row r="1068" spans="1:7" s="71" customFormat="1" x14ac:dyDescent="0.2">
      <c r="A1068" s="74"/>
      <c r="B1068" s="74"/>
      <c r="C1068" s="74"/>
      <c r="D1068" s="74"/>
      <c r="E1068" s="74"/>
      <c r="F1068" s="74"/>
      <c r="G1068" s="74"/>
    </row>
    <row r="1069" spans="1:7" s="71" customFormat="1" x14ac:dyDescent="0.2">
      <c r="A1069" s="74"/>
      <c r="B1069" s="74"/>
      <c r="C1069" s="74"/>
      <c r="D1069" s="74"/>
      <c r="E1069" s="74"/>
      <c r="F1069" s="74"/>
      <c r="G1069" s="74"/>
    </row>
    <row r="1070" spans="1:7" s="71" customFormat="1" x14ac:dyDescent="0.2">
      <c r="A1070" s="74"/>
      <c r="B1070" s="74"/>
      <c r="C1070" s="74"/>
      <c r="D1070" s="74"/>
      <c r="E1070" s="74"/>
      <c r="F1070" s="74"/>
      <c r="G1070" s="74"/>
    </row>
    <row r="1071" spans="1:7" s="71" customFormat="1" x14ac:dyDescent="0.2">
      <c r="A1071" s="74"/>
      <c r="B1071" s="74"/>
      <c r="C1071" s="74"/>
      <c r="D1071" s="74"/>
      <c r="E1071" s="74"/>
      <c r="F1071" s="74"/>
      <c r="G1071" s="74"/>
    </row>
    <row r="1072" spans="1:7" s="71" customFormat="1" x14ac:dyDescent="0.2">
      <c r="A1072" s="74"/>
      <c r="B1072" s="74"/>
      <c r="C1072" s="74"/>
      <c r="D1072" s="74"/>
      <c r="E1072" s="74"/>
      <c r="F1072" s="74"/>
      <c r="G1072" s="74"/>
    </row>
    <row r="1073" spans="1:7" s="71" customFormat="1" x14ac:dyDescent="0.2">
      <c r="A1073" s="74"/>
      <c r="B1073" s="74"/>
      <c r="C1073" s="74"/>
      <c r="D1073" s="74"/>
      <c r="E1073" s="74"/>
      <c r="F1073" s="74"/>
      <c r="G1073" s="74"/>
    </row>
    <row r="1074" spans="1:7" s="71" customFormat="1" x14ac:dyDescent="0.2">
      <c r="A1074" s="74"/>
      <c r="B1074" s="74"/>
      <c r="C1074" s="74"/>
      <c r="D1074" s="74"/>
      <c r="E1074" s="74"/>
      <c r="F1074" s="74"/>
      <c r="G1074" s="74"/>
    </row>
    <row r="1075" spans="1:7" s="71" customFormat="1" x14ac:dyDescent="0.2">
      <c r="A1075" s="74"/>
      <c r="B1075" s="74"/>
      <c r="C1075" s="74"/>
      <c r="D1075" s="74"/>
      <c r="E1075" s="74"/>
      <c r="F1075" s="74"/>
      <c r="G1075" s="74"/>
    </row>
    <row r="1076" spans="1:7" s="71" customFormat="1" x14ac:dyDescent="0.2">
      <c r="A1076" s="74"/>
      <c r="B1076" s="74"/>
      <c r="C1076" s="74"/>
      <c r="D1076" s="74"/>
      <c r="E1076" s="74"/>
      <c r="F1076" s="74"/>
      <c r="G1076" s="74"/>
    </row>
    <row r="1077" spans="1:7" s="71" customFormat="1" x14ac:dyDescent="0.2">
      <c r="A1077" s="74"/>
      <c r="B1077" s="74"/>
      <c r="C1077" s="74"/>
      <c r="D1077" s="74"/>
      <c r="E1077" s="74"/>
      <c r="F1077" s="74"/>
      <c r="G1077" s="74"/>
    </row>
    <row r="1078" spans="1:7" s="71" customFormat="1" x14ac:dyDescent="0.2">
      <c r="A1078" s="74"/>
      <c r="B1078" s="74"/>
      <c r="C1078" s="74"/>
      <c r="D1078" s="74"/>
      <c r="E1078" s="74"/>
      <c r="F1078" s="74"/>
      <c r="G1078" s="74"/>
    </row>
    <row r="1079" spans="1:7" s="71" customFormat="1" x14ac:dyDescent="0.2">
      <c r="A1079" s="74"/>
      <c r="B1079" s="74"/>
      <c r="C1079" s="74"/>
      <c r="D1079" s="74"/>
      <c r="E1079" s="74"/>
      <c r="F1079" s="74"/>
      <c r="G1079" s="74"/>
    </row>
    <row r="1080" spans="1:7" s="71" customFormat="1" x14ac:dyDescent="0.2">
      <c r="A1080" s="74"/>
      <c r="B1080" s="74"/>
      <c r="C1080" s="74"/>
      <c r="D1080" s="74"/>
      <c r="E1080" s="74"/>
      <c r="F1080" s="74"/>
      <c r="G1080" s="74"/>
    </row>
    <row r="1081" spans="1:7" s="71" customFormat="1" x14ac:dyDescent="0.2">
      <c r="A1081" s="74"/>
      <c r="B1081" s="74"/>
      <c r="C1081" s="74"/>
      <c r="D1081" s="74"/>
      <c r="E1081" s="74"/>
      <c r="F1081" s="74"/>
      <c r="G1081" s="74"/>
    </row>
    <row r="1082" spans="1:7" s="71" customFormat="1" x14ac:dyDescent="0.2">
      <c r="A1082" s="74"/>
      <c r="B1082" s="74"/>
      <c r="C1082" s="74"/>
      <c r="D1082" s="74"/>
      <c r="E1082" s="74"/>
      <c r="F1082" s="74"/>
      <c r="G1082" s="74"/>
    </row>
    <row r="1083" spans="1:7" s="71" customFormat="1" x14ac:dyDescent="0.2">
      <c r="A1083" s="74"/>
      <c r="B1083" s="74"/>
      <c r="C1083" s="74"/>
      <c r="D1083" s="74"/>
      <c r="E1083" s="74"/>
      <c r="F1083" s="74"/>
      <c r="G1083" s="74"/>
    </row>
    <row r="1084" spans="1:7" s="71" customFormat="1" x14ac:dyDescent="0.2">
      <c r="A1084" s="74"/>
      <c r="B1084" s="74"/>
      <c r="C1084" s="74"/>
      <c r="D1084" s="74"/>
      <c r="E1084" s="74"/>
      <c r="F1084" s="74"/>
      <c r="G1084" s="74"/>
    </row>
    <row r="1085" spans="1:7" s="71" customFormat="1" x14ac:dyDescent="0.2">
      <c r="A1085" s="74"/>
      <c r="B1085" s="74"/>
      <c r="C1085" s="74"/>
      <c r="D1085" s="74"/>
      <c r="E1085" s="74"/>
      <c r="F1085" s="74"/>
      <c r="G1085" s="74"/>
    </row>
    <row r="1086" spans="1:7" s="71" customFormat="1" x14ac:dyDescent="0.2">
      <c r="A1086" s="74"/>
      <c r="B1086" s="74"/>
      <c r="C1086" s="74"/>
      <c r="D1086" s="74"/>
      <c r="E1086" s="74"/>
      <c r="F1086" s="74"/>
      <c r="G1086" s="74"/>
    </row>
    <row r="1087" spans="1:7" s="71" customFormat="1" x14ac:dyDescent="0.2">
      <c r="A1087" s="74"/>
      <c r="B1087" s="74"/>
      <c r="C1087" s="74"/>
      <c r="D1087" s="74"/>
      <c r="E1087" s="74"/>
      <c r="F1087" s="74"/>
      <c r="G1087" s="74"/>
    </row>
    <row r="1088" spans="1:7" s="71" customFormat="1" x14ac:dyDescent="0.2">
      <c r="A1088" s="74"/>
      <c r="B1088" s="74"/>
      <c r="C1088" s="74"/>
      <c r="D1088" s="74"/>
      <c r="E1088" s="74"/>
      <c r="F1088" s="74"/>
      <c r="G1088" s="74"/>
    </row>
    <row r="1089" spans="1:7" s="71" customFormat="1" x14ac:dyDescent="0.2">
      <c r="A1089" s="74"/>
      <c r="B1089" s="74"/>
      <c r="C1089" s="74"/>
      <c r="D1089" s="74"/>
      <c r="E1089" s="74"/>
      <c r="F1089" s="74"/>
      <c r="G1089" s="74"/>
    </row>
    <row r="1090" spans="1:7" s="71" customFormat="1" x14ac:dyDescent="0.2">
      <c r="A1090" s="74"/>
      <c r="B1090" s="74"/>
      <c r="C1090" s="74"/>
      <c r="D1090" s="74"/>
      <c r="E1090" s="74"/>
      <c r="F1090" s="74"/>
      <c r="G1090" s="74"/>
    </row>
    <row r="1091" spans="1:7" s="71" customFormat="1" x14ac:dyDescent="0.2">
      <c r="A1091" s="74"/>
      <c r="B1091" s="74"/>
      <c r="C1091" s="74"/>
      <c r="D1091" s="74"/>
      <c r="E1091" s="74"/>
      <c r="F1091" s="74"/>
      <c r="G1091" s="74"/>
    </row>
    <row r="1092" spans="1:7" s="71" customFormat="1" x14ac:dyDescent="0.2">
      <c r="A1092" s="74"/>
      <c r="B1092" s="74"/>
      <c r="C1092" s="74"/>
      <c r="D1092" s="74"/>
      <c r="E1092" s="74"/>
      <c r="F1092" s="74"/>
      <c r="G1092" s="74"/>
    </row>
    <row r="1093" spans="1:7" s="71" customFormat="1" x14ac:dyDescent="0.2">
      <c r="A1093" s="74"/>
      <c r="B1093" s="74"/>
      <c r="C1093" s="74"/>
      <c r="D1093" s="74"/>
      <c r="E1093" s="74"/>
      <c r="F1093" s="74"/>
      <c r="G1093" s="74"/>
    </row>
    <row r="1094" spans="1:7" s="71" customFormat="1" x14ac:dyDescent="0.2">
      <c r="A1094" s="74"/>
      <c r="B1094" s="74"/>
      <c r="C1094" s="74"/>
      <c r="D1094" s="74"/>
      <c r="E1094" s="74"/>
      <c r="F1094" s="74"/>
      <c r="G1094" s="74"/>
    </row>
    <row r="1095" spans="1:7" s="71" customFormat="1" x14ac:dyDescent="0.2">
      <c r="A1095" s="74"/>
      <c r="B1095" s="74"/>
      <c r="C1095" s="74"/>
      <c r="D1095" s="74"/>
      <c r="E1095" s="74"/>
      <c r="F1095" s="74"/>
      <c r="G1095" s="74"/>
    </row>
    <row r="1096" spans="1:7" s="71" customFormat="1" x14ac:dyDescent="0.2">
      <c r="A1096" s="74"/>
      <c r="B1096" s="74"/>
      <c r="C1096" s="74"/>
      <c r="D1096" s="74"/>
      <c r="E1096" s="74"/>
      <c r="F1096" s="74"/>
      <c r="G1096" s="74"/>
    </row>
    <row r="1097" spans="1:7" s="71" customFormat="1" x14ac:dyDescent="0.2">
      <c r="A1097" s="74"/>
      <c r="B1097" s="74"/>
      <c r="C1097" s="74"/>
      <c r="D1097" s="74"/>
      <c r="E1097" s="74"/>
      <c r="F1097" s="74"/>
      <c r="G1097" s="74"/>
    </row>
    <row r="1098" spans="1:7" s="71" customFormat="1" x14ac:dyDescent="0.2">
      <c r="A1098" s="74"/>
      <c r="B1098" s="74"/>
      <c r="C1098" s="74"/>
      <c r="D1098" s="74"/>
      <c r="E1098" s="74"/>
      <c r="F1098" s="74"/>
      <c r="G1098" s="74"/>
    </row>
    <row r="1099" spans="1:7" s="71" customFormat="1" x14ac:dyDescent="0.2">
      <c r="A1099" s="74"/>
      <c r="B1099" s="74"/>
      <c r="C1099" s="74"/>
      <c r="D1099" s="74"/>
      <c r="E1099" s="74"/>
      <c r="F1099" s="74"/>
      <c r="G1099" s="74"/>
    </row>
    <row r="1100" spans="1:7" s="71" customFormat="1" x14ac:dyDescent="0.2">
      <c r="A1100" s="74"/>
      <c r="B1100" s="74"/>
      <c r="C1100" s="74"/>
      <c r="D1100" s="74"/>
      <c r="E1100" s="74"/>
      <c r="F1100" s="74"/>
      <c r="G1100" s="74"/>
    </row>
    <row r="1101" spans="1:7" s="71" customFormat="1" x14ac:dyDescent="0.2">
      <c r="A1101" s="74"/>
      <c r="B1101" s="74"/>
      <c r="C1101" s="74"/>
      <c r="D1101" s="74"/>
      <c r="E1101" s="74"/>
      <c r="F1101" s="74"/>
      <c r="G1101" s="74"/>
    </row>
    <row r="1102" spans="1:7" s="71" customFormat="1" x14ac:dyDescent="0.2">
      <c r="A1102" s="74"/>
      <c r="B1102" s="74"/>
      <c r="C1102" s="74"/>
      <c r="D1102" s="74"/>
      <c r="E1102" s="74"/>
      <c r="F1102" s="74"/>
      <c r="G1102" s="74"/>
    </row>
    <row r="1103" spans="1:7" s="71" customFormat="1" x14ac:dyDescent="0.2">
      <c r="A1103" s="74"/>
      <c r="B1103" s="74"/>
      <c r="C1103" s="74"/>
      <c r="D1103" s="74"/>
      <c r="E1103" s="74"/>
      <c r="F1103" s="74"/>
      <c r="G1103" s="74"/>
    </row>
    <row r="1104" spans="1:7" s="71" customFormat="1" x14ac:dyDescent="0.2">
      <c r="A1104" s="74"/>
      <c r="B1104" s="74"/>
      <c r="C1104" s="74"/>
      <c r="D1104" s="74"/>
      <c r="E1104" s="74"/>
      <c r="F1104" s="74"/>
      <c r="G1104" s="74"/>
    </row>
    <row r="1105" spans="1:7" s="71" customFormat="1" x14ac:dyDescent="0.2">
      <c r="A1105" s="74"/>
      <c r="B1105" s="74"/>
      <c r="C1105" s="74"/>
      <c r="D1105" s="74"/>
      <c r="E1105" s="74"/>
      <c r="F1105" s="74"/>
      <c r="G1105" s="74"/>
    </row>
    <row r="1106" spans="1:7" s="71" customFormat="1" x14ac:dyDescent="0.2">
      <c r="A1106" s="74"/>
      <c r="B1106" s="74"/>
      <c r="C1106" s="74"/>
      <c r="D1106" s="74"/>
      <c r="E1106" s="74"/>
      <c r="F1106" s="74"/>
      <c r="G1106" s="74"/>
    </row>
    <row r="1107" spans="1:7" s="71" customFormat="1" x14ac:dyDescent="0.2">
      <c r="A1107" s="74"/>
      <c r="B1107" s="74"/>
      <c r="C1107" s="74"/>
      <c r="D1107" s="74"/>
      <c r="E1107" s="74"/>
      <c r="F1107" s="74"/>
      <c r="G1107" s="74"/>
    </row>
    <row r="1108" spans="1:7" s="71" customFormat="1" x14ac:dyDescent="0.2">
      <c r="A1108" s="74"/>
      <c r="B1108" s="74"/>
      <c r="C1108" s="74"/>
      <c r="D1108" s="74"/>
      <c r="E1108" s="74"/>
      <c r="F1108" s="74"/>
      <c r="G1108" s="74"/>
    </row>
    <row r="1109" spans="1:7" s="71" customFormat="1" x14ac:dyDescent="0.2">
      <c r="A1109" s="74"/>
      <c r="B1109" s="74"/>
      <c r="C1109" s="74"/>
      <c r="D1109" s="74"/>
      <c r="E1109" s="74"/>
      <c r="F1109" s="74"/>
      <c r="G1109" s="74"/>
    </row>
    <row r="1110" spans="1:7" s="71" customFormat="1" x14ac:dyDescent="0.2">
      <c r="A1110" s="74"/>
      <c r="B1110" s="74"/>
      <c r="C1110" s="74"/>
      <c r="D1110" s="74"/>
      <c r="E1110" s="74"/>
      <c r="F1110" s="74"/>
      <c r="G1110" s="74"/>
    </row>
    <row r="1111" spans="1:7" s="71" customFormat="1" x14ac:dyDescent="0.2">
      <c r="A1111" s="74"/>
      <c r="B1111" s="74"/>
      <c r="C1111" s="74"/>
      <c r="D1111" s="74"/>
      <c r="E1111" s="74"/>
      <c r="F1111" s="74"/>
      <c r="G1111" s="74"/>
    </row>
    <row r="1112" spans="1:7" s="71" customFormat="1" x14ac:dyDescent="0.2">
      <c r="A1112" s="74"/>
      <c r="B1112" s="74"/>
      <c r="C1112" s="74"/>
      <c r="D1112" s="74"/>
      <c r="E1112" s="74"/>
      <c r="F1112" s="74"/>
      <c r="G1112" s="74"/>
    </row>
    <row r="1113" spans="1:7" s="71" customFormat="1" x14ac:dyDescent="0.2">
      <c r="A1113" s="74"/>
      <c r="B1113" s="74"/>
      <c r="C1113" s="74"/>
      <c r="D1113" s="74"/>
      <c r="E1113" s="74"/>
      <c r="F1113" s="74"/>
      <c r="G1113" s="74"/>
    </row>
    <row r="1114" spans="1:7" s="71" customFormat="1" x14ac:dyDescent="0.2">
      <c r="A1114" s="74"/>
      <c r="B1114" s="74"/>
      <c r="C1114" s="74"/>
      <c r="D1114" s="74"/>
      <c r="E1114" s="74"/>
      <c r="F1114" s="74"/>
      <c r="G1114" s="74"/>
    </row>
    <row r="1115" spans="1:7" s="71" customFormat="1" x14ac:dyDescent="0.2">
      <c r="A1115" s="74"/>
      <c r="B1115" s="74"/>
      <c r="C1115" s="74"/>
      <c r="D1115" s="74"/>
      <c r="E1115" s="74"/>
      <c r="F1115" s="74"/>
      <c r="G1115" s="74"/>
    </row>
    <row r="1116" spans="1:7" s="71" customFormat="1" x14ac:dyDescent="0.2">
      <c r="A1116" s="74"/>
      <c r="B1116" s="74"/>
      <c r="C1116" s="74"/>
      <c r="D1116" s="74"/>
      <c r="E1116" s="74"/>
      <c r="F1116" s="74"/>
      <c r="G1116" s="74"/>
    </row>
    <row r="1117" spans="1:7" s="71" customFormat="1" x14ac:dyDescent="0.2">
      <c r="A1117" s="74"/>
      <c r="B1117" s="74"/>
      <c r="C1117" s="74"/>
      <c r="D1117" s="74"/>
      <c r="E1117" s="74"/>
      <c r="F1117" s="74"/>
      <c r="G1117" s="74"/>
    </row>
    <row r="1118" spans="1:7" s="71" customFormat="1" x14ac:dyDescent="0.2">
      <c r="A1118" s="74"/>
      <c r="B1118" s="74"/>
      <c r="C1118" s="74"/>
      <c r="D1118" s="74"/>
      <c r="E1118" s="74"/>
      <c r="F1118" s="74"/>
      <c r="G1118" s="74"/>
    </row>
    <row r="1119" spans="1:7" s="71" customFormat="1" x14ac:dyDescent="0.2">
      <c r="A1119" s="74"/>
      <c r="B1119" s="74"/>
      <c r="C1119" s="74"/>
      <c r="D1119" s="74"/>
      <c r="E1119" s="74"/>
      <c r="F1119" s="74"/>
      <c r="G1119" s="74"/>
    </row>
    <row r="1120" spans="1:7" s="71" customFormat="1" x14ac:dyDescent="0.2">
      <c r="A1120" s="74"/>
      <c r="B1120" s="74"/>
      <c r="C1120" s="74"/>
      <c r="D1120" s="74"/>
      <c r="E1120" s="74"/>
      <c r="F1120" s="74"/>
      <c r="G1120" s="74"/>
    </row>
    <row r="1121" spans="1:7" s="71" customFormat="1" x14ac:dyDescent="0.2">
      <c r="A1121" s="74"/>
      <c r="B1121" s="74"/>
      <c r="C1121" s="74"/>
      <c r="D1121" s="74"/>
      <c r="E1121" s="74"/>
      <c r="F1121" s="74"/>
      <c r="G1121" s="74"/>
    </row>
    <row r="1122" spans="1:7" s="71" customFormat="1" x14ac:dyDescent="0.2">
      <c r="A1122" s="74"/>
      <c r="B1122" s="74"/>
      <c r="C1122" s="74"/>
      <c r="D1122" s="74"/>
      <c r="E1122" s="74"/>
      <c r="F1122" s="74"/>
      <c r="G1122" s="74"/>
    </row>
    <row r="1123" spans="1:7" s="71" customFormat="1" x14ac:dyDescent="0.2">
      <c r="A1123" s="74"/>
      <c r="B1123" s="74"/>
      <c r="C1123" s="74"/>
      <c r="D1123" s="74"/>
      <c r="E1123" s="74"/>
      <c r="F1123" s="74"/>
      <c r="G1123" s="74"/>
    </row>
    <row r="1124" spans="1:7" s="71" customFormat="1" x14ac:dyDescent="0.2">
      <c r="A1124" s="74"/>
      <c r="B1124" s="74"/>
      <c r="C1124" s="74"/>
      <c r="D1124" s="74"/>
      <c r="E1124" s="74"/>
      <c r="F1124" s="74"/>
      <c r="G1124" s="74"/>
    </row>
    <row r="1125" spans="1:7" s="71" customFormat="1" x14ac:dyDescent="0.2">
      <c r="A1125" s="74"/>
      <c r="B1125" s="74"/>
      <c r="C1125" s="74"/>
      <c r="D1125" s="74"/>
      <c r="E1125" s="74"/>
      <c r="F1125" s="74"/>
      <c r="G1125" s="74"/>
    </row>
    <row r="1126" spans="1:7" s="71" customFormat="1" x14ac:dyDescent="0.2">
      <c r="A1126" s="74"/>
      <c r="B1126" s="74"/>
      <c r="C1126" s="74"/>
      <c r="D1126" s="74"/>
      <c r="E1126" s="74"/>
      <c r="F1126" s="74"/>
      <c r="G1126" s="74"/>
    </row>
    <row r="1127" spans="1:7" s="71" customFormat="1" x14ac:dyDescent="0.2">
      <c r="A1127" s="74"/>
      <c r="B1127" s="74"/>
      <c r="C1127" s="74"/>
      <c r="D1127" s="74"/>
      <c r="E1127" s="74"/>
      <c r="F1127" s="74"/>
      <c r="G1127" s="74"/>
    </row>
    <row r="1128" spans="1:7" s="71" customFormat="1" x14ac:dyDescent="0.2">
      <c r="A1128" s="74"/>
      <c r="B1128" s="74"/>
      <c r="C1128" s="74"/>
      <c r="D1128" s="74"/>
      <c r="E1128" s="74"/>
      <c r="F1128" s="74"/>
      <c r="G1128" s="74"/>
    </row>
    <row r="1129" spans="1:7" s="71" customFormat="1" x14ac:dyDescent="0.2">
      <c r="A1129" s="74"/>
      <c r="B1129" s="74"/>
      <c r="C1129" s="74"/>
      <c r="D1129" s="74"/>
      <c r="E1129" s="74"/>
      <c r="F1129" s="74"/>
      <c r="G1129" s="74"/>
    </row>
    <row r="1130" spans="1:7" s="71" customFormat="1" x14ac:dyDescent="0.2">
      <c r="A1130" s="74"/>
      <c r="B1130" s="74"/>
      <c r="C1130" s="74"/>
      <c r="D1130" s="74"/>
      <c r="E1130" s="74"/>
      <c r="F1130" s="74"/>
      <c r="G1130" s="74"/>
    </row>
    <row r="1131" spans="1:7" s="71" customFormat="1" x14ac:dyDescent="0.2">
      <c r="A1131" s="74"/>
      <c r="B1131" s="74"/>
      <c r="C1131" s="74"/>
      <c r="D1131" s="74"/>
      <c r="E1131" s="74"/>
      <c r="F1131" s="74"/>
      <c r="G1131" s="74"/>
    </row>
    <row r="1132" spans="1:7" s="71" customFormat="1" x14ac:dyDescent="0.2">
      <c r="A1132" s="74"/>
      <c r="B1132" s="74"/>
      <c r="C1132" s="74"/>
      <c r="D1132" s="74"/>
      <c r="E1132" s="74"/>
      <c r="F1132" s="74"/>
      <c r="G1132" s="74"/>
    </row>
    <row r="1133" spans="1:7" s="71" customFormat="1" x14ac:dyDescent="0.2">
      <c r="A1133" s="74"/>
      <c r="B1133" s="74"/>
      <c r="C1133" s="74"/>
      <c r="D1133" s="74"/>
      <c r="E1133" s="74"/>
      <c r="F1133" s="74"/>
      <c r="G1133" s="74"/>
    </row>
    <row r="1134" spans="1:7" s="71" customFormat="1" x14ac:dyDescent="0.2">
      <c r="A1134" s="74"/>
      <c r="B1134" s="74"/>
      <c r="C1134" s="74"/>
      <c r="D1134" s="74"/>
      <c r="E1134" s="74"/>
      <c r="F1134" s="74"/>
      <c r="G1134" s="74"/>
    </row>
    <row r="1135" spans="1:7" s="71" customFormat="1" x14ac:dyDescent="0.2">
      <c r="A1135" s="74"/>
      <c r="B1135" s="74"/>
      <c r="C1135" s="74"/>
      <c r="D1135" s="74"/>
      <c r="E1135" s="74"/>
      <c r="F1135" s="74"/>
      <c r="G1135" s="74"/>
    </row>
    <row r="1136" spans="1:7" s="71" customFormat="1" x14ac:dyDescent="0.2">
      <c r="A1136" s="74"/>
      <c r="B1136" s="74"/>
      <c r="C1136" s="74"/>
      <c r="D1136" s="74"/>
      <c r="E1136" s="74"/>
      <c r="F1136" s="74"/>
      <c r="G1136" s="74"/>
    </row>
    <row r="1137" spans="1:7" s="71" customFormat="1" x14ac:dyDescent="0.2">
      <c r="A1137" s="74"/>
      <c r="B1137" s="74"/>
      <c r="C1137" s="74"/>
      <c r="D1137" s="74"/>
      <c r="E1137" s="74"/>
      <c r="F1137" s="74"/>
      <c r="G1137" s="74"/>
    </row>
    <row r="1138" spans="1:7" s="71" customFormat="1" x14ac:dyDescent="0.2">
      <c r="A1138" s="74"/>
      <c r="B1138" s="74"/>
      <c r="C1138" s="74"/>
      <c r="D1138" s="74"/>
      <c r="E1138" s="74"/>
      <c r="F1138" s="74"/>
      <c r="G1138" s="74"/>
    </row>
    <row r="1139" spans="1:7" s="71" customFormat="1" x14ac:dyDescent="0.2">
      <c r="A1139" s="74"/>
      <c r="B1139" s="74"/>
      <c r="C1139" s="74"/>
      <c r="D1139" s="74"/>
      <c r="E1139" s="74"/>
      <c r="F1139" s="74"/>
      <c r="G1139" s="74"/>
    </row>
    <row r="1140" spans="1:7" s="71" customFormat="1" x14ac:dyDescent="0.2">
      <c r="A1140" s="74"/>
      <c r="B1140" s="74"/>
      <c r="C1140" s="74"/>
      <c r="D1140" s="74"/>
      <c r="E1140" s="74"/>
      <c r="F1140" s="74"/>
      <c r="G1140" s="74"/>
    </row>
    <row r="1141" spans="1:7" s="71" customFormat="1" x14ac:dyDescent="0.2">
      <c r="A1141" s="74"/>
      <c r="B1141" s="74"/>
      <c r="C1141" s="74"/>
      <c r="D1141" s="74"/>
      <c r="E1141" s="74"/>
      <c r="F1141" s="74"/>
      <c r="G1141" s="74"/>
    </row>
    <row r="1142" spans="1:7" s="71" customFormat="1" x14ac:dyDescent="0.2">
      <c r="A1142" s="74"/>
      <c r="B1142" s="74"/>
      <c r="C1142" s="74"/>
      <c r="D1142" s="74"/>
      <c r="E1142" s="74"/>
      <c r="F1142" s="74"/>
      <c r="G1142" s="74"/>
    </row>
    <row r="1143" spans="1:7" s="71" customFormat="1" x14ac:dyDescent="0.2">
      <c r="A1143" s="74"/>
      <c r="B1143" s="74"/>
      <c r="C1143" s="74"/>
      <c r="D1143" s="74"/>
      <c r="E1143" s="74"/>
      <c r="F1143" s="74"/>
      <c r="G1143" s="74"/>
    </row>
    <row r="1144" spans="1:7" s="71" customFormat="1" x14ac:dyDescent="0.2">
      <c r="A1144" s="74"/>
      <c r="B1144" s="74"/>
      <c r="C1144" s="74"/>
      <c r="D1144" s="74"/>
      <c r="E1144" s="74"/>
      <c r="F1144" s="74"/>
      <c r="G1144" s="74"/>
    </row>
    <row r="1145" spans="1:7" s="71" customFormat="1" x14ac:dyDescent="0.2">
      <c r="A1145" s="74"/>
      <c r="B1145" s="74"/>
      <c r="C1145" s="74"/>
      <c r="D1145" s="74"/>
      <c r="E1145" s="74"/>
      <c r="F1145" s="74"/>
      <c r="G1145" s="74"/>
    </row>
    <row r="1146" spans="1:7" s="71" customFormat="1" x14ac:dyDescent="0.2">
      <c r="A1146" s="74"/>
      <c r="B1146" s="74"/>
      <c r="C1146" s="74"/>
      <c r="D1146" s="74"/>
      <c r="E1146" s="74"/>
      <c r="F1146" s="74"/>
      <c r="G1146" s="74"/>
    </row>
    <row r="1147" spans="1:7" s="71" customFormat="1" x14ac:dyDescent="0.2">
      <c r="A1147" s="74"/>
      <c r="B1147" s="74"/>
      <c r="C1147" s="74"/>
      <c r="D1147" s="74"/>
      <c r="E1147" s="74"/>
      <c r="F1147" s="74"/>
      <c r="G1147" s="74"/>
    </row>
    <row r="1148" spans="1:7" s="71" customFormat="1" x14ac:dyDescent="0.2">
      <c r="A1148" s="74"/>
      <c r="B1148" s="74"/>
      <c r="C1148" s="74"/>
      <c r="D1148" s="74"/>
      <c r="E1148" s="74"/>
      <c r="F1148" s="74"/>
      <c r="G1148" s="74"/>
    </row>
    <row r="1149" spans="1:7" s="71" customFormat="1" x14ac:dyDescent="0.2">
      <c r="A1149" s="74"/>
      <c r="B1149" s="74"/>
      <c r="C1149" s="74"/>
      <c r="D1149" s="74"/>
      <c r="E1149" s="74"/>
      <c r="F1149" s="74"/>
      <c r="G1149" s="74"/>
    </row>
    <row r="1150" spans="1:7" s="71" customFormat="1" x14ac:dyDescent="0.2">
      <c r="A1150" s="74"/>
      <c r="B1150" s="74"/>
      <c r="C1150" s="74"/>
      <c r="D1150" s="74"/>
      <c r="E1150" s="74"/>
      <c r="F1150" s="74"/>
      <c r="G1150" s="74"/>
    </row>
    <row r="1151" spans="1:7" s="71" customFormat="1" x14ac:dyDescent="0.2">
      <c r="A1151" s="74"/>
      <c r="B1151" s="74"/>
      <c r="C1151" s="74"/>
      <c r="D1151" s="74"/>
      <c r="E1151" s="74"/>
      <c r="F1151" s="74"/>
      <c r="G1151" s="74"/>
    </row>
    <row r="1152" spans="1:7" s="71" customFormat="1" x14ac:dyDescent="0.2">
      <c r="A1152" s="74"/>
      <c r="B1152" s="74"/>
      <c r="C1152" s="74"/>
      <c r="D1152" s="74"/>
      <c r="E1152" s="74"/>
      <c r="F1152" s="74"/>
      <c r="G1152" s="74"/>
    </row>
    <row r="1153" spans="1:7" s="71" customFormat="1" x14ac:dyDescent="0.2">
      <c r="A1153" s="74"/>
      <c r="B1153" s="74"/>
      <c r="C1153" s="74"/>
      <c r="D1153" s="74"/>
      <c r="E1153" s="74"/>
      <c r="F1153" s="74"/>
      <c r="G1153" s="74"/>
    </row>
    <row r="1154" spans="1:7" s="71" customFormat="1" x14ac:dyDescent="0.2">
      <c r="A1154" s="74"/>
      <c r="B1154" s="74"/>
      <c r="C1154" s="74"/>
      <c r="D1154" s="74"/>
      <c r="E1154" s="74"/>
      <c r="F1154" s="74"/>
      <c r="G1154" s="74"/>
    </row>
    <row r="1155" spans="1:7" s="71" customFormat="1" x14ac:dyDescent="0.2">
      <c r="A1155" s="74"/>
      <c r="B1155" s="74"/>
      <c r="C1155" s="74"/>
      <c r="D1155" s="74"/>
      <c r="E1155" s="74"/>
      <c r="F1155" s="74"/>
      <c r="G1155" s="74"/>
    </row>
    <row r="1156" spans="1:7" s="71" customFormat="1" x14ac:dyDescent="0.2">
      <c r="A1156" s="74"/>
      <c r="B1156" s="74"/>
      <c r="C1156" s="74"/>
      <c r="D1156" s="74"/>
      <c r="E1156" s="74"/>
      <c r="F1156" s="74"/>
      <c r="G1156" s="74"/>
    </row>
    <row r="1157" spans="1:7" s="71" customFormat="1" x14ac:dyDescent="0.2">
      <c r="A1157" s="74"/>
      <c r="B1157" s="74"/>
      <c r="C1157" s="74"/>
      <c r="D1157" s="74"/>
      <c r="E1157" s="74"/>
      <c r="F1157" s="74"/>
      <c r="G1157" s="74"/>
    </row>
    <row r="1158" spans="1:7" s="71" customFormat="1" x14ac:dyDescent="0.2">
      <c r="A1158" s="74"/>
      <c r="B1158" s="74"/>
      <c r="C1158" s="74"/>
      <c r="D1158" s="74"/>
      <c r="E1158" s="74"/>
      <c r="F1158" s="74"/>
      <c r="G1158" s="74"/>
    </row>
    <row r="1159" spans="1:7" s="71" customFormat="1" x14ac:dyDescent="0.2">
      <c r="A1159" s="74"/>
      <c r="B1159" s="74"/>
      <c r="C1159" s="74"/>
      <c r="D1159" s="74"/>
      <c r="E1159" s="74"/>
      <c r="F1159" s="74"/>
      <c r="G1159" s="74"/>
    </row>
    <row r="1160" spans="1:7" s="71" customFormat="1" x14ac:dyDescent="0.2">
      <c r="A1160" s="74"/>
      <c r="B1160" s="74"/>
      <c r="C1160" s="74"/>
      <c r="D1160" s="74"/>
      <c r="E1160" s="74"/>
      <c r="F1160" s="74"/>
      <c r="G1160" s="74"/>
    </row>
    <row r="1161" spans="1:7" s="71" customFormat="1" x14ac:dyDescent="0.2">
      <c r="A1161" s="74"/>
      <c r="B1161" s="74"/>
      <c r="C1161" s="74"/>
      <c r="D1161" s="74"/>
      <c r="E1161" s="74"/>
      <c r="F1161" s="74"/>
      <c r="G1161" s="74"/>
    </row>
    <row r="1162" spans="1:7" s="71" customFormat="1" x14ac:dyDescent="0.2">
      <c r="A1162" s="74"/>
      <c r="B1162" s="74"/>
      <c r="C1162" s="74"/>
      <c r="D1162" s="74"/>
      <c r="E1162" s="74"/>
      <c r="F1162" s="74"/>
      <c r="G1162" s="74"/>
    </row>
    <row r="1163" spans="1:7" s="71" customFormat="1" x14ac:dyDescent="0.2">
      <c r="A1163" s="74"/>
      <c r="B1163" s="74"/>
      <c r="C1163" s="74"/>
      <c r="D1163" s="74"/>
      <c r="E1163" s="74"/>
      <c r="F1163" s="74"/>
      <c r="G1163" s="74"/>
    </row>
    <row r="1164" spans="1:7" s="71" customFormat="1" x14ac:dyDescent="0.2">
      <c r="A1164" s="74"/>
      <c r="B1164" s="74"/>
      <c r="C1164" s="74"/>
      <c r="D1164" s="74"/>
      <c r="E1164" s="74"/>
      <c r="F1164" s="74"/>
      <c r="G1164" s="74"/>
    </row>
    <row r="1165" spans="1:7" s="71" customFormat="1" x14ac:dyDescent="0.2">
      <c r="A1165" s="74"/>
      <c r="B1165" s="74"/>
      <c r="C1165" s="74"/>
      <c r="D1165" s="74"/>
      <c r="E1165" s="74"/>
      <c r="F1165" s="74"/>
      <c r="G1165" s="74"/>
    </row>
    <row r="1166" spans="1:7" s="71" customFormat="1" x14ac:dyDescent="0.2">
      <c r="A1166" s="74"/>
      <c r="B1166" s="74"/>
      <c r="C1166" s="74"/>
      <c r="D1166" s="74"/>
      <c r="E1166" s="74"/>
      <c r="F1166" s="74"/>
      <c r="G1166" s="74"/>
    </row>
    <row r="1167" spans="1:7" s="71" customFormat="1" x14ac:dyDescent="0.2">
      <c r="A1167" s="74"/>
      <c r="B1167" s="74"/>
      <c r="C1167" s="74"/>
      <c r="D1167" s="74"/>
      <c r="E1167" s="74"/>
      <c r="F1167" s="74"/>
      <c r="G1167" s="74"/>
    </row>
    <row r="1168" spans="1:7" s="71" customFormat="1" x14ac:dyDescent="0.2">
      <c r="A1168" s="74"/>
      <c r="B1168" s="74"/>
      <c r="C1168" s="74"/>
      <c r="D1168" s="74"/>
      <c r="E1168" s="74"/>
      <c r="F1168" s="74"/>
      <c r="G1168" s="74"/>
    </row>
    <row r="1169" spans="1:7" s="71" customFormat="1" x14ac:dyDescent="0.2">
      <c r="A1169" s="74"/>
      <c r="B1169" s="74"/>
      <c r="C1169" s="74"/>
      <c r="D1169" s="74"/>
      <c r="E1169" s="74"/>
      <c r="F1169" s="74"/>
      <c r="G1169" s="74"/>
    </row>
    <row r="1170" spans="1:7" s="71" customFormat="1" x14ac:dyDescent="0.2">
      <c r="A1170" s="74"/>
      <c r="B1170" s="74"/>
      <c r="C1170" s="74"/>
      <c r="D1170" s="74"/>
      <c r="E1170" s="74"/>
      <c r="F1170" s="74"/>
      <c r="G1170" s="74"/>
    </row>
    <row r="1171" spans="1:7" s="71" customFormat="1" x14ac:dyDescent="0.2">
      <c r="A1171" s="74"/>
      <c r="B1171" s="74"/>
      <c r="C1171" s="74"/>
      <c r="D1171" s="74"/>
      <c r="E1171" s="74"/>
      <c r="F1171" s="74"/>
      <c r="G1171" s="74"/>
    </row>
    <row r="1172" spans="1:7" s="71" customFormat="1" x14ac:dyDescent="0.2">
      <c r="A1172" s="74"/>
      <c r="B1172" s="74"/>
      <c r="C1172" s="74"/>
      <c r="D1172" s="74"/>
      <c r="E1172" s="74"/>
      <c r="F1172" s="74"/>
      <c r="G1172" s="74"/>
    </row>
    <row r="1173" spans="1:7" s="71" customFormat="1" x14ac:dyDescent="0.2">
      <c r="A1173" s="74"/>
      <c r="B1173" s="74"/>
      <c r="C1173" s="74"/>
      <c r="D1173" s="74"/>
      <c r="E1173" s="74"/>
      <c r="F1173" s="74"/>
      <c r="G1173" s="74"/>
    </row>
    <row r="1174" spans="1:7" s="71" customFormat="1" x14ac:dyDescent="0.2">
      <c r="A1174" s="74"/>
      <c r="B1174" s="74"/>
      <c r="C1174" s="74"/>
      <c r="D1174" s="74"/>
      <c r="E1174" s="74"/>
      <c r="F1174" s="74"/>
      <c r="G1174" s="74"/>
    </row>
    <row r="1175" spans="1:7" s="71" customFormat="1" x14ac:dyDescent="0.2">
      <c r="A1175" s="74"/>
      <c r="B1175" s="74"/>
      <c r="C1175" s="74"/>
      <c r="D1175" s="74"/>
      <c r="E1175" s="74"/>
      <c r="F1175" s="74"/>
      <c r="G1175" s="74"/>
    </row>
    <row r="1176" spans="1:7" s="71" customFormat="1" x14ac:dyDescent="0.2">
      <c r="A1176" s="74"/>
      <c r="B1176" s="74"/>
      <c r="C1176" s="74"/>
      <c r="D1176" s="74"/>
      <c r="E1176" s="74"/>
      <c r="F1176" s="74"/>
      <c r="G1176" s="74"/>
    </row>
    <row r="1177" spans="1:7" s="71" customFormat="1" x14ac:dyDescent="0.2">
      <c r="A1177" s="74"/>
      <c r="B1177" s="74"/>
      <c r="C1177" s="74"/>
      <c r="D1177" s="74"/>
      <c r="E1177" s="74"/>
      <c r="F1177" s="74"/>
      <c r="G1177" s="74"/>
    </row>
    <row r="1178" spans="1:7" s="71" customFormat="1" x14ac:dyDescent="0.2">
      <c r="A1178" s="74"/>
      <c r="B1178" s="74"/>
      <c r="C1178" s="74"/>
      <c r="D1178" s="74"/>
      <c r="E1178" s="74"/>
      <c r="F1178" s="74"/>
      <c r="G1178" s="74"/>
    </row>
    <row r="1179" spans="1:7" s="71" customFormat="1" x14ac:dyDescent="0.2">
      <c r="A1179" s="74"/>
      <c r="B1179" s="74"/>
      <c r="C1179" s="74"/>
      <c r="D1179" s="74"/>
      <c r="E1179" s="74"/>
      <c r="F1179" s="74"/>
      <c r="G1179" s="74"/>
    </row>
    <row r="1180" spans="1:7" s="71" customFormat="1" x14ac:dyDescent="0.2">
      <c r="A1180" s="74"/>
      <c r="B1180" s="74"/>
      <c r="C1180" s="74"/>
      <c r="D1180" s="74"/>
      <c r="E1180" s="74"/>
      <c r="F1180" s="74"/>
      <c r="G1180" s="74"/>
    </row>
    <row r="1181" spans="1:7" s="71" customFormat="1" x14ac:dyDescent="0.2">
      <c r="A1181" s="74"/>
      <c r="B1181" s="74"/>
      <c r="C1181" s="74"/>
      <c r="D1181" s="74"/>
      <c r="E1181" s="74"/>
      <c r="F1181" s="74"/>
      <c r="G1181" s="74"/>
    </row>
    <row r="1182" spans="1:7" s="71" customFormat="1" x14ac:dyDescent="0.2">
      <c r="A1182" s="74"/>
      <c r="B1182" s="74"/>
      <c r="C1182" s="74"/>
      <c r="D1182" s="74"/>
      <c r="E1182" s="74"/>
      <c r="F1182" s="74"/>
      <c r="G1182" s="74"/>
    </row>
    <row r="1183" spans="1:7" s="71" customFormat="1" x14ac:dyDescent="0.2">
      <c r="A1183" s="74"/>
      <c r="B1183" s="74"/>
      <c r="C1183" s="74"/>
      <c r="D1183" s="74"/>
      <c r="E1183" s="74"/>
      <c r="F1183" s="74"/>
      <c r="G1183" s="74"/>
    </row>
    <row r="1184" spans="1:7" s="71" customFormat="1" x14ac:dyDescent="0.2">
      <c r="A1184" s="74"/>
      <c r="B1184" s="74"/>
      <c r="C1184" s="74"/>
      <c r="D1184" s="74"/>
      <c r="E1184" s="74"/>
      <c r="F1184" s="74"/>
      <c r="G1184" s="74"/>
    </row>
    <row r="1185" spans="1:7" s="71" customFormat="1" x14ac:dyDescent="0.2">
      <c r="A1185" s="74"/>
      <c r="B1185" s="74"/>
      <c r="C1185" s="74"/>
      <c r="D1185" s="74"/>
      <c r="E1185" s="74"/>
      <c r="F1185" s="74"/>
      <c r="G1185" s="74"/>
    </row>
    <row r="1186" spans="1:7" s="71" customFormat="1" x14ac:dyDescent="0.2">
      <c r="A1186" s="74"/>
      <c r="B1186" s="74"/>
      <c r="C1186" s="74"/>
      <c r="D1186" s="74"/>
      <c r="E1186" s="74"/>
      <c r="F1186" s="74"/>
      <c r="G1186" s="74"/>
    </row>
    <row r="1187" spans="1:7" s="71" customFormat="1" x14ac:dyDescent="0.2">
      <c r="A1187" s="74"/>
      <c r="B1187" s="74"/>
      <c r="C1187" s="74"/>
      <c r="D1187" s="74"/>
      <c r="E1187" s="74"/>
      <c r="F1187" s="74"/>
      <c r="G1187" s="74"/>
    </row>
    <row r="1188" spans="1:7" s="71" customFormat="1" x14ac:dyDescent="0.2">
      <c r="A1188" s="74"/>
      <c r="B1188" s="74"/>
      <c r="C1188" s="74"/>
      <c r="D1188" s="74"/>
      <c r="E1188" s="74"/>
      <c r="F1188" s="74"/>
      <c r="G1188" s="74"/>
    </row>
    <row r="1189" spans="1:7" s="71" customFormat="1" x14ac:dyDescent="0.2">
      <c r="A1189" s="74"/>
      <c r="B1189" s="74"/>
      <c r="C1189" s="74"/>
      <c r="D1189" s="74"/>
      <c r="E1189" s="74"/>
      <c r="F1189" s="74"/>
      <c r="G1189" s="74"/>
    </row>
    <row r="1190" spans="1:7" s="71" customFormat="1" x14ac:dyDescent="0.2">
      <c r="A1190" s="74"/>
      <c r="B1190" s="74"/>
      <c r="C1190" s="74"/>
      <c r="D1190" s="74"/>
      <c r="E1190" s="74"/>
      <c r="F1190" s="74"/>
      <c r="G1190" s="74"/>
    </row>
    <row r="1191" spans="1:7" s="71" customFormat="1" x14ac:dyDescent="0.2">
      <c r="A1191" s="74"/>
      <c r="B1191" s="74"/>
      <c r="C1191" s="74"/>
      <c r="D1191" s="74"/>
      <c r="E1191" s="74"/>
      <c r="F1191" s="74"/>
      <c r="G1191" s="74"/>
    </row>
    <row r="1192" spans="1:7" s="71" customFormat="1" x14ac:dyDescent="0.2">
      <c r="A1192" s="74"/>
      <c r="B1192" s="74"/>
      <c r="C1192" s="74"/>
      <c r="D1192" s="74"/>
      <c r="E1192" s="74"/>
      <c r="F1192" s="74"/>
      <c r="G1192" s="74"/>
    </row>
    <row r="1193" spans="1:7" s="71" customFormat="1" x14ac:dyDescent="0.2">
      <c r="A1193" s="74"/>
      <c r="B1193" s="74"/>
      <c r="C1193" s="74"/>
      <c r="D1193" s="74"/>
      <c r="E1193" s="74"/>
      <c r="F1193" s="74"/>
      <c r="G1193" s="74"/>
    </row>
    <row r="1194" spans="1:7" s="71" customFormat="1" x14ac:dyDescent="0.2">
      <c r="A1194" s="74"/>
      <c r="B1194" s="74"/>
      <c r="C1194" s="74"/>
      <c r="D1194" s="74"/>
      <c r="E1194" s="74"/>
      <c r="F1194" s="74"/>
      <c r="G1194" s="74"/>
    </row>
    <row r="1195" spans="1:7" s="71" customFormat="1" x14ac:dyDescent="0.2">
      <c r="A1195" s="74"/>
      <c r="B1195" s="74"/>
      <c r="C1195" s="74"/>
      <c r="D1195" s="74"/>
      <c r="E1195" s="74"/>
      <c r="F1195" s="74"/>
      <c r="G1195" s="74"/>
    </row>
    <row r="1196" spans="1:7" s="71" customFormat="1" x14ac:dyDescent="0.2">
      <c r="A1196" s="74"/>
      <c r="B1196" s="74"/>
      <c r="C1196" s="74"/>
      <c r="D1196" s="74"/>
      <c r="E1196" s="74"/>
      <c r="F1196" s="74"/>
      <c r="G1196" s="74"/>
    </row>
    <row r="1197" spans="1:7" s="71" customFormat="1" x14ac:dyDescent="0.2">
      <c r="A1197" s="74"/>
      <c r="B1197" s="74"/>
      <c r="C1197" s="74"/>
      <c r="D1197" s="74"/>
      <c r="E1197" s="74"/>
      <c r="F1197" s="74"/>
      <c r="G1197" s="74"/>
    </row>
    <row r="1198" spans="1:7" s="71" customFormat="1" x14ac:dyDescent="0.2">
      <c r="A1198" s="74"/>
      <c r="B1198" s="74"/>
      <c r="C1198" s="74"/>
      <c r="D1198" s="74"/>
      <c r="E1198" s="74"/>
      <c r="F1198" s="74"/>
      <c r="G1198" s="74"/>
    </row>
    <row r="1199" spans="1:7" s="71" customFormat="1" x14ac:dyDescent="0.2">
      <c r="A1199" s="74"/>
      <c r="B1199" s="74"/>
      <c r="C1199" s="74"/>
      <c r="D1199" s="74"/>
      <c r="E1199" s="74"/>
      <c r="F1199" s="74"/>
      <c r="G1199" s="74"/>
    </row>
    <row r="1200" spans="1:7" s="71" customFormat="1" x14ac:dyDescent="0.2">
      <c r="A1200" s="74"/>
      <c r="B1200" s="74"/>
      <c r="C1200" s="74"/>
      <c r="D1200" s="74"/>
      <c r="E1200" s="74"/>
      <c r="F1200" s="74"/>
      <c r="G1200" s="74"/>
    </row>
    <row r="1201" spans="1:7" s="71" customFormat="1" x14ac:dyDescent="0.2">
      <c r="A1201" s="74"/>
      <c r="B1201" s="74"/>
      <c r="C1201" s="74"/>
      <c r="D1201" s="74"/>
      <c r="E1201" s="74"/>
      <c r="F1201" s="74"/>
      <c r="G1201" s="74"/>
    </row>
    <row r="1202" spans="1:7" s="71" customFormat="1" x14ac:dyDescent="0.2">
      <c r="A1202" s="74"/>
      <c r="B1202" s="74"/>
      <c r="C1202" s="74"/>
      <c r="D1202" s="74"/>
      <c r="E1202" s="74"/>
      <c r="F1202" s="74"/>
      <c r="G1202" s="74"/>
    </row>
    <row r="1203" spans="1:7" s="71" customFormat="1" x14ac:dyDescent="0.2">
      <c r="A1203" s="74"/>
      <c r="B1203" s="74"/>
      <c r="C1203" s="74"/>
      <c r="D1203" s="74"/>
      <c r="E1203" s="74"/>
      <c r="F1203" s="74"/>
      <c r="G1203" s="74"/>
    </row>
    <row r="1204" spans="1:7" s="71" customFormat="1" x14ac:dyDescent="0.2">
      <c r="A1204" s="74"/>
      <c r="B1204" s="74"/>
      <c r="C1204" s="74"/>
      <c r="D1204" s="74"/>
      <c r="E1204" s="74"/>
      <c r="F1204" s="74"/>
      <c r="G1204" s="74"/>
    </row>
    <row r="1205" spans="1:7" s="71" customFormat="1" x14ac:dyDescent="0.2">
      <c r="A1205" s="74"/>
      <c r="B1205" s="74"/>
      <c r="C1205" s="74"/>
      <c r="D1205" s="74"/>
      <c r="E1205" s="74"/>
      <c r="F1205" s="74"/>
      <c r="G1205" s="74"/>
    </row>
    <row r="1206" spans="1:7" s="71" customFormat="1" x14ac:dyDescent="0.2">
      <c r="A1206" s="74"/>
      <c r="B1206" s="74"/>
      <c r="C1206" s="74"/>
      <c r="D1206" s="74"/>
      <c r="E1206" s="74"/>
      <c r="F1206" s="74"/>
      <c r="G1206" s="74"/>
    </row>
    <row r="1207" spans="1:7" s="71" customFormat="1" x14ac:dyDescent="0.2">
      <c r="A1207" s="74"/>
      <c r="B1207" s="74"/>
      <c r="C1207" s="74"/>
      <c r="D1207" s="74"/>
      <c r="E1207" s="74"/>
      <c r="F1207" s="74"/>
      <c r="G1207" s="74"/>
    </row>
    <row r="1208" spans="1:7" s="71" customFormat="1" x14ac:dyDescent="0.2">
      <c r="A1208" s="74"/>
      <c r="B1208" s="74"/>
      <c r="C1208" s="74"/>
      <c r="D1208" s="74"/>
      <c r="E1208" s="74"/>
      <c r="F1208" s="74"/>
      <c r="G1208" s="74"/>
    </row>
    <row r="1209" spans="1:7" s="71" customFormat="1" x14ac:dyDescent="0.2">
      <c r="A1209" s="74"/>
      <c r="B1209" s="74"/>
      <c r="C1209" s="74"/>
      <c r="D1209" s="74"/>
      <c r="E1209" s="74"/>
      <c r="F1209" s="74"/>
      <c r="G1209" s="74"/>
    </row>
    <row r="1210" spans="1:7" s="71" customFormat="1" x14ac:dyDescent="0.2">
      <c r="A1210" s="74"/>
      <c r="B1210" s="74"/>
      <c r="C1210" s="74"/>
      <c r="D1210" s="74"/>
      <c r="E1210" s="74"/>
      <c r="F1210" s="74"/>
      <c r="G1210" s="74"/>
    </row>
    <row r="1211" spans="1:7" s="71" customFormat="1" x14ac:dyDescent="0.2">
      <c r="A1211" s="74"/>
      <c r="B1211" s="74"/>
      <c r="C1211" s="74"/>
      <c r="D1211" s="74"/>
      <c r="E1211" s="74"/>
      <c r="F1211" s="74"/>
      <c r="G1211" s="74"/>
    </row>
    <row r="1212" spans="1:7" s="71" customFormat="1" x14ac:dyDescent="0.2">
      <c r="A1212" s="74"/>
      <c r="B1212" s="74"/>
      <c r="C1212" s="74"/>
      <c r="D1212" s="74"/>
      <c r="E1212" s="74"/>
      <c r="F1212" s="74"/>
      <c r="G1212" s="74"/>
    </row>
    <row r="1213" spans="1:7" s="71" customFormat="1" x14ac:dyDescent="0.2">
      <c r="A1213" s="74"/>
      <c r="B1213" s="74"/>
      <c r="C1213" s="74"/>
      <c r="D1213" s="74"/>
      <c r="E1213" s="74"/>
      <c r="F1213" s="74"/>
      <c r="G1213" s="74"/>
    </row>
    <row r="1214" spans="1:7" s="71" customFormat="1" x14ac:dyDescent="0.2">
      <c r="A1214" s="74"/>
      <c r="B1214" s="74"/>
      <c r="C1214" s="74"/>
      <c r="D1214" s="74"/>
      <c r="E1214" s="74"/>
      <c r="F1214" s="74"/>
      <c r="G1214" s="74"/>
    </row>
    <row r="1215" spans="1:7" s="71" customFormat="1" x14ac:dyDescent="0.2">
      <c r="A1215" s="74"/>
      <c r="B1215" s="74"/>
      <c r="C1215" s="74"/>
      <c r="D1215" s="74"/>
      <c r="E1215" s="74"/>
      <c r="F1215" s="74"/>
      <c r="G1215" s="74"/>
    </row>
    <row r="1216" spans="1:7" s="71" customFormat="1" x14ac:dyDescent="0.2">
      <c r="A1216" s="74"/>
      <c r="B1216" s="74"/>
      <c r="C1216" s="74"/>
      <c r="D1216" s="74"/>
      <c r="E1216" s="74"/>
      <c r="F1216" s="74"/>
      <c r="G1216" s="74"/>
    </row>
    <row r="1217" spans="1:7" s="71" customFormat="1" x14ac:dyDescent="0.2">
      <c r="A1217" s="74"/>
      <c r="B1217" s="74"/>
      <c r="C1217" s="74"/>
      <c r="D1217" s="74"/>
      <c r="E1217" s="74"/>
      <c r="F1217" s="74"/>
      <c r="G1217" s="74"/>
    </row>
    <row r="1218" spans="1:7" s="71" customFormat="1" x14ac:dyDescent="0.2">
      <c r="A1218" s="74"/>
      <c r="B1218" s="74"/>
      <c r="C1218" s="74"/>
      <c r="D1218" s="74"/>
      <c r="E1218" s="74"/>
      <c r="F1218" s="74"/>
      <c r="G1218" s="74"/>
    </row>
    <row r="1219" spans="1:7" s="71" customFormat="1" x14ac:dyDescent="0.2">
      <c r="A1219" s="74"/>
      <c r="B1219" s="74"/>
      <c r="C1219" s="74"/>
      <c r="D1219" s="74"/>
      <c r="E1219" s="74"/>
      <c r="F1219" s="74"/>
      <c r="G1219" s="74"/>
    </row>
    <row r="1220" spans="1:7" s="71" customFormat="1" x14ac:dyDescent="0.2">
      <c r="A1220" s="74"/>
      <c r="B1220" s="74"/>
      <c r="C1220" s="74"/>
      <c r="D1220" s="74"/>
      <c r="E1220" s="74"/>
      <c r="F1220" s="74"/>
      <c r="G1220" s="74"/>
    </row>
    <row r="1221" spans="1:7" s="71" customFormat="1" x14ac:dyDescent="0.2">
      <c r="A1221" s="74"/>
      <c r="B1221" s="74"/>
      <c r="C1221" s="74"/>
      <c r="D1221" s="74"/>
      <c r="E1221" s="74"/>
      <c r="F1221" s="74"/>
      <c r="G1221" s="74"/>
    </row>
    <row r="1222" spans="1:7" s="71" customFormat="1" x14ac:dyDescent="0.2">
      <c r="A1222" s="74"/>
      <c r="B1222" s="74"/>
      <c r="C1222" s="74"/>
      <c r="D1222" s="74"/>
      <c r="E1222" s="74"/>
      <c r="F1222" s="74"/>
      <c r="G1222" s="74"/>
    </row>
    <row r="1223" spans="1:7" s="71" customFormat="1" x14ac:dyDescent="0.2">
      <c r="A1223" s="74"/>
      <c r="B1223" s="74"/>
      <c r="C1223" s="74"/>
      <c r="D1223" s="74"/>
      <c r="E1223" s="74"/>
      <c r="F1223" s="74"/>
      <c r="G1223" s="74"/>
    </row>
    <row r="1224" spans="1:7" s="71" customFormat="1" x14ac:dyDescent="0.2">
      <c r="A1224" s="74"/>
      <c r="B1224" s="74"/>
      <c r="C1224" s="74"/>
      <c r="D1224" s="74"/>
      <c r="E1224" s="74"/>
      <c r="F1224" s="74"/>
      <c r="G1224" s="74"/>
    </row>
    <row r="1225" spans="1:7" s="71" customFormat="1" x14ac:dyDescent="0.2">
      <c r="A1225" s="74"/>
      <c r="B1225" s="74"/>
      <c r="C1225" s="74"/>
      <c r="D1225" s="74"/>
      <c r="E1225" s="74"/>
      <c r="F1225" s="74"/>
      <c r="G1225" s="74"/>
    </row>
    <row r="1226" spans="1:7" s="71" customFormat="1" x14ac:dyDescent="0.2">
      <c r="A1226" s="74"/>
      <c r="B1226" s="74"/>
      <c r="C1226" s="74"/>
      <c r="D1226" s="74"/>
      <c r="E1226" s="74"/>
      <c r="F1226" s="74"/>
      <c r="G1226" s="74"/>
    </row>
    <row r="1227" spans="1:7" s="71" customFormat="1" x14ac:dyDescent="0.2">
      <c r="A1227" s="74"/>
      <c r="B1227" s="74"/>
      <c r="C1227" s="74"/>
      <c r="D1227" s="74"/>
      <c r="E1227" s="74"/>
      <c r="F1227" s="74"/>
      <c r="G1227" s="74"/>
    </row>
    <row r="1228" spans="1:7" s="71" customFormat="1" x14ac:dyDescent="0.2">
      <c r="A1228" s="74"/>
      <c r="B1228" s="74"/>
      <c r="C1228" s="74"/>
      <c r="D1228" s="74"/>
      <c r="E1228" s="74"/>
      <c r="F1228" s="74"/>
      <c r="G1228" s="74"/>
    </row>
    <row r="1229" spans="1:7" s="71" customFormat="1" x14ac:dyDescent="0.2">
      <c r="A1229" s="74"/>
      <c r="B1229" s="74"/>
      <c r="C1229" s="74"/>
      <c r="D1229" s="74"/>
      <c r="E1229" s="74"/>
      <c r="F1229" s="74"/>
      <c r="G1229" s="74"/>
    </row>
    <row r="1230" spans="1:7" s="71" customFormat="1" x14ac:dyDescent="0.2">
      <c r="A1230" s="74"/>
      <c r="B1230" s="74"/>
      <c r="C1230" s="74"/>
      <c r="D1230" s="74"/>
      <c r="E1230" s="74"/>
      <c r="F1230" s="74"/>
      <c r="G1230" s="74"/>
    </row>
    <row r="1231" spans="1:7" s="71" customFormat="1" x14ac:dyDescent="0.2">
      <c r="A1231" s="74"/>
      <c r="B1231" s="74"/>
      <c r="C1231" s="74"/>
      <c r="D1231" s="74"/>
      <c r="E1231" s="74"/>
      <c r="F1231" s="74"/>
      <c r="G1231" s="74"/>
    </row>
    <row r="1232" spans="1:7" s="71" customFormat="1" x14ac:dyDescent="0.2">
      <c r="A1232" s="74"/>
      <c r="B1232" s="74"/>
      <c r="C1232" s="74"/>
      <c r="D1232" s="74"/>
      <c r="E1232" s="74"/>
      <c r="F1232" s="74"/>
      <c r="G1232" s="74"/>
    </row>
    <row r="1233" spans="1:7" s="71" customFormat="1" x14ac:dyDescent="0.2">
      <c r="A1233" s="74"/>
      <c r="B1233" s="74"/>
      <c r="C1233" s="74"/>
      <c r="D1233" s="74"/>
      <c r="E1233" s="74"/>
      <c r="F1233" s="74"/>
      <c r="G1233" s="74"/>
    </row>
    <row r="1234" spans="1:7" s="71" customFormat="1" x14ac:dyDescent="0.2">
      <c r="A1234" s="74"/>
      <c r="B1234" s="74"/>
      <c r="C1234" s="74"/>
      <c r="D1234" s="74"/>
      <c r="E1234" s="74"/>
      <c r="F1234" s="74"/>
      <c r="G1234" s="74"/>
    </row>
    <row r="1235" spans="1:7" s="71" customFormat="1" x14ac:dyDescent="0.2">
      <c r="A1235" s="74"/>
      <c r="B1235" s="74"/>
      <c r="C1235" s="74"/>
      <c r="D1235" s="74"/>
      <c r="E1235" s="74"/>
      <c r="F1235" s="74"/>
      <c r="G1235" s="74"/>
    </row>
    <row r="1236" spans="1:7" s="71" customFormat="1" x14ac:dyDescent="0.2">
      <c r="A1236" s="74"/>
      <c r="B1236" s="74"/>
      <c r="C1236" s="74"/>
      <c r="D1236" s="74"/>
      <c r="E1236" s="74"/>
      <c r="F1236" s="74"/>
      <c r="G1236" s="74"/>
    </row>
    <row r="1237" spans="1:7" s="71" customFormat="1" x14ac:dyDescent="0.2">
      <c r="A1237" s="74"/>
      <c r="B1237" s="74"/>
      <c r="C1237" s="74"/>
      <c r="D1237" s="74"/>
      <c r="E1237" s="74"/>
      <c r="F1237" s="74"/>
      <c r="G1237" s="74"/>
    </row>
    <row r="1238" spans="1:7" s="71" customFormat="1" x14ac:dyDescent="0.2">
      <c r="A1238" s="74"/>
      <c r="B1238" s="74"/>
      <c r="C1238" s="74"/>
      <c r="D1238" s="74"/>
      <c r="E1238" s="74"/>
      <c r="F1238" s="74"/>
      <c r="G1238" s="74"/>
    </row>
    <row r="1239" spans="1:7" s="71" customFormat="1" x14ac:dyDescent="0.2">
      <c r="A1239" s="74"/>
      <c r="B1239" s="74"/>
      <c r="C1239" s="74"/>
      <c r="D1239" s="74"/>
      <c r="E1239" s="74"/>
      <c r="F1239" s="74"/>
      <c r="G1239" s="74"/>
    </row>
    <row r="1240" spans="1:7" s="71" customFormat="1" x14ac:dyDescent="0.2">
      <c r="A1240" s="74"/>
      <c r="B1240" s="74"/>
      <c r="C1240" s="74"/>
      <c r="D1240" s="74"/>
      <c r="E1240" s="74"/>
      <c r="F1240" s="74"/>
      <c r="G1240" s="74"/>
    </row>
    <row r="1241" spans="1:7" s="71" customFormat="1" x14ac:dyDescent="0.2">
      <c r="A1241" s="74"/>
      <c r="B1241" s="74"/>
      <c r="C1241" s="74"/>
      <c r="D1241" s="74"/>
      <c r="E1241" s="74"/>
      <c r="F1241" s="74"/>
      <c r="G1241" s="74"/>
    </row>
    <row r="1242" spans="1:7" s="71" customFormat="1" x14ac:dyDescent="0.2">
      <c r="A1242" s="74"/>
      <c r="B1242" s="74"/>
      <c r="C1242" s="74"/>
      <c r="D1242" s="74"/>
      <c r="E1242" s="74"/>
      <c r="F1242" s="74"/>
      <c r="G1242" s="74"/>
    </row>
    <row r="1243" spans="1:7" s="71" customFormat="1" x14ac:dyDescent="0.2">
      <c r="A1243" s="74"/>
      <c r="B1243" s="74"/>
      <c r="C1243" s="74"/>
      <c r="D1243" s="74"/>
      <c r="E1243" s="74"/>
      <c r="F1243" s="74"/>
      <c r="G1243" s="74"/>
    </row>
    <row r="1244" spans="1:7" s="71" customFormat="1" x14ac:dyDescent="0.2">
      <c r="A1244" s="74"/>
      <c r="B1244" s="74"/>
      <c r="C1244" s="74"/>
      <c r="D1244" s="74"/>
      <c r="E1244" s="74"/>
      <c r="F1244" s="74"/>
      <c r="G1244" s="74"/>
    </row>
    <row r="1245" spans="1:7" s="71" customFormat="1" x14ac:dyDescent="0.2">
      <c r="A1245" s="74"/>
      <c r="B1245" s="74"/>
      <c r="C1245" s="74"/>
      <c r="D1245" s="74"/>
      <c r="E1245" s="74"/>
      <c r="F1245" s="74"/>
      <c r="G1245" s="74"/>
    </row>
    <row r="1246" spans="1:7" s="71" customFormat="1" x14ac:dyDescent="0.2">
      <c r="A1246" s="74"/>
      <c r="B1246" s="74"/>
      <c r="C1246" s="74"/>
      <c r="D1246" s="74"/>
      <c r="E1246" s="74"/>
      <c r="F1246" s="74"/>
      <c r="G1246" s="74"/>
    </row>
    <row r="1247" spans="1:7" s="71" customFormat="1" x14ac:dyDescent="0.2">
      <c r="A1247" s="74"/>
      <c r="B1247" s="74"/>
      <c r="C1247" s="74"/>
      <c r="D1247" s="74"/>
      <c r="E1247" s="74"/>
      <c r="F1247" s="74"/>
      <c r="G1247" s="74"/>
    </row>
    <row r="1248" spans="1:7" s="71" customFormat="1" x14ac:dyDescent="0.2">
      <c r="A1248" s="74"/>
      <c r="B1248" s="74"/>
      <c r="C1248" s="74"/>
      <c r="D1248" s="74"/>
      <c r="E1248" s="74"/>
      <c r="F1248" s="74"/>
      <c r="G1248" s="74"/>
    </row>
    <row r="1249" spans="1:7" s="71" customFormat="1" x14ac:dyDescent="0.2">
      <c r="A1249" s="74"/>
      <c r="B1249" s="74"/>
      <c r="C1249" s="74"/>
      <c r="D1249" s="74"/>
      <c r="E1249" s="74"/>
      <c r="F1249" s="74"/>
      <c r="G1249" s="74"/>
    </row>
    <row r="1250" spans="1:7" s="71" customFormat="1" x14ac:dyDescent="0.2">
      <c r="A1250" s="74"/>
      <c r="B1250" s="74"/>
      <c r="C1250" s="74"/>
      <c r="D1250" s="74"/>
      <c r="E1250" s="74"/>
      <c r="F1250" s="74"/>
      <c r="G1250" s="74"/>
    </row>
    <row r="1251" spans="1:7" s="71" customFormat="1" x14ac:dyDescent="0.2">
      <c r="A1251" s="74"/>
      <c r="B1251" s="74"/>
      <c r="C1251" s="74"/>
      <c r="D1251" s="74"/>
      <c r="E1251" s="74"/>
      <c r="F1251" s="74"/>
      <c r="G1251" s="74"/>
    </row>
    <row r="1252" spans="1:7" s="71" customFormat="1" x14ac:dyDescent="0.2">
      <c r="A1252" s="74"/>
      <c r="B1252" s="74"/>
      <c r="C1252" s="74"/>
      <c r="D1252" s="74"/>
      <c r="E1252" s="74"/>
      <c r="F1252" s="74"/>
      <c r="G1252" s="74"/>
    </row>
    <row r="1253" spans="1:7" s="71" customFormat="1" x14ac:dyDescent="0.2">
      <c r="A1253" s="74"/>
      <c r="B1253" s="74"/>
      <c r="C1253" s="74"/>
      <c r="D1253" s="74"/>
      <c r="E1253" s="74"/>
      <c r="F1253" s="74"/>
      <c r="G1253" s="74"/>
    </row>
    <row r="1254" spans="1:7" s="71" customFormat="1" x14ac:dyDescent="0.2">
      <c r="A1254" s="74"/>
      <c r="B1254" s="74"/>
      <c r="C1254" s="74"/>
      <c r="D1254" s="74"/>
      <c r="E1254" s="74"/>
      <c r="F1254" s="74"/>
      <c r="G1254" s="74"/>
    </row>
    <row r="1255" spans="1:7" s="71" customFormat="1" x14ac:dyDescent="0.2">
      <c r="A1255" s="74"/>
      <c r="B1255" s="74"/>
      <c r="C1255" s="74"/>
      <c r="D1255" s="74"/>
      <c r="E1255" s="74"/>
      <c r="F1255" s="74"/>
      <c r="G1255" s="74"/>
    </row>
    <row r="1256" spans="1:7" s="71" customFormat="1" x14ac:dyDescent="0.2">
      <c r="A1256" s="74"/>
      <c r="B1256" s="74"/>
      <c r="C1256" s="74"/>
      <c r="D1256" s="74"/>
      <c r="E1256" s="74"/>
      <c r="F1256" s="74"/>
      <c r="G1256" s="74"/>
    </row>
    <row r="1257" spans="1:7" s="71" customFormat="1" x14ac:dyDescent="0.2">
      <c r="A1257" s="74"/>
      <c r="B1257" s="74"/>
      <c r="C1257" s="74"/>
      <c r="D1257" s="74"/>
      <c r="E1257" s="74"/>
      <c r="F1257" s="74"/>
      <c r="G1257" s="74"/>
    </row>
    <row r="1258" spans="1:7" s="71" customFormat="1" x14ac:dyDescent="0.2">
      <c r="A1258" s="74"/>
      <c r="B1258" s="74"/>
      <c r="C1258" s="74"/>
      <c r="D1258" s="74"/>
      <c r="E1258" s="74"/>
      <c r="F1258" s="74"/>
      <c r="G1258" s="74"/>
    </row>
    <row r="1259" spans="1:7" s="71" customFormat="1" x14ac:dyDescent="0.2">
      <c r="A1259" s="74"/>
      <c r="B1259" s="74"/>
      <c r="C1259" s="74"/>
      <c r="D1259" s="74"/>
      <c r="E1259" s="74"/>
      <c r="F1259" s="74"/>
      <c r="G1259" s="74"/>
    </row>
    <row r="1260" spans="1:7" s="71" customFormat="1" x14ac:dyDescent="0.2">
      <c r="A1260" s="74"/>
      <c r="B1260" s="74"/>
      <c r="C1260" s="74"/>
      <c r="D1260" s="74"/>
      <c r="E1260" s="74"/>
      <c r="F1260" s="74"/>
      <c r="G1260" s="74"/>
    </row>
    <row r="1261" spans="1:7" s="71" customFormat="1" x14ac:dyDescent="0.2">
      <c r="A1261" s="74"/>
      <c r="B1261" s="74"/>
      <c r="C1261" s="74"/>
      <c r="D1261" s="74"/>
      <c r="E1261" s="74"/>
      <c r="F1261" s="74"/>
      <c r="G1261" s="74"/>
    </row>
    <row r="1262" spans="1:7" s="71" customFormat="1" x14ac:dyDescent="0.2">
      <c r="A1262" s="74"/>
      <c r="B1262" s="74"/>
      <c r="C1262" s="74"/>
      <c r="D1262" s="74"/>
      <c r="E1262" s="74"/>
      <c r="F1262" s="74"/>
      <c r="G1262" s="74"/>
    </row>
    <row r="1263" spans="1:7" s="71" customFormat="1" x14ac:dyDescent="0.2">
      <c r="A1263" s="74"/>
      <c r="B1263" s="74"/>
      <c r="C1263" s="74"/>
      <c r="D1263" s="74"/>
      <c r="E1263" s="74"/>
      <c r="F1263" s="74"/>
      <c r="G1263" s="74"/>
    </row>
    <row r="1264" spans="1:7" s="71" customFormat="1" x14ac:dyDescent="0.2">
      <c r="A1264" s="74"/>
      <c r="B1264" s="74"/>
      <c r="C1264" s="74"/>
      <c r="D1264" s="74"/>
      <c r="E1264" s="74"/>
      <c r="F1264" s="74"/>
      <c r="G1264" s="74"/>
    </row>
    <row r="1265" spans="1:7" s="71" customFormat="1" x14ac:dyDescent="0.2">
      <c r="A1265" s="74"/>
      <c r="B1265" s="74"/>
      <c r="C1265" s="74"/>
      <c r="D1265" s="74"/>
      <c r="E1265" s="74"/>
      <c r="F1265" s="74"/>
      <c r="G1265" s="74"/>
    </row>
    <row r="1266" spans="1:7" s="71" customFormat="1" x14ac:dyDescent="0.2">
      <c r="A1266" s="74"/>
      <c r="B1266" s="74"/>
      <c r="C1266" s="74"/>
      <c r="D1266" s="74"/>
      <c r="E1266" s="74"/>
      <c r="F1266" s="74"/>
      <c r="G1266" s="74"/>
    </row>
    <row r="1267" spans="1:7" s="71" customFormat="1" x14ac:dyDescent="0.2">
      <c r="A1267" s="74"/>
      <c r="B1267" s="74"/>
      <c r="C1267" s="74"/>
      <c r="D1267" s="74"/>
      <c r="E1267" s="74"/>
      <c r="F1267" s="74"/>
      <c r="G1267" s="74"/>
    </row>
    <row r="1268" spans="1:7" s="71" customFormat="1" x14ac:dyDescent="0.2">
      <c r="A1268" s="74"/>
      <c r="B1268" s="74"/>
      <c r="C1268" s="74"/>
      <c r="D1268" s="74"/>
      <c r="E1268" s="74"/>
      <c r="F1268" s="74"/>
      <c r="G1268" s="74"/>
    </row>
    <row r="1269" spans="1:7" s="71" customFormat="1" x14ac:dyDescent="0.2">
      <c r="A1269" s="74"/>
      <c r="B1269" s="74"/>
      <c r="C1269" s="74"/>
      <c r="D1269" s="74"/>
      <c r="E1269" s="74"/>
      <c r="F1269" s="74"/>
      <c r="G1269" s="74"/>
    </row>
    <row r="1270" spans="1:7" s="71" customFormat="1" x14ac:dyDescent="0.2">
      <c r="A1270" s="74"/>
      <c r="B1270" s="74"/>
      <c r="C1270" s="74"/>
      <c r="D1270" s="74"/>
      <c r="E1270" s="74"/>
      <c r="F1270" s="74"/>
      <c r="G1270" s="74"/>
    </row>
    <row r="1271" spans="1:7" s="71" customFormat="1" x14ac:dyDescent="0.2">
      <c r="A1271" s="74"/>
      <c r="B1271" s="74"/>
      <c r="C1271" s="74"/>
      <c r="D1271" s="74"/>
      <c r="E1271" s="74"/>
      <c r="F1271" s="74"/>
      <c r="G1271" s="74"/>
    </row>
    <row r="1272" spans="1:7" s="71" customFormat="1" x14ac:dyDescent="0.2">
      <c r="A1272" s="74"/>
      <c r="B1272" s="74"/>
      <c r="C1272" s="74"/>
      <c r="D1272" s="74"/>
      <c r="E1272" s="74"/>
      <c r="F1272" s="74"/>
      <c r="G1272" s="74"/>
    </row>
    <row r="1273" spans="1:7" s="71" customFormat="1" x14ac:dyDescent="0.2">
      <c r="A1273" s="74"/>
      <c r="B1273" s="74"/>
      <c r="C1273" s="74"/>
      <c r="D1273" s="74"/>
      <c r="E1273" s="74"/>
      <c r="F1273" s="74"/>
      <c r="G1273" s="74"/>
    </row>
    <row r="1274" spans="1:7" s="71" customFormat="1" x14ac:dyDescent="0.2">
      <c r="A1274" s="74"/>
      <c r="B1274" s="74"/>
      <c r="C1274" s="74"/>
      <c r="D1274" s="74"/>
      <c r="E1274" s="74"/>
      <c r="F1274" s="74"/>
      <c r="G1274" s="74"/>
    </row>
    <row r="1275" spans="1:7" s="71" customFormat="1" x14ac:dyDescent="0.2">
      <c r="A1275" s="74"/>
      <c r="B1275" s="74"/>
      <c r="C1275" s="74"/>
      <c r="D1275" s="74"/>
      <c r="E1275" s="74"/>
      <c r="F1275" s="74"/>
      <c r="G1275" s="74"/>
    </row>
    <row r="1276" spans="1:7" s="71" customFormat="1" x14ac:dyDescent="0.2">
      <c r="A1276" s="74"/>
      <c r="B1276" s="74"/>
      <c r="C1276" s="74"/>
      <c r="D1276" s="74"/>
      <c r="E1276" s="74"/>
      <c r="F1276" s="74"/>
      <c r="G1276" s="74"/>
    </row>
    <row r="1277" spans="1:7" s="71" customFormat="1" x14ac:dyDescent="0.2">
      <c r="A1277" s="74"/>
      <c r="B1277" s="74"/>
      <c r="C1277" s="74"/>
      <c r="D1277" s="74"/>
      <c r="E1277" s="74"/>
      <c r="F1277" s="74"/>
      <c r="G1277" s="74"/>
    </row>
    <row r="1278" spans="1:7" s="71" customFormat="1" x14ac:dyDescent="0.2">
      <c r="A1278" s="74"/>
      <c r="B1278" s="74"/>
      <c r="C1278" s="74"/>
      <c r="D1278" s="74"/>
      <c r="E1278" s="74"/>
      <c r="F1278" s="74"/>
      <c r="G1278" s="74"/>
    </row>
    <row r="1279" spans="1:7" s="71" customFormat="1" x14ac:dyDescent="0.2">
      <c r="A1279" s="74"/>
      <c r="B1279" s="74"/>
      <c r="C1279" s="74"/>
      <c r="D1279" s="74"/>
      <c r="E1279" s="74"/>
      <c r="F1279" s="74"/>
      <c r="G1279" s="74"/>
    </row>
    <row r="1280" spans="1:7" s="71" customFormat="1" x14ac:dyDescent="0.2">
      <c r="A1280" s="74"/>
      <c r="B1280" s="74"/>
      <c r="C1280" s="74"/>
      <c r="D1280" s="74"/>
      <c r="E1280" s="74"/>
      <c r="F1280" s="74"/>
      <c r="G1280" s="74"/>
    </row>
    <row r="1281" spans="1:7" s="71" customFormat="1" x14ac:dyDescent="0.2">
      <c r="A1281" s="74"/>
      <c r="B1281" s="74"/>
      <c r="C1281" s="74"/>
      <c r="D1281" s="74"/>
      <c r="E1281" s="74"/>
      <c r="F1281" s="74"/>
      <c r="G1281" s="74"/>
    </row>
    <row r="1282" spans="1:7" s="71" customFormat="1" x14ac:dyDescent="0.2">
      <c r="A1282" s="74"/>
      <c r="B1282" s="74"/>
      <c r="C1282" s="74"/>
      <c r="D1282" s="74"/>
      <c r="E1282" s="74"/>
      <c r="F1282" s="74"/>
      <c r="G1282" s="74"/>
    </row>
    <row r="1283" spans="1:7" s="71" customFormat="1" x14ac:dyDescent="0.2">
      <c r="A1283" s="74"/>
      <c r="B1283" s="74"/>
      <c r="C1283" s="74"/>
      <c r="D1283" s="74"/>
      <c r="E1283" s="74"/>
      <c r="F1283" s="74"/>
      <c r="G1283" s="74"/>
    </row>
    <row r="1284" spans="1:7" s="71" customFormat="1" x14ac:dyDescent="0.2">
      <c r="A1284" s="74"/>
      <c r="B1284" s="74"/>
      <c r="C1284" s="74"/>
      <c r="D1284" s="74"/>
      <c r="E1284" s="74"/>
      <c r="F1284" s="74"/>
      <c r="G1284" s="74"/>
    </row>
    <row r="1285" spans="1:7" s="71" customFormat="1" x14ac:dyDescent="0.2">
      <c r="A1285" s="74"/>
      <c r="B1285" s="74"/>
      <c r="C1285" s="74"/>
      <c r="D1285" s="74"/>
      <c r="E1285" s="74"/>
      <c r="F1285" s="74"/>
      <c r="G1285" s="74"/>
    </row>
    <row r="1286" spans="1:7" s="71" customFormat="1" x14ac:dyDescent="0.2">
      <c r="A1286" s="74"/>
      <c r="B1286" s="74"/>
      <c r="C1286" s="74"/>
      <c r="D1286" s="74"/>
      <c r="E1286" s="74"/>
      <c r="F1286" s="74"/>
      <c r="G1286" s="74"/>
    </row>
    <row r="1287" spans="1:7" s="71" customFormat="1" x14ac:dyDescent="0.2">
      <c r="A1287" s="74"/>
      <c r="B1287" s="74"/>
      <c r="C1287" s="74"/>
      <c r="D1287" s="74"/>
      <c r="E1287" s="74"/>
      <c r="F1287" s="74"/>
      <c r="G1287" s="74"/>
    </row>
    <row r="1288" spans="1:7" s="71" customFormat="1" x14ac:dyDescent="0.2">
      <c r="A1288" s="74"/>
      <c r="B1288" s="74"/>
      <c r="C1288" s="74"/>
      <c r="D1288" s="74"/>
      <c r="E1288" s="74"/>
      <c r="F1288" s="74"/>
      <c r="G1288" s="74"/>
    </row>
    <row r="1289" spans="1:7" s="71" customFormat="1" x14ac:dyDescent="0.2">
      <c r="A1289" s="74"/>
      <c r="B1289" s="74"/>
      <c r="C1289" s="74"/>
      <c r="D1289" s="74"/>
      <c r="E1289" s="74"/>
      <c r="F1289" s="74"/>
      <c r="G1289" s="74"/>
    </row>
    <row r="1290" spans="1:7" s="71" customFormat="1" x14ac:dyDescent="0.2">
      <c r="A1290" s="74"/>
      <c r="B1290" s="74"/>
      <c r="C1290" s="74"/>
      <c r="D1290" s="74"/>
      <c r="E1290" s="74"/>
      <c r="F1290" s="74"/>
      <c r="G1290" s="74"/>
    </row>
    <row r="1291" spans="1:7" s="71" customFormat="1" x14ac:dyDescent="0.2">
      <c r="A1291" s="74"/>
      <c r="B1291" s="74"/>
      <c r="C1291" s="74"/>
      <c r="D1291" s="74"/>
      <c r="E1291" s="74"/>
      <c r="F1291" s="74"/>
      <c r="G1291" s="74"/>
    </row>
    <row r="1292" spans="1:7" s="71" customFormat="1" x14ac:dyDescent="0.2">
      <c r="A1292" s="74"/>
      <c r="B1292" s="74"/>
      <c r="C1292" s="74"/>
      <c r="D1292" s="74"/>
      <c r="E1292" s="74"/>
      <c r="F1292" s="74"/>
      <c r="G1292" s="74"/>
    </row>
    <row r="1293" spans="1:7" s="71" customFormat="1" x14ac:dyDescent="0.2">
      <c r="A1293" s="74"/>
      <c r="B1293" s="74"/>
      <c r="C1293" s="74"/>
      <c r="D1293" s="74"/>
      <c r="E1293" s="74"/>
      <c r="F1293" s="74"/>
      <c r="G1293" s="74"/>
    </row>
    <row r="1294" spans="1:7" s="71" customFormat="1" x14ac:dyDescent="0.2">
      <c r="A1294" s="74"/>
      <c r="B1294" s="74"/>
      <c r="C1294" s="74"/>
      <c r="D1294" s="74"/>
      <c r="E1294" s="74"/>
      <c r="F1294" s="74"/>
      <c r="G1294" s="74"/>
    </row>
    <row r="1295" spans="1:7" s="71" customFormat="1" x14ac:dyDescent="0.2">
      <c r="A1295" s="74"/>
      <c r="B1295" s="74"/>
      <c r="C1295" s="74"/>
      <c r="D1295" s="74"/>
      <c r="E1295" s="74"/>
      <c r="F1295" s="74"/>
      <c r="G1295" s="74"/>
    </row>
    <row r="1296" spans="1:7" s="71" customFormat="1" x14ac:dyDescent="0.2">
      <c r="A1296" s="74"/>
      <c r="B1296" s="74"/>
      <c r="C1296" s="74"/>
      <c r="D1296" s="74"/>
      <c r="E1296" s="74"/>
      <c r="F1296" s="74"/>
      <c r="G1296" s="74"/>
    </row>
    <row r="1297" spans="1:7" s="71" customFormat="1" x14ac:dyDescent="0.2">
      <c r="A1297" s="74"/>
      <c r="B1297" s="74"/>
      <c r="C1297" s="74"/>
      <c r="D1297" s="74"/>
      <c r="E1297" s="74"/>
      <c r="F1297" s="74"/>
      <c r="G1297" s="74"/>
    </row>
    <row r="1298" spans="1:7" s="71" customFormat="1" x14ac:dyDescent="0.2">
      <c r="A1298" s="74"/>
      <c r="B1298" s="74"/>
      <c r="C1298" s="74"/>
      <c r="D1298" s="74"/>
      <c r="E1298" s="74"/>
      <c r="F1298" s="74"/>
      <c r="G1298" s="74"/>
    </row>
    <row r="1299" spans="1:7" s="71" customFormat="1" x14ac:dyDescent="0.2">
      <c r="A1299" s="74"/>
      <c r="B1299" s="74"/>
      <c r="C1299" s="74"/>
      <c r="D1299" s="74"/>
      <c r="E1299" s="74"/>
      <c r="F1299" s="74"/>
      <c r="G1299" s="74"/>
    </row>
    <row r="1300" spans="1:7" s="71" customFormat="1" x14ac:dyDescent="0.2">
      <c r="A1300" s="74"/>
      <c r="B1300" s="74"/>
      <c r="C1300" s="74"/>
      <c r="D1300" s="74"/>
      <c r="E1300" s="74"/>
      <c r="F1300" s="74"/>
      <c r="G1300" s="74"/>
    </row>
    <row r="1301" spans="1:7" s="71" customFormat="1" x14ac:dyDescent="0.2">
      <c r="A1301" s="74"/>
      <c r="B1301" s="74"/>
      <c r="C1301" s="74"/>
      <c r="D1301" s="74"/>
      <c r="E1301" s="74"/>
      <c r="F1301" s="74"/>
      <c r="G1301" s="74"/>
    </row>
    <row r="1302" spans="1:7" s="71" customFormat="1" x14ac:dyDescent="0.2">
      <c r="A1302" s="74"/>
      <c r="B1302" s="74"/>
      <c r="C1302" s="74"/>
      <c r="D1302" s="74"/>
      <c r="E1302" s="74"/>
      <c r="F1302" s="74"/>
      <c r="G1302" s="74"/>
    </row>
    <row r="1303" spans="1:7" s="71" customFormat="1" x14ac:dyDescent="0.2">
      <c r="A1303" s="74"/>
      <c r="B1303" s="74"/>
      <c r="C1303" s="74"/>
      <c r="D1303" s="74"/>
      <c r="E1303" s="74"/>
      <c r="F1303" s="74"/>
      <c r="G1303" s="74"/>
    </row>
    <row r="1304" spans="1:7" s="71" customFormat="1" x14ac:dyDescent="0.2">
      <c r="A1304" s="74"/>
      <c r="B1304" s="74"/>
      <c r="C1304" s="74"/>
      <c r="D1304" s="74"/>
      <c r="E1304" s="74"/>
      <c r="F1304" s="74"/>
      <c r="G1304" s="74"/>
    </row>
    <row r="1305" spans="1:7" s="71" customFormat="1" x14ac:dyDescent="0.2">
      <c r="A1305" s="74"/>
      <c r="B1305" s="74"/>
      <c r="C1305" s="74"/>
      <c r="D1305" s="74"/>
      <c r="E1305" s="74"/>
      <c r="F1305" s="74"/>
      <c r="G1305" s="74"/>
    </row>
    <row r="1306" spans="1:7" s="71" customFormat="1" x14ac:dyDescent="0.2">
      <c r="A1306" s="74"/>
      <c r="B1306" s="74"/>
      <c r="C1306" s="74"/>
      <c r="D1306" s="74"/>
      <c r="E1306" s="74"/>
      <c r="F1306" s="74"/>
      <c r="G1306" s="74"/>
    </row>
    <row r="1307" spans="1:7" s="71" customFormat="1" x14ac:dyDescent="0.2">
      <c r="A1307" s="74"/>
      <c r="B1307" s="74"/>
      <c r="C1307" s="74"/>
      <c r="D1307" s="74"/>
      <c r="E1307" s="74"/>
      <c r="F1307" s="74"/>
      <c r="G1307" s="74"/>
    </row>
    <row r="1308" spans="1:7" s="71" customFormat="1" x14ac:dyDescent="0.2">
      <c r="A1308" s="74"/>
      <c r="B1308" s="74"/>
      <c r="C1308" s="74"/>
      <c r="D1308" s="74"/>
      <c r="E1308" s="74"/>
      <c r="F1308" s="74"/>
      <c r="G1308" s="74"/>
    </row>
    <row r="1309" spans="1:7" s="71" customFormat="1" x14ac:dyDescent="0.2">
      <c r="A1309" s="74"/>
      <c r="B1309" s="74"/>
      <c r="C1309" s="74"/>
      <c r="D1309" s="74"/>
      <c r="E1309" s="74"/>
      <c r="F1309" s="74"/>
      <c r="G1309" s="74"/>
    </row>
    <row r="1310" spans="1:7" s="71" customFormat="1" x14ac:dyDescent="0.2">
      <c r="A1310" s="74"/>
      <c r="B1310" s="74"/>
      <c r="C1310" s="74"/>
      <c r="D1310" s="74"/>
      <c r="E1310" s="74"/>
      <c r="F1310" s="74"/>
      <c r="G1310" s="74"/>
    </row>
    <row r="1311" spans="1:7" s="71" customFormat="1" x14ac:dyDescent="0.2">
      <c r="A1311" s="74"/>
      <c r="B1311" s="74"/>
      <c r="C1311" s="74"/>
      <c r="D1311" s="74"/>
      <c r="E1311" s="74"/>
      <c r="F1311" s="74"/>
      <c r="G1311" s="74"/>
    </row>
    <row r="1312" spans="1:7" s="71" customFormat="1" x14ac:dyDescent="0.2">
      <c r="A1312" s="74"/>
      <c r="B1312" s="74"/>
      <c r="C1312" s="74"/>
      <c r="D1312" s="74"/>
      <c r="E1312" s="74"/>
      <c r="F1312" s="74"/>
      <c r="G1312" s="74"/>
    </row>
    <row r="1313" spans="1:7" s="71" customFormat="1" x14ac:dyDescent="0.2">
      <c r="A1313" s="74"/>
      <c r="B1313" s="74"/>
      <c r="C1313" s="74"/>
      <c r="D1313" s="74"/>
      <c r="E1313" s="74"/>
      <c r="F1313" s="74"/>
      <c r="G1313" s="74"/>
    </row>
    <row r="1314" spans="1:7" s="71" customFormat="1" x14ac:dyDescent="0.2">
      <c r="A1314" s="74"/>
      <c r="B1314" s="74"/>
      <c r="C1314" s="74"/>
      <c r="D1314" s="74"/>
      <c r="E1314" s="74"/>
      <c r="F1314" s="74"/>
      <c r="G1314" s="74"/>
    </row>
    <row r="1315" spans="1:7" s="71" customFormat="1" x14ac:dyDescent="0.2">
      <c r="A1315" s="74"/>
      <c r="B1315" s="74"/>
      <c r="C1315" s="74"/>
      <c r="D1315" s="74"/>
      <c r="E1315" s="74"/>
      <c r="F1315" s="74"/>
      <c r="G1315" s="74"/>
    </row>
    <row r="1316" spans="1:7" s="71" customFormat="1" x14ac:dyDescent="0.2">
      <c r="A1316" s="74"/>
      <c r="B1316" s="74"/>
      <c r="C1316" s="74"/>
      <c r="D1316" s="74"/>
      <c r="E1316" s="74"/>
      <c r="F1316" s="74"/>
      <c r="G1316" s="74"/>
    </row>
    <row r="1317" spans="1:7" s="71" customFormat="1" x14ac:dyDescent="0.2">
      <c r="A1317" s="74"/>
      <c r="B1317" s="74"/>
      <c r="C1317" s="74"/>
      <c r="D1317" s="74"/>
      <c r="E1317" s="74"/>
      <c r="F1317" s="74"/>
      <c r="G1317" s="74"/>
    </row>
    <row r="1318" spans="1:7" s="71" customFormat="1" x14ac:dyDescent="0.2">
      <c r="A1318" s="74"/>
      <c r="B1318" s="74"/>
      <c r="C1318" s="74"/>
      <c r="D1318" s="74"/>
      <c r="E1318" s="74"/>
      <c r="F1318" s="74"/>
      <c r="G1318" s="74"/>
    </row>
    <row r="1319" spans="1:7" s="71" customFormat="1" x14ac:dyDescent="0.2">
      <c r="A1319" s="74"/>
      <c r="B1319" s="74"/>
      <c r="C1319" s="74"/>
      <c r="D1319" s="74"/>
      <c r="E1319" s="74"/>
      <c r="F1319" s="74"/>
      <c r="G1319" s="74"/>
    </row>
    <row r="1320" spans="1:7" s="71" customFormat="1" x14ac:dyDescent="0.2">
      <c r="A1320" s="74"/>
      <c r="B1320" s="74"/>
      <c r="C1320" s="74"/>
      <c r="D1320" s="74"/>
      <c r="E1320" s="74"/>
      <c r="F1320" s="74"/>
      <c r="G1320" s="74"/>
    </row>
    <row r="1321" spans="1:7" s="71" customFormat="1" x14ac:dyDescent="0.2">
      <c r="A1321" s="74"/>
      <c r="B1321" s="74"/>
      <c r="C1321" s="74"/>
      <c r="D1321" s="74"/>
      <c r="E1321" s="74"/>
      <c r="F1321" s="74"/>
      <c r="G1321" s="74"/>
    </row>
    <row r="1322" spans="1:7" s="71" customFormat="1" x14ac:dyDescent="0.2">
      <c r="A1322" s="74"/>
      <c r="B1322" s="74"/>
      <c r="C1322" s="74"/>
      <c r="D1322" s="74"/>
      <c r="E1322" s="74"/>
      <c r="F1322" s="74"/>
      <c r="G1322" s="74"/>
    </row>
    <row r="1323" spans="1:7" s="71" customFormat="1" x14ac:dyDescent="0.2">
      <c r="A1323" s="74"/>
      <c r="B1323" s="74"/>
      <c r="C1323" s="74"/>
      <c r="D1323" s="74"/>
      <c r="E1323" s="74"/>
      <c r="F1323" s="74"/>
      <c r="G1323" s="74"/>
    </row>
    <row r="1324" spans="1:7" s="71" customFormat="1" x14ac:dyDescent="0.2">
      <c r="A1324" s="74"/>
      <c r="B1324" s="74"/>
      <c r="C1324" s="74"/>
      <c r="D1324" s="74"/>
      <c r="E1324" s="74"/>
      <c r="F1324" s="74"/>
      <c r="G1324" s="74"/>
    </row>
    <row r="1325" spans="1:7" s="71" customFormat="1" x14ac:dyDescent="0.2">
      <c r="A1325" s="74"/>
      <c r="B1325" s="74"/>
      <c r="C1325" s="74"/>
      <c r="D1325" s="74"/>
      <c r="E1325" s="74"/>
      <c r="F1325" s="74"/>
      <c r="G1325" s="74"/>
    </row>
    <row r="1326" spans="1:7" s="71" customFormat="1" x14ac:dyDescent="0.2">
      <c r="A1326" s="74"/>
      <c r="B1326" s="74"/>
      <c r="C1326" s="74"/>
      <c r="D1326" s="74"/>
      <c r="E1326" s="74"/>
      <c r="F1326" s="74"/>
      <c r="G1326" s="74"/>
    </row>
    <row r="1327" spans="1:7" s="71" customFormat="1" x14ac:dyDescent="0.2">
      <c r="A1327" s="74"/>
      <c r="B1327" s="74"/>
      <c r="C1327" s="74"/>
      <c r="D1327" s="74"/>
      <c r="E1327" s="74"/>
      <c r="F1327" s="74"/>
      <c r="G1327" s="74"/>
    </row>
    <row r="1328" spans="1:7" s="71" customFormat="1" x14ac:dyDescent="0.2">
      <c r="A1328" s="74"/>
      <c r="B1328" s="74"/>
      <c r="C1328" s="74"/>
      <c r="D1328" s="74"/>
      <c r="E1328" s="74"/>
      <c r="F1328" s="74"/>
      <c r="G1328" s="74"/>
    </row>
    <row r="1329" spans="1:7" s="71" customFormat="1" x14ac:dyDescent="0.2">
      <c r="A1329" s="74"/>
      <c r="B1329" s="74"/>
      <c r="C1329" s="74"/>
      <c r="D1329" s="74"/>
      <c r="E1329" s="74"/>
      <c r="F1329" s="74"/>
      <c r="G1329" s="74"/>
    </row>
    <row r="1330" spans="1:7" s="71" customFormat="1" x14ac:dyDescent="0.2">
      <c r="A1330" s="74"/>
      <c r="B1330" s="74"/>
      <c r="C1330" s="74"/>
      <c r="D1330" s="74"/>
      <c r="E1330" s="74"/>
      <c r="F1330" s="74"/>
      <c r="G1330" s="74"/>
    </row>
    <row r="1331" spans="1:7" s="71" customFormat="1" x14ac:dyDescent="0.2">
      <c r="A1331" s="74"/>
      <c r="B1331" s="74"/>
      <c r="C1331" s="74"/>
      <c r="D1331" s="74"/>
      <c r="E1331" s="74"/>
      <c r="F1331" s="74"/>
      <c r="G1331" s="74"/>
    </row>
    <row r="1332" spans="1:7" s="71" customFormat="1" x14ac:dyDescent="0.2">
      <c r="A1332" s="74"/>
      <c r="B1332" s="74"/>
      <c r="C1332" s="74"/>
      <c r="D1332" s="74"/>
      <c r="E1332" s="74"/>
      <c r="F1332" s="74"/>
      <c r="G1332" s="74"/>
    </row>
    <row r="1333" spans="1:7" s="71" customFormat="1" x14ac:dyDescent="0.2">
      <c r="A1333" s="74"/>
      <c r="B1333" s="74"/>
      <c r="C1333" s="74"/>
      <c r="D1333" s="74"/>
      <c r="E1333" s="74"/>
      <c r="F1333" s="74"/>
      <c r="G1333" s="74"/>
    </row>
    <row r="1334" spans="1:7" s="71" customFormat="1" x14ac:dyDescent="0.2">
      <c r="A1334" s="74"/>
      <c r="B1334" s="74"/>
      <c r="C1334" s="74"/>
      <c r="D1334" s="74"/>
      <c r="E1334" s="74"/>
      <c r="F1334" s="74"/>
      <c r="G1334" s="74"/>
    </row>
    <row r="1335" spans="1:7" s="71" customFormat="1" x14ac:dyDescent="0.2">
      <c r="A1335" s="74"/>
      <c r="B1335" s="74"/>
      <c r="C1335" s="74"/>
      <c r="D1335" s="74"/>
      <c r="E1335" s="74"/>
      <c r="F1335" s="74"/>
      <c r="G1335" s="74"/>
    </row>
    <row r="1336" spans="1:7" s="71" customFormat="1" x14ac:dyDescent="0.2">
      <c r="A1336" s="74"/>
      <c r="B1336" s="74"/>
      <c r="C1336" s="74"/>
      <c r="D1336" s="74"/>
      <c r="E1336" s="74"/>
      <c r="F1336" s="74"/>
      <c r="G1336" s="74"/>
    </row>
    <row r="1337" spans="1:7" s="71" customFormat="1" x14ac:dyDescent="0.2">
      <c r="A1337" s="74"/>
      <c r="B1337" s="74"/>
      <c r="C1337" s="74"/>
      <c r="D1337" s="74"/>
      <c r="E1337" s="74"/>
      <c r="F1337" s="74"/>
      <c r="G1337" s="74"/>
    </row>
    <row r="1338" spans="1:7" s="71" customFormat="1" x14ac:dyDescent="0.2">
      <c r="A1338" s="74"/>
      <c r="B1338" s="74"/>
      <c r="C1338" s="74"/>
      <c r="D1338" s="74"/>
      <c r="E1338" s="74"/>
      <c r="F1338" s="74"/>
      <c r="G1338" s="74"/>
    </row>
    <row r="1339" spans="1:7" s="71" customFormat="1" x14ac:dyDescent="0.2">
      <c r="A1339" s="74"/>
      <c r="B1339" s="74"/>
      <c r="C1339" s="74"/>
      <c r="D1339" s="74"/>
      <c r="E1339" s="74"/>
      <c r="F1339" s="74"/>
      <c r="G1339" s="74"/>
    </row>
    <row r="1340" spans="1:7" s="71" customFormat="1" x14ac:dyDescent="0.2">
      <c r="A1340" s="74"/>
      <c r="B1340" s="74"/>
      <c r="C1340" s="74"/>
      <c r="D1340" s="74"/>
      <c r="E1340" s="74"/>
      <c r="F1340" s="74"/>
      <c r="G1340" s="74"/>
    </row>
    <row r="1341" spans="1:7" s="71" customFormat="1" x14ac:dyDescent="0.2">
      <c r="A1341" s="74"/>
      <c r="B1341" s="74"/>
      <c r="C1341" s="74"/>
      <c r="D1341" s="74"/>
      <c r="E1341" s="74"/>
      <c r="F1341" s="74"/>
      <c r="G1341" s="74"/>
    </row>
    <row r="1342" spans="1:7" s="71" customFormat="1" x14ac:dyDescent="0.2">
      <c r="A1342" s="74"/>
      <c r="B1342" s="74"/>
      <c r="C1342" s="74"/>
      <c r="D1342" s="74"/>
      <c r="E1342" s="74"/>
      <c r="F1342" s="74"/>
      <c r="G1342" s="74"/>
    </row>
    <row r="1343" spans="1:7" s="71" customFormat="1" x14ac:dyDescent="0.2">
      <c r="A1343" s="74"/>
      <c r="B1343" s="74"/>
      <c r="C1343" s="74"/>
      <c r="D1343" s="74"/>
      <c r="E1343" s="74"/>
      <c r="F1343" s="74"/>
      <c r="G1343" s="74"/>
    </row>
    <row r="1344" spans="1:7" s="71" customFormat="1" x14ac:dyDescent="0.2">
      <c r="A1344" s="74"/>
      <c r="B1344" s="74"/>
      <c r="C1344" s="74"/>
      <c r="D1344" s="74"/>
      <c r="E1344" s="74"/>
      <c r="F1344" s="74"/>
      <c r="G1344" s="74"/>
    </row>
    <row r="1345" spans="1:7" s="71" customFormat="1" x14ac:dyDescent="0.2">
      <c r="A1345" s="74"/>
      <c r="B1345" s="74"/>
      <c r="C1345" s="74"/>
      <c r="D1345" s="74"/>
      <c r="E1345" s="74"/>
      <c r="F1345" s="74"/>
      <c r="G1345" s="74"/>
    </row>
    <row r="1346" spans="1:7" s="71" customFormat="1" x14ac:dyDescent="0.2">
      <c r="A1346" s="74"/>
      <c r="B1346" s="74"/>
      <c r="C1346" s="74"/>
      <c r="D1346" s="74"/>
      <c r="E1346" s="74"/>
      <c r="F1346" s="74"/>
      <c r="G1346" s="74"/>
    </row>
    <row r="1347" spans="1:7" s="71" customFormat="1" x14ac:dyDescent="0.2">
      <c r="A1347" s="74"/>
      <c r="B1347" s="74"/>
      <c r="C1347" s="74"/>
      <c r="D1347" s="74"/>
      <c r="E1347" s="74"/>
      <c r="F1347" s="74"/>
      <c r="G1347" s="74"/>
    </row>
    <row r="1348" spans="1:7" s="71" customFormat="1" x14ac:dyDescent="0.2">
      <c r="A1348" s="74"/>
      <c r="B1348" s="74"/>
      <c r="C1348" s="74"/>
      <c r="D1348" s="74"/>
      <c r="E1348" s="74"/>
      <c r="F1348" s="74"/>
      <c r="G1348" s="74"/>
    </row>
    <row r="1349" spans="1:7" s="71" customFormat="1" x14ac:dyDescent="0.2">
      <c r="A1349" s="74"/>
      <c r="B1349" s="74"/>
      <c r="C1349" s="74"/>
      <c r="D1349" s="74"/>
      <c r="E1349" s="74"/>
      <c r="F1349" s="74"/>
      <c r="G1349" s="74"/>
    </row>
    <row r="1350" spans="1:7" s="71" customFormat="1" x14ac:dyDescent="0.2">
      <c r="A1350" s="74"/>
      <c r="B1350" s="74"/>
      <c r="C1350" s="74"/>
      <c r="D1350" s="74"/>
      <c r="E1350" s="74"/>
      <c r="F1350" s="74"/>
      <c r="G1350" s="74"/>
    </row>
    <row r="1351" spans="1:7" s="71" customFormat="1" x14ac:dyDescent="0.2">
      <c r="A1351" s="74"/>
      <c r="B1351" s="74"/>
      <c r="C1351" s="74"/>
      <c r="D1351" s="74"/>
      <c r="E1351" s="74"/>
      <c r="F1351" s="74"/>
      <c r="G1351" s="74"/>
    </row>
    <row r="1352" spans="1:7" s="71" customFormat="1" x14ac:dyDescent="0.2">
      <c r="A1352" s="74"/>
      <c r="B1352" s="74"/>
      <c r="C1352" s="74"/>
      <c r="D1352" s="74"/>
      <c r="E1352" s="74"/>
      <c r="F1352" s="74"/>
      <c r="G1352" s="74"/>
    </row>
    <row r="1353" spans="1:7" s="71" customFormat="1" x14ac:dyDescent="0.2">
      <c r="A1353" s="74"/>
      <c r="B1353" s="74"/>
      <c r="C1353" s="74"/>
      <c r="D1353" s="74"/>
      <c r="E1353" s="74"/>
      <c r="F1353" s="74"/>
      <c r="G1353" s="74"/>
    </row>
    <row r="1354" spans="1:7" s="71" customFormat="1" x14ac:dyDescent="0.2">
      <c r="A1354" s="74"/>
      <c r="B1354" s="74"/>
      <c r="C1354" s="74"/>
      <c r="D1354" s="74"/>
      <c r="E1354" s="74"/>
      <c r="F1354" s="74"/>
      <c r="G1354" s="74"/>
    </row>
    <row r="1355" spans="1:7" s="71" customFormat="1" x14ac:dyDescent="0.2">
      <c r="A1355" s="74"/>
      <c r="B1355" s="74"/>
      <c r="C1355" s="74"/>
      <c r="D1355" s="74"/>
      <c r="E1355" s="74"/>
      <c r="F1355" s="74"/>
      <c r="G1355" s="74"/>
    </row>
    <row r="1356" spans="1:7" s="71" customFormat="1" x14ac:dyDescent="0.2">
      <c r="A1356" s="74"/>
      <c r="B1356" s="74"/>
      <c r="C1356" s="74"/>
      <c r="D1356" s="74"/>
      <c r="E1356" s="74"/>
      <c r="F1356" s="74"/>
      <c r="G1356" s="74"/>
    </row>
    <row r="1357" spans="1:7" s="71" customFormat="1" x14ac:dyDescent="0.2">
      <c r="A1357" s="74"/>
      <c r="B1357" s="74"/>
      <c r="C1357" s="74"/>
      <c r="D1357" s="74"/>
      <c r="E1357" s="74"/>
      <c r="F1357" s="74"/>
      <c r="G1357" s="74"/>
    </row>
    <row r="1358" spans="1:7" s="71" customFormat="1" x14ac:dyDescent="0.2">
      <c r="A1358" s="74"/>
      <c r="B1358" s="74"/>
      <c r="C1358" s="74"/>
      <c r="D1358" s="74"/>
      <c r="E1358" s="74"/>
      <c r="F1358" s="74"/>
      <c r="G1358" s="74"/>
    </row>
    <row r="1359" spans="1:7" s="71" customFormat="1" x14ac:dyDescent="0.2">
      <c r="A1359" s="74"/>
      <c r="B1359" s="74"/>
      <c r="C1359" s="74"/>
      <c r="D1359" s="74"/>
      <c r="E1359" s="74"/>
      <c r="F1359" s="74"/>
      <c r="G1359" s="74"/>
    </row>
    <row r="1360" spans="1:7" s="71" customFormat="1" x14ac:dyDescent="0.2">
      <c r="A1360" s="74"/>
      <c r="B1360" s="74"/>
      <c r="C1360" s="74"/>
      <c r="D1360" s="74"/>
      <c r="E1360" s="74"/>
      <c r="F1360" s="74"/>
      <c r="G1360" s="74"/>
    </row>
    <row r="1361" spans="1:7" s="71" customFormat="1" x14ac:dyDescent="0.2">
      <c r="A1361" s="74"/>
      <c r="B1361" s="74"/>
      <c r="C1361" s="74"/>
      <c r="D1361" s="74"/>
      <c r="E1361" s="74"/>
      <c r="F1361" s="74"/>
      <c r="G1361" s="74"/>
    </row>
    <row r="1362" spans="1:7" s="71" customFormat="1" x14ac:dyDescent="0.2">
      <c r="A1362" s="74"/>
      <c r="B1362" s="74"/>
      <c r="C1362" s="74"/>
      <c r="D1362" s="74"/>
      <c r="E1362" s="74"/>
      <c r="F1362" s="74"/>
      <c r="G1362" s="74"/>
    </row>
    <row r="1363" spans="1:7" s="71" customFormat="1" x14ac:dyDescent="0.2">
      <c r="A1363" s="74"/>
      <c r="B1363" s="74"/>
      <c r="C1363" s="74"/>
      <c r="D1363" s="74"/>
      <c r="E1363" s="74"/>
      <c r="F1363" s="74"/>
      <c r="G1363" s="74"/>
    </row>
    <row r="1364" spans="1:7" s="71" customFormat="1" x14ac:dyDescent="0.2">
      <c r="A1364" s="74"/>
      <c r="B1364" s="74"/>
      <c r="C1364" s="74"/>
      <c r="D1364" s="74"/>
      <c r="E1364" s="74"/>
      <c r="F1364" s="74"/>
      <c r="G1364" s="74"/>
    </row>
    <row r="1365" spans="1:7" s="71" customFormat="1" x14ac:dyDescent="0.2">
      <c r="A1365" s="74"/>
      <c r="B1365" s="74"/>
      <c r="C1365" s="74"/>
      <c r="D1365" s="74"/>
      <c r="E1365" s="74"/>
      <c r="F1365" s="74"/>
      <c r="G1365" s="74"/>
    </row>
    <row r="1366" spans="1:7" s="71" customFormat="1" x14ac:dyDescent="0.2">
      <c r="A1366" s="74"/>
      <c r="B1366" s="74"/>
      <c r="C1366" s="74"/>
      <c r="D1366" s="74"/>
      <c r="E1366" s="74"/>
      <c r="F1366" s="74"/>
      <c r="G1366" s="74"/>
    </row>
    <row r="1367" spans="1:7" s="71" customFormat="1" x14ac:dyDescent="0.2">
      <c r="A1367" s="74"/>
      <c r="B1367" s="74"/>
      <c r="C1367" s="74"/>
      <c r="D1367" s="74"/>
      <c r="E1367" s="74"/>
      <c r="F1367" s="74"/>
      <c r="G1367" s="74"/>
    </row>
    <row r="1368" spans="1:7" s="71" customFormat="1" x14ac:dyDescent="0.2">
      <c r="A1368" s="74"/>
      <c r="B1368" s="74"/>
      <c r="C1368" s="74"/>
      <c r="D1368" s="74"/>
      <c r="E1368" s="74"/>
      <c r="F1368" s="74"/>
      <c r="G1368" s="74"/>
    </row>
    <row r="1369" spans="1:7" s="71" customFormat="1" x14ac:dyDescent="0.2">
      <c r="A1369" s="74"/>
      <c r="B1369" s="74"/>
      <c r="C1369" s="74"/>
      <c r="D1369" s="74"/>
      <c r="E1369" s="74"/>
      <c r="F1369" s="74"/>
      <c r="G1369" s="74"/>
    </row>
    <row r="1370" spans="1:7" s="71" customFormat="1" x14ac:dyDescent="0.2">
      <c r="A1370" s="74"/>
      <c r="B1370" s="74"/>
      <c r="C1370" s="74"/>
      <c r="D1370" s="74"/>
      <c r="E1370" s="74"/>
      <c r="F1370" s="74"/>
      <c r="G1370" s="74"/>
    </row>
    <row r="1371" spans="1:7" s="71" customFormat="1" x14ac:dyDescent="0.2">
      <c r="A1371" s="74"/>
      <c r="B1371" s="74"/>
      <c r="C1371" s="74"/>
      <c r="D1371" s="74"/>
      <c r="E1371" s="74"/>
      <c r="F1371" s="74"/>
      <c r="G1371" s="74"/>
    </row>
    <row r="1372" spans="1:7" s="71" customFormat="1" x14ac:dyDescent="0.2">
      <c r="A1372" s="74"/>
      <c r="B1372" s="74"/>
      <c r="C1372" s="74"/>
      <c r="D1372" s="74"/>
      <c r="E1372" s="74"/>
      <c r="F1372" s="74"/>
      <c r="G1372" s="74"/>
    </row>
    <row r="1373" spans="1:7" s="71" customFormat="1" x14ac:dyDescent="0.2">
      <c r="A1373" s="74"/>
      <c r="B1373" s="74"/>
      <c r="C1373" s="74"/>
      <c r="D1373" s="74"/>
      <c r="E1373" s="74"/>
      <c r="F1373" s="74"/>
      <c r="G1373" s="74"/>
    </row>
    <row r="1374" spans="1:7" s="71" customFormat="1" x14ac:dyDescent="0.2">
      <c r="A1374" s="74"/>
      <c r="B1374" s="74"/>
      <c r="C1374" s="74"/>
      <c r="D1374" s="74"/>
      <c r="E1374" s="74"/>
      <c r="F1374" s="74"/>
      <c r="G1374" s="74"/>
    </row>
    <row r="1375" spans="1:7" s="71" customFormat="1" x14ac:dyDescent="0.2">
      <c r="A1375" s="74"/>
      <c r="B1375" s="74"/>
      <c r="C1375" s="74"/>
      <c r="D1375" s="74"/>
      <c r="E1375" s="74"/>
      <c r="F1375" s="74"/>
      <c r="G1375" s="74"/>
    </row>
    <row r="1376" spans="1:7" s="71" customFormat="1" x14ac:dyDescent="0.2">
      <c r="A1376" s="74"/>
      <c r="B1376" s="74"/>
      <c r="C1376" s="74"/>
      <c r="D1376" s="74"/>
      <c r="E1376" s="74"/>
      <c r="F1376" s="74"/>
      <c r="G1376" s="74"/>
    </row>
    <row r="1377" spans="1:7" s="71" customFormat="1" x14ac:dyDescent="0.2">
      <c r="A1377" s="74"/>
      <c r="B1377" s="74"/>
      <c r="C1377" s="74"/>
      <c r="D1377" s="74"/>
      <c r="E1377" s="74"/>
      <c r="F1377" s="74"/>
      <c r="G1377" s="74"/>
    </row>
    <row r="1378" spans="1:7" s="71" customFormat="1" x14ac:dyDescent="0.2">
      <c r="A1378" s="74"/>
      <c r="B1378" s="74"/>
      <c r="C1378" s="74"/>
      <c r="D1378" s="74"/>
      <c r="E1378" s="74"/>
      <c r="F1378" s="74"/>
      <c r="G1378" s="74"/>
    </row>
    <row r="1379" spans="1:7" s="71" customFormat="1" x14ac:dyDescent="0.2">
      <c r="A1379" s="74"/>
      <c r="B1379" s="74"/>
      <c r="C1379" s="74"/>
      <c r="D1379" s="74"/>
      <c r="E1379" s="74"/>
      <c r="F1379" s="74"/>
      <c r="G1379" s="74"/>
    </row>
    <row r="1380" spans="1:7" s="71" customFormat="1" x14ac:dyDescent="0.2">
      <c r="A1380" s="74"/>
      <c r="B1380" s="74"/>
      <c r="C1380" s="74"/>
      <c r="D1380" s="74"/>
      <c r="E1380" s="74"/>
      <c r="F1380" s="74"/>
      <c r="G1380" s="74"/>
    </row>
    <row r="1381" spans="1:7" s="71" customFormat="1" x14ac:dyDescent="0.2">
      <c r="A1381" s="74"/>
      <c r="B1381" s="74"/>
      <c r="C1381" s="74"/>
      <c r="D1381" s="74"/>
      <c r="E1381" s="74"/>
      <c r="F1381" s="74"/>
      <c r="G1381" s="74"/>
    </row>
    <row r="1382" spans="1:7" s="71" customFormat="1" x14ac:dyDescent="0.2">
      <c r="A1382" s="74"/>
      <c r="B1382" s="74"/>
      <c r="C1382" s="74"/>
      <c r="D1382" s="74"/>
      <c r="E1382" s="74"/>
      <c r="F1382" s="74"/>
      <c r="G1382" s="74"/>
    </row>
    <row r="1383" spans="1:7" s="71" customFormat="1" x14ac:dyDescent="0.2">
      <c r="A1383" s="74"/>
      <c r="B1383" s="74"/>
      <c r="C1383" s="74"/>
      <c r="D1383" s="74"/>
      <c r="E1383" s="74"/>
      <c r="F1383" s="74"/>
      <c r="G1383" s="74"/>
    </row>
    <row r="1384" spans="1:7" s="71" customFormat="1" x14ac:dyDescent="0.2">
      <c r="A1384" s="74"/>
      <c r="B1384" s="74"/>
      <c r="C1384" s="74"/>
      <c r="D1384" s="74"/>
      <c r="E1384" s="74"/>
      <c r="F1384" s="74"/>
      <c r="G1384" s="74"/>
    </row>
    <row r="1385" spans="1:7" s="71" customFormat="1" x14ac:dyDescent="0.2">
      <c r="A1385" s="74"/>
      <c r="B1385" s="74"/>
      <c r="C1385" s="74"/>
      <c r="D1385" s="74"/>
      <c r="E1385" s="74"/>
      <c r="F1385" s="74"/>
      <c r="G1385" s="74"/>
    </row>
    <row r="1386" spans="1:7" s="71" customFormat="1" x14ac:dyDescent="0.2">
      <c r="A1386" s="74"/>
      <c r="B1386" s="74"/>
      <c r="C1386" s="74"/>
      <c r="D1386" s="74"/>
      <c r="E1386" s="74"/>
      <c r="F1386" s="74"/>
      <c r="G1386" s="74"/>
    </row>
    <row r="1387" spans="1:7" s="71" customFormat="1" x14ac:dyDescent="0.2">
      <c r="A1387" s="74"/>
      <c r="B1387" s="74"/>
      <c r="C1387" s="74"/>
      <c r="D1387" s="74"/>
      <c r="E1387" s="74"/>
      <c r="F1387" s="74"/>
      <c r="G1387" s="74"/>
    </row>
    <row r="1388" spans="1:7" s="71" customFormat="1" x14ac:dyDescent="0.2">
      <c r="A1388" s="74"/>
      <c r="B1388" s="74"/>
      <c r="C1388" s="74"/>
      <c r="D1388" s="74"/>
      <c r="E1388" s="74"/>
      <c r="F1388" s="74"/>
      <c r="G1388" s="74"/>
    </row>
    <row r="1389" spans="1:7" s="71" customFormat="1" x14ac:dyDescent="0.2">
      <c r="A1389" s="74"/>
      <c r="B1389" s="74"/>
      <c r="C1389" s="74"/>
      <c r="D1389" s="74"/>
      <c r="E1389" s="74"/>
      <c r="F1389" s="74"/>
      <c r="G1389" s="74"/>
    </row>
    <row r="1390" spans="1:7" s="71" customFormat="1" x14ac:dyDescent="0.2">
      <c r="A1390" s="74"/>
      <c r="B1390" s="74"/>
      <c r="C1390" s="74"/>
      <c r="D1390" s="74"/>
      <c r="E1390" s="74"/>
      <c r="F1390" s="74"/>
      <c r="G1390" s="74"/>
    </row>
    <row r="1391" spans="1:7" s="71" customFormat="1" x14ac:dyDescent="0.2">
      <c r="A1391" s="74"/>
      <c r="B1391" s="74"/>
      <c r="C1391" s="74"/>
      <c r="D1391" s="74"/>
      <c r="E1391" s="74"/>
      <c r="F1391" s="74"/>
      <c r="G1391" s="74"/>
    </row>
    <row r="1392" spans="1:7" s="71" customFormat="1" x14ac:dyDescent="0.2">
      <c r="A1392" s="74"/>
      <c r="B1392" s="74"/>
      <c r="C1392" s="74"/>
      <c r="D1392" s="74"/>
      <c r="E1392" s="74"/>
      <c r="F1392" s="74"/>
      <c r="G1392" s="74"/>
    </row>
    <row r="1393" spans="1:7" s="71" customFormat="1" x14ac:dyDescent="0.2">
      <c r="A1393" s="74"/>
      <c r="B1393" s="74"/>
      <c r="C1393" s="74"/>
      <c r="D1393" s="74"/>
      <c r="E1393" s="74"/>
      <c r="F1393" s="74"/>
      <c r="G1393" s="74"/>
    </row>
    <row r="1394" spans="1:7" s="71" customFormat="1" x14ac:dyDescent="0.2">
      <c r="A1394" s="74"/>
      <c r="B1394" s="74"/>
      <c r="C1394" s="74"/>
      <c r="D1394" s="74"/>
      <c r="E1394" s="74"/>
      <c r="F1394" s="74"/>
      <c r="G1394" s="74"/>
    </row>
    <row r="1395" spans="1:7" s="71" customFormat="1" x14ac:dyDescent="0.2">
      <c r="A1395" s="74"/>
      <c r="B1395" s="74"/>
      <c r="C1395" s="74"/>
      <c r="D1395" s="74"/>
      <c r="E1395" s="74"/>
      <c r="F1395" s="74"/>
      <c r="G1395" s="74"/>
    </row>
    <row r="1396" spans="1:7" s="71" customFormat="1" x14ac:dyDescent="0.2">
      <c r="A1396" s="74"/>
      <c r="B1396" s="74"/>
      <c r="C1396" s="74"/>
      <c r="D1396" s="74"/>
      <c r="E1396" s="74"/>
      <c r="F1396" s="74"/>
      <c r="G1396" s="74"/>
    </row>
    <row r="1397" spans="1:7" s="71" customFormat="1" x14ac:dyDescent="0.2">
      <c r="A1397" s="74"/>
      <c r="B1397" s="74"/>
      <c r="C1397" s="74"/>
      <c r="D1397" s="74"/>
      <c r="E1397" s="74"/>
      <c r="F1397" s="74"/>
      <c r="G1397" s="74"/>
    </row>
    <row r="1398" spans="1:7" s="71" customFormat="1" x14ac:dyDescent="0.2">
      <c r="A1398" s="74"/>
      <c r="B1398" s="74"/>
      <c r="C1398" s="74"/>
      <c r="D1398" s="74"/>
      <c r="E1398" s="74"/>
      <c r="F1398" s="74"/>
      <c r="G1398" s="74"/>
    </row>
    <row r="1399" spans="1:7" s="71" customFormat="1" x14ac:dyDescent="0.2">
      <c r="A1399" s="74"/>
      <c r="B1399" s="74"/>
      <c r="C1399" s="74"/>
      <c r="D1399" s="74"/>
      <c r="E1399" s="74"/>
      <c r="F1399" s="74"/>
      <c r="G1399" s="74"/>
    </row>
    <row r="1400" spans="1:7" s="71" customFormat="1" x14ac:dyDescent="0.2">
      <c r="A1400" s="74"/>
      <c r="B1400" s="74"/>
      <c r="C1400" s="74"/>
      <c r="D1400" s="74"/>
      <c r="E1400" s="74"/>
      <c r="F1400" s="74"/>
      <c r="G1400" s="74"/>
    </row>
    <row r="1401" spans="1:7" s="71" customFormat="1" x14ac:dyDescent="0.2">
      <c r="A1401" s="74"/>
      <c r="B1401" s="74"/>
      <c r="C1401" s="74"/>
      <c r="D1401" s="74"/>
      <c r="E1401" s="74"/>
      <c r="F1401" s="74"/>
      <c r="G1401" s="74"/>
    </row>
    <row r="1402" spans="1:7" s="71" customFormat="1" x14ac:dyDescent="0.2">
      <c r="A1402" s="74"/>
      <c r="B1402" s="74"/>
      <c r="C1402" s="74"/>
      <c r="D1402" s="74"/>
      <c r="E1402" s="74"/>
      <c r="F1402" s="74"/>
      <c r="G1402" s="74"/>
    </row>
    <row r="1403" spans="1:7" s="71" customFormat="1" x14ac:dyDescent="0.2">
      <c r="A1403" s="74"/>
      <c r="B1403" s="74"/>
      <c r="C1403" s="74"/>
      <c r="D1403" s="74"/>
      <c r="E1403" s="74"/>
      <c r="F1403" s="74"/>
      <c r="G1403" s="74"/>
    </row>
    <row r="1404" spans="1:7" s="71" customFormat="1" x14ac:dyDescent="0.2">
      <c r="A1404" s="74"/>
      <c r="B1404" s="74"/>
      <c r="C1404" s="74"/>
      <c r="D1404" s="74"/>
      <c r="E1404" s="74"/>
      <c r="F1404" s="74"/>
      <c r="G1404" s="74"/>
    </row>
    <row r="1405" spans="1:7" s="71" customFormat="1" x14ac:dyDescent="0.2">
      <c r="A1405" s="74"/>
      <c r="B1405" s="74"/>
      <c r="C1405" s="74"/>
      <c r="D1405" s="74"/>
      <c r="E1405" s="74"/>
      <c r="F1405" s="74"/>
      <c r="G1405" s="74"/>
    </row>
    <row r="1406" spans="1:7" s="71" customFormat="1" x14ac:dyDescent="0.2">
      <c r="A1406" s="74"/>
      <c r="B1406" s="74"/>
      <c r="C1406" s="74"/>
      <c r="D1406" s="74"/>
      <c r="E1406" s="74"/>
      <c r="F1406" s="74"/>
      <c r="G1406" s="74"/>
    </row>
    <row r="1407" spans="1:7" s="71" customFormat="1" x14ac:dyDescent="0.2">
      <c r="A1407" s="74"/>
      <c r="B1407" s="74"/>
      <c r="C1407" s="74"/>
      <c r="D1407" s="74"/>
      <c r="E1407" s="74"/>
      <c r="F1407" s="74"/>
      <c r="G1407" s="74"/>
    </row>
    <row r="1408" spans="1:7" s="71" customFormat="1" x14ac:dyDescent="0.2">
      <c r="A1408" s="74"/>
      <c r="B1408" s="74"/>
      <c r="C1408" s="74"/>
      <c r="D1408" s="74"/>
      <c r="E1408" s="74"/>
      <c r="F1408" s="74"/>
      <c r="G1408" s="74"/>
    </row>
    <row r="1409" spans="1:7" s="71" customFormat="1" x14ac:dyDescent="0.2">
      <c r="A1409" s="74"/>
      <c r="B1409" s="74"/>
      <c r="C1409" s="74"/>
      <c r="D1409" s="74"/>
      <c r="E1409" s="74"/>
      <c r="F1409" s="74"/>
      <c r="G1409" s="74"/>
    </row>
    <row r="1410" spans="1:7" s="71" customFormat="1" x14ac:dyDescent="0.2">
      <c r="A1410" s="74"/>
      <c r="B1410" s="74"/>
      <c r="C1410" s="74"/>
      <c r="D1410" s="74"/>
      <c r="E1410" s="74"/>
      <c r="F1410" s="74"/>
      <c r="G1410" s="74"/>
    </row>
    <row r="1411" spans="1:7" s="71" customFormat="1" x14ac:dyDescent="0.2">
      <c r="A1411" s="74"/>
      <c r="B1411" s="74"/>
      <c r="C1411" s="74"/>
      <c r="D1411" s="74"/>
      <c r="E1411" s="74"/>
      <c r="F1411" s="74"/>
      <c r="G1411" s="74"/>
    </row>
    <row r="1412" spans="1:7" s="71" customFormat="1" x14ac:dyDescent="0.2">
      <c r="A1412" s="74"/>
      <c r="B1412" s="74"/>
      <c r="C1412" s="74"/>
      <c r="D1412" s="74"/>
      <c r="E1412" s="74"/>
      <c r="F1412" s="74"/>
      <c r="G1412" s="74"/>
    </row>
    <row r="1413" spans="1:7" s="71" customFormat="1" x14ac:dyDescent="0.2">
      <c r="A1413" s="74"/>
      <c r="B1413" s="74"/>
      <c r="C1413" s="74"/>
      <c r="D1413" s="74"/>
      <c r="E1413" s="74"/>
      <c r="F1413" s="74"/>
      <c r="G1413" s="74"/>
    </row>
    <row r="1414" spans="1:7" s="71" customFormat="1" x14ac:dyDescent="0.2">
      <c r="A1414" s="74"/>
      <c r="B1414" s="74"/>
      <c r="C1414" s="74"/>
      <c r="D1414" s="74"/>
      <c r="E1414" s="74"/>
      <c r="F1414" s="74"/>
      <c r="G1414" s="74"/>
    </row>
    <row r="1415" spans="1:7" s="71" customFormat="1" x14ac:dyDescent="0.2">
      <c r="A1415" s="74"/>
      <c r="B1415" s="74"/>
      <c r="C1415" s="74"/>
      <c r="D1415" s="74"/>
      <c r="E1415" s="74"/>
      <c r="F1415" s="74"/>
      <c r="G1415" s="74"/>
    </row>
    <row r="1416" spans="1:7" s="71" customFormat="1" x14ac:dyDescent="0.2">
      <c r="A1416" s="74"/>
      <c r="B1416" s="74"/>
      <c r="C1416" s="74"/>
      <c r="D1416" s="74"/>
      <c r="E1416" s="74"/>
      <c r="F1416" s="74"/>
      <c r="G1416" s="74"/>
    </row>
    <row r="1417" spans="1:7" s="71" customFormat="1" x14ac:dyDescent="0.2">
      <c r="A1417" s="74"/>
      <c r="B1417" s="74"/>
      <c r="C1417" s="74"/>
      <c r="D1417" s="74"/>
      <c r="E1417" s="74"/>
      <c r="F1417" s="74"/>
      <c r="G1417" s="74"/>
    </row>
    <row r="1418" spans="1:7" s="71" customFormat="1" x14ac:dyDescent="0.2">
      <c r="A1418" s="74"/>
      <c r="B1418" s="74"/>
      <c r="C1418" s="74"/>
      <c r="D1418" s="74"/>
      <c r="E1418" s="74"/>
      <c r="F1418" s="74"/>
      <c r="G1418" s="74"/>
    </row>
    <row r="1419" spans="1:7" s="71" customFormat="1" x14ac:dyDescent="0.2">
      <c r="A1419" s="74"/>
      <c r="B1419" s="74"/>
      <c r="C1419" s="74"/>
      <c r="D1419" s="74"/>
      <c r="E1419" s="74"/>
      <c r="F1419" s="74"/>
      <c r="G1419" s="74"/>
    </row>
    <row r="1420" spans="1:7" s="71" customFormat="1" x14ac:dyDescent="0.2">
      <c r="A1420" s="74"/>
      <c r="B1420" s="74"/>
      <c r="C1420" s="74"/>
      <c r="D1420" s="74"/>
      <c r="E1420" s="74"/>
      <c r="F1420" s="74"/>
      <c r="G1420" s="74"/>
    </row>
    <row r="1421" spans="1:7" s="71" customFormat="1" x14ac:dyDescent="0.2">
      <c r="A1421" s="74"/>
      <c r="B1421" s="74"/>
      <c r="C1421" s="74"/>
      <c r="D1421" s="74"/>
      <c r="E1421" s="74"/>
      <c r="F1421" s="74"/>
      <c r="G1421" s="74"/>
    </row>
    <row r="1422" spans="1:7" s="71" customFormat="1" x14ac:dyDescent="0.2">
      <c r="A1422" s="74"/>
      <c r="B1422" s="74"/>
      <c r="C1422" s="74"/>
      <c r="D1422" s="74"/>
      <c r="E1422" s="74"/>
      <c r="F1422" s="74"/>
      <c r="G1422" s="74"/>
    </row>
    <row r="1423" spans="1:7" s="71" customFormat="1" x14ac:dyDescent="0.2">
      <c r="A1423" s="74"/>
      <c r="B1423" s="74"/>
      <c r="C1423" s="74"/>
      <c r="D1423" s="74"/>
      <c r="E1423" s="74"/>
      <c r="F1423" s="74"/>
      <c r="G1423" s="74"/>
    </row>
    <row r="1424" spans="1:7" s="71" customFormat="1" x14ac:dyDescent="0.2">
      <c r="A1424" s="74"/>
      <c r="B1424" s="74"/>
      <c r="C1424" s="74"/>
      <c r="D1424" s="74"/>
      <c r="E1424" s="74"/>
      <c r="F1424" s="74"/>
      <c r="G1424" s="74"/>
    </row>
    <row r="1425" spans="1:7" s="71" customFormat="1" x14ac:dyDescent="0.2">
      <c r="A1425" s="74"/>
      <c r="B1425" s="74"/>
      <c r="C1425" s="74"/>
      <c r="D1425" s="74"/>
      <c r="E1425" s="74"/>
      <c r="F1425" s="74"/>
      <c r="G1425" s="74"/>
    </row>
    <row r="1426" spans="1:7" s="71" customFormat="1" x14ac:dyDescent="0.2">
      <c r="A1426" s="74"/>
      <c r="B1426" s="74"/>
      <c r="C1426" s="74"/>
      <c r="D1426" s="74"/>
      <c r="E1426" s="74"/>
      <c r="F1426" s="74"/>
      <c r="G1426" s="74"/>
    </row>
    <row r="1427" spans="1:7" s="71" customFormat="1" x14ac:dyDescent="0.2">
      <c r="A1427" s="74"/>
      <c r="B1427" s="74"/>
      <c r="C1427" s="74"/>
      <c r="D1427" s="74"/>
      <c r="E1427" s="74"/>
      <c r="F1427" s="74"/>
      <c r="G1427" s="74"/>
    </row>
    <row r="1428" spans="1:7" s="71" customFormat="1" x14ac:dyDescent="0.2">
      <c r="A1428" s="74"/>
      <c r="B1428" s="74"/>
      <c r="C1428" s="74"/>
      <c r="D1428" s="74"/>
      <c r="E1428" s="74"/>
      <c r="F1428" s="74"/>
      <c r="G1428" s="74"/>
    </row>
    <row r="1429" spans="1:7" s="71" customFormat="1" x14ac:dyDescent="0.2">
      <c r="A1429" s="74"/>
      <c r="B1429" s="74"/>
      <c r="C1429" s="74"/>
      <c r="D1429" s="74"/>
      <c r="E1429" s="74"/>
      <c r="F1429" s="74"/>
      <c r="G1429" s="74"/>
    </row>
    <row r="1430" spans="1:7" s="71" customFormat="1" x14ac:dyDescent="0.2">
      <c r="A1430" s="74"/>
      <c r="B1430" s="74"/>
      <c r="C1430" s="74"/>
      <c r="D1430" s="74"/>
      <c r="E1430" s="74"/>
      <c r="F1430" s="74"/>
      <c r="G1430" s="74"/>
    </row>
    <row r="1431" spans="1:7" s="71" customFormat="1" x14ac:dyDescent="0.2">
      <c r="A1431" s="74"/>
      <c r="B1431" s="74"/>
      <c r="C1431" s="74"/>
      <c r="D1431" s="74"/>
      <c r="E1431" s="74"/>
      <c r="F1431" s="74"/>
      <c r="G1431" s="74"/>
    </row>
    <row r="1432" spans="1:7" s="71" customFormat="1" x14ac:dyDescent="0.2">
      <c r="A1432" s="74"/>
      <c r="B1432" s="74"/>
      <c r="C1432" s="74"/>
      <c r="D1432" s="74"/>
      <c r="E1432" s="74"/>
      <c r="F1432" s="74"/>
      <c r="G1432" s="74"/>
    </row>
    <row r="1433" spans="1:7" s="71" customFormat="1" x14ac:dyDescent="0.2">
      <c r="A1433" s="74"/>
      <c r="B1433" s="74"/>
      <c r="C1433" s="74"/>
      <c r="D1433" s="74"/>
      <c r="E1433" s="74"/>
      <c r="F1433" s="74"/>
      <c r="G1433" s="74"/>
    </row>
    <row r="1434" spans="1:7" s="71" customFormat="1" x14ac:dyDescent="0.2">
      <c r="A1434" s="74"/>
      <c r="B1434" s="74"/>
      <c r="C1434" s="74"/>
      <c r="D1434" s="74"/>
      <c r="E1434" s="74"/>
      <c r="F1434" s="74"/>
      <c r="G1434" s="74"/>
    </row>
    <row r="1435" spans="1:7" s="71" customFormat="1" x14ac:dyDescent="0.2">
      <c r="A1435" s="74"/>
      <c r="B1435" s="74"/>
      <c r="C1435" s="74"/>
      <c r="D1435" s="74"/>
      <c r="E1435" s="74"/>
      <c r="F1435" s="74"/>
      <c r="G1435" s="74"/>
    </row>
    <row r="1436" spans="1:7" s="71" customFormat="1" x14ac:dyDescent="0.2">
      <c r="A1436" s="74"/>
      <c r="B1436" s="74"/>
      <c r="C1436" s="74"/>
      <c r="D1436" s="74"/>
      <c r="E1436" s="74"/>
      <c r="F1436" s="74"/>
      <c r="G1436" s="74"/>
    </row>
    <row r="1437" spans="1:7" s="71" customFormat="1" x14ac:dyDescent="0.2">
      <c r="A1437" s="74"/>
      <c r="B1437" s="74"/>
      <c r="C1437" s="74"/>
      <c r="D1437" s="74"/>
      <c r="E1437" s="74"/>
      <c r="F1437" s="74"/>
      <c r="G1437" s="74"/>
    </row>
    <row r="1438" spans="1:7" s="71" customFormat="1" x14ac:dyDescent="0.2">
      <c r="A1438" s="74"/>
      <c r="B1438" s="74"/>
      <c r="C1438" s="74"/>
      <c r="D1438" s="74"/>
      <c r="E1438" s="74"/>
      <c r="F1438" s="74"/>
      <c r="G1438" s="74"/>
    </row>
    <row r="1439" spans="1:7" s="71" customFormat="1" x14ac:dyDescent="0.2">
      <c r="A1439" s="74"/>
      <c r="B1439" s="74"/>
      <c r="C1439" s="74"/>
      <c r="D1439" s="74"/>
      <c r="E1439" s="74"/>
      <c r="F1439" s="74"/>
      <c r="G1439" s="74"/>
    </row>
    <row r="1440" spans="1:7" s="71" customFormat="1" x14ac:dyDescent="0.2">
      <c r="A1440" s="74"/>
      <c r="B1440" s="74"/>
      <c r="C1440" s="74"/>
      <c r="D1440" s="74"/>
      <c r="E1440" s="74"/>
      <c r="F1440" s="74"/>
      <c r="G1440" s="74"/>
    </row>
    <row r="1441" spans="1:7" s="71" customFormat="1" x14ac:dyDescent="0.2">
      <c r="A1441" s="74"/>
      <c r="B1441" s="74"/>
      <c r="C1441" s="74"/>
      <c r="D1441" s="74"/>
      <c r="E1441" s="74"/>
      <c r="F1441" s="74"/>
      <c r="G1441" s="74"/>
    </row>
    <row r="1442" spans="1:7" s="71" customFormat="1" x14ac:dyDescent="0.2">
      <c r="A1442" s="74"/>
      <c r="B1442" s="74"/>
      <c r="C1442" s="74"/>
      <c r="D1442" s="74"/>
      <c r="E1442" s="74"/>
      <c r="F1442" s="74"/>
      <c r="G1442" s="74"/>
    </row>
    <row r="1443" spans="1:7" s="71" customFormat="1" x14ac:dyDescent="0.2">
      <c r="A1443" s="74"/>
      <c r="B1443" s="74"/>
      <c r="C1443" s="74"/>
      <c r="D1443" s="74"/>
      <c r="E1443" s="74"/>
      <c r="F1443" s="74"/>
      <c r="G1443" s="74"/>
    </row>
    <row r="1444" spans="1:7" s="71" customFormat="1" x14ac:dyDescent="0.2">
      <c r="A1444" s="74"/>
      <c r="B1444" s="74"/>
      <c r="C1444" s="74"/>
      <c r="D1444" s="74"/>
      <c r="E1444" s="74"/>
      <c r="F1444" s="74"/>
      <c r="G1444" s="74"/>
    </row>
    <row r="1445" spans="1:7" s="71" customFormat="1" x14ac:dyDescent="0.2">
      <c r="A1445" s="74"/>
      <c r="B1445" s="74"/>
      <c r="C1445" s="74"/>
      <c r="D1445" s="74"/>
      <c r="E1445" s="74"/>
      <c r="F1445" s="74"/>
      <c r="G1445" s="74"/>
    </row>
    <row r="1446" spans="1:7" s="71" customFormat="1" x14ac:dyDescent="0.2">
      <c r="A1446" s="74"/>
      <c r="B1446" s="74"/>
      <c r="C1446" s="74"/>
      <c r="D1446" s="74"/>
      <c r="E1446" s="74"/>
      <c r="F1446" s="74"/>
      <c r="G1446" s="74"/>
    </row>
    <row r="1447" spans="1:7" s="71" customFormat="1" x14ac:dyDescent="0.2">
      <c r="A1447" s="74"/>
      <c r="B1447" s="74"/>
      <c r="C1447" s="74"/>
      <c r="D1447" s="74"/>
      <c r="E1447" s="74"/>
      <c r="F1447" s="74"/>
      <c r="G1447" s="74"/>
    </row>
    <row r="1448" spans="1:7" s="71" customFormat="1" x14ac:dyDescent="0.2">
      <c r="A1448" s="74"/>
      <c r="B1448" s="74"/>
      <c r="C1448" s="74"/>
      <c r="D1448" s="74"/>
      <c r="E1448" s="74"/>
      <c r="F1448" s="74"/>
      <c r="G1448" s="74"/>
    </row>
    <row r="1449" spans="1:7" s="71" customFormat="1" x14ac:dyDescent="0.2">
      <c r="A1449" s="74"/>
      <c r="B1449" s="74"/>
      <c r="C1449" s="74"/>
      <c r="D1449" s="74"/>
      <c r="E1449" s="74"/>
      <c r="F1449" s="74"/>
      <c r="G1449" s="74"/>
    </row>
    <row r="1450" spans="1:7" s="71" customFormat="1" x14ac:dyDescent="0.2">
      <c r="A1450" s="74"/>
      <c r="B1450" s="74"/>
      <c r="C1450" s="74"/>
      <c r="D1450" s="74"/>
      <c r="E1450" s="74"/>
      <c r="F1450" s="74"/>
      <c r="G1450" s="74"/>
    </row>
    <row r="1451" spans="1:7" s="71" customFormat="1" x14ac:dyDescent="0.2">
      <c r="A1451" s="74"/>
      <c r="B1451" s="74"/>
      <c r="C1451" s="74"/>
      <c r="D1451" s="74"/>
      <c r="E1451" s="74"/>
      <c r="F1451" s="74"/>
      <c r="G1451" s="74"/>
    </row>
    <row r="1452" spans="1:7" s="71" customFormat="1" x14ac:dyDescent="0.2">
      <c r="A1452" s="74"/>
      <c r="B1452" s="74"/>
      <c r="C1452" s="74"/>
      <c r="D1452" s="74"/>
      <c r="E1452" s="74"/>
      <c r="F1452" s="74"/>
      <c r="G1452" s="74"/>
    </row>
    <row r="1453" spans="1:7" s="71" customFormat="1" x14ac:dyDescent="0.2">
      <c r="A1453" s="74"/>
      <c r="B1453" s="74"/>
      <c r="C1453" s="74"/>
      <c r="D1453" s="74"/>
      <c r="E1453" s="74"/>
      <c r="F1453" s="74"/>
      <c r="G1453" s="74"/>
    </row>
    <row r="1454" spans="1:7" s="71" customFormat="1" x14ac:dyDescent="0.2">
      <c r="A1454" s="74"/>
      <c r="B1454" s="74"/>
      <c r="C1454" s="74"/>
      <c r="D1454" s="74"/>
      <c r="E1454" s="74"/>
      <c r="F1454" s="74"/>
      <c r="G1454" s="74"/>
    </row>
    <row r="1455" spans="1:7" s="71" customFormat="1" x14ac:dyDescent="0.2">
      <c r="A1455" s="74"/>
      <c r="B1455" s="74"/>
      <c r="C1455" s="74"/>
      <c r="D1455" s="74"/>
      <c r="E1455" s="74"/>
      <c r="F1455" s="74"/>
      <c r="G1455" s="74"/>
    </row>
    <row r="1456" spans="1:7" s="71" customFormat="1" x14ac:dyDescent="0.2">
      <c r="A1456" s="74"/>
      <c r="B1456" s="74"/>
      <c r="C1456" s="74"/>
      <c r="D1456" s="74"/>
      <c r="E1456" s="74"/>
      <c r="F1456" s="74"/>
      <c r="G1456" s="74"/>
    </row>
    <row r="1457" spans="1:7" s="71" customFormat="1" x14ac:dyDescent="0.2">
      <c r="A1457" s="74"/>
      <c r="B1457" s="74"/>
      <c r="C1457" s="74"/>
      <c r="D1457" s="74"/>
      <c r="E1457" s="74"/>
      <c r="F1457" s="74"/>
      <c r="G1457" s="74"/>
    </row>
    <row r="1458" spans="1:7" s="71" customFormat="1" x14ac:dyDescent="0.2">
      <c r="A1458" s="74"/>
      <c r="B1458" s="74"/>
      <c r="C1458" s="74"/>
      <c r="D1458" s="74"/>
      <c r="E1458" s="74"/>
      <c r="F1458" s="74"/>
      <c r="G1458" s="74"/>
    </row>
    <row r="1459" spans="1:7" s="71" customFormat="1" x14ac:dyDescent="0.2">
      <c r="A1459" s="74"/>
      <c r="B1459" s="74"/>
      <c r="C1459" s="74"/>
      <c r="D1459" s="74"/>
      <c r="E1459" s="74"/>
      <c r="F1459" s="74"/>
      <c r="G1459" s="74"/>
    </row>
    <row r="1460" spans="1:7" s="71" customFormat="1" x14ac:dyDescent="0.2">
      <c r="A1460" s="74"/>
      <c r="B1460" s="74"/>
      <c r="C1460" s="74"/>
      <c r="D1460" s="74"/>
      <c r="E1460" s="74"/>
      <c r="F1460" s="74"/>
      <c r="G1460" s="74"/>
    </row>
    <row r="1461" spans="1:7" s="71" customFormat="1" x14ac:dyDescent="0.2">
      <c r="A1461" s="74"/>
      <c r="B1461" s="74"/>
      <c r="C1461" s="74"/>
      <c r="D1461" s="74"/>
      <c r="E1461" s="74"/>
      <c r="F1461" s="74"/>
      <c r="G1461" s="74"/>
    </row>
    <row r="1462" spans="1:7" s="71" customFormat="1" x14ac:dyDescent="0.2">
      <c r="A1462" s="74"/>
      <c r="B1462" s="74"/>
      <c r="C1462" s="74"/>
      <c r="D1462" s="74"/>
      <c r="E1462" s="74"/>
      <c r="F1462" s="74"/>
      <c r="G1462" s="74"/>
    </row>
    <row r="1463" spans="1:7" s="71" customFormat="1" x14ac:dyDescent="0.2">
      <c r="A1463" s="74"/>
      <c r="B1463" s="74"/>
      <c r="C1463" s="74"/>
      <c r="D1463" s="74"/>
      <c r="E1463" s="74"/>
      <c r="F1463" s="74"/>
      <c r="G1463" s="74"/>
    </row>
    <row r="1464" spans="1:7" s="71" customFormat="1" x14ac:dyDescent="0.2">
      <c r="A1464" s="74"/>
      <c r="B1464" s="74"/>
      <c r="C1464" s="74"/>
      <c r="D1464" s="74"/>
      <c r="E1464" s="74"/>
      <c r="F1464" s="74"/>
      <c r="G1464" s="74"/>
    </row>
    <row r="1465" spans="1:7" s="71" customFormat="1" x14ac:dyDescent="0.2">
      <c r="A1465" s="74"/>
      <c r="B1465" s="74"/>
      <c r="C1465" s="74"/>
      <c r="D1465" s="74"/>
      <c r="E1465" s="74"/>
      <c r="F1465" s="74"/>
      <c r="G1465" s="74"/>
    </row>
    <row r="1466" spans="1:7" s="71" customFormat="1" x14ac:dyDescent="0.2">
      <c r="A1466" s="74"/>
      <c r="B1466" s="74"/>
      <c r="C1466" s="74"/>
      <c r="D1466" s="74"/>
      <c r="E1466" s="74"/>
      <c r="F1466" s="74"/>
      <c r="G1466" s="74"/>
    </row>
    <row r="1467" spans="1:7" s="71" customFormat="1" x14ac:dyDescent="0.2">
      <c r="A1467" s="74"/>
      <c r="B1467" s="74"/>
      <c r="C1467" s="74"/>
      <c r="D1467" s="74"/>
      <c r="E1467" s="74"/>
      <c r="F1467" s="74"/>
      <c r="G1467" s="74"/>
    </row>
    <row r="1468" spans="1:7" s="71" customFormat="1" x14ac:dyDescent="0.2">
      <c r="A1468" s="74"/>
      <c r="B1468" s="74"/>
      <c r="C1468" s="74"/>
      <c r="D1468" s="74"/>
      <c r="E1468" s="74"/>
      <c r="F1468" s="74"/>
      <c r="G1468" s="74"/>
    </row>
    <row r="1469" spans="1:7" s="71" customFormat="1" x14ac:dyDescent="0.2">
      <c r="A1469" s="74"/>
      <c r="B1469" s="74"/>
      <c r="C1469" s="74"/>
      <c r="D1469" s="74"/>
      <c r="E1469" s="74"/>
      <c r="F1469" s="74"/>
      <c r="G1469" s="74"/>
    </row>
    <row r="1470" spans="1:7" s="71" customFormat="1" x14ac:dyDescent="0.2">
      <c r="A1470" s="74"/>
      <c r="B1470" s="74"/>
      <c r="C1470" s="74"/>
      <c r="D1470" s="74"/>
      <c r="E1470" s="74"/>
      <c r="F1470" s="74"/>
      <c r="G1470" s="74"/>
    </row>
    <row r="1471" spans="1:7" s="71" customFormat="1" x14ac:dyDescent="0.2">
      <c r="A1471" s="74"/>
      <c r="B1471" s="74"/>
      <c r="C1471" s="74"/>
      <c r="D1471" s="74"/>
      <c r="E1471" s="74"/>
      <c r="F1471" s="74"/>
      <c r="G1471" s="74"/>
    </row>
    <row r="1472" spans="1:7" s="71" customFormat="1" x14ac:dyDescent="0.2">
      <c r="A1472" s="74"/>
      <c r="B1472" s="74"/>
      <c r="C1472" s="74"/>
      <c r="D1472" s="74"/>
      <c r="E1472" s="74"/>
      <c r="F1472" s="74"/>
      <c r="G1472" s="74"/>
    </row>
    <row r="1473" spans="1:7" s="71" customFormat="1" x14ac:dyDescent="0.2">
      <c r="A1473" s="74"/>
      <c r="B1473" s="74"/>
      <c r="C1473" s="74"/>
      <c r="D1473" s="74"/>
      <c r="E1473" s="74"/>
      <c r="F1473" s="74"/>
      <c r="G1473" s="74"/>
    </row>
    <row r="1474" spans="1:7" s="71" customFormat="1" x14ac:dyDescent="0.2">
      <c r="A1474" s="74"/>
      <c r="B1474" s="74"/>
      <c r="C1474" s="74"/>
      <c r="D1474" s="74"/>
      <c r="E1474" s="74"/>
      <c r="F1474" s="74"/>
      <c r="G1474" s="74"/>
    </row>
    <row r="1475" spans="1:7" s="71" customFormat="1" x14ac:dyDescent="0.2">
      <c r="A1475" s="74"/>
      <c r="B1475" s="74"/>
      <c r="C1475" s="74"/>
      <c r="D1475" s="74"/>
      <c r="E1475" s="74"/>
      <c r="F1475" s="74"/>
      <c r="G1475" s="74"/>
    </row>
    <row r="1476" spans="1:7" s="71" customFormat="1" x14ac:dyDescent="0.2">
      <c r="A1476" s="74"/>
      <c r="B1476" s="74"/>
      <c r="C1476" s="74"/>
      <c r="D1476" s="74"/>
      <c r="E1476" s="74"/>
      <c r="F1476" s="74"/>
      <c r="G1476" s="74"/>
    </row>
    <row r="1477" spans="1:7" s="71" customFormat="1" x14ac:dyDescent="0.2">
      <c r="A1477" s="74"/>
      <c r="B1477" s="74"/>
      <c r="C1477" s="74"/>
      <c r="D1477" s="74"/>
      <c r="E1477" s="74"/>
      <c r="F1477" s="74"/>
      <c r="G1477" s="74"/>
    </row>
    <row r="1478" spans="1:7" s="71" customFormat="1" x14ac:dyDescent="0.2">
      <c r="A1478" s="74"/>
      <c r="B1478" s="74"/>
      <c r="C1478" s="74"/>
      <c r="D1478" s="74"/>
      <c r="E1478" s="74"/>
      <c r="F1478" s="74"/>
      <c r="G1478" s="74"/>
    </row>
    <row r="1479" spans="1:7" s="71" customFormat="1" x14ac:dyDescent="0.2">
      <c r="A1479" s="74"/>
      <c r="B1479" s="74"/>
      <c r="C1479" s="74"/>
      <c r="D1479" s="74"/>
      <c r="E1479" s="74"/>
      <c r="F1479" s="74"/>
      <c r="G1479" s="74"/>
    </row>
    <row r="1480" spans="1:7" s="71" customFormat="1" x14ac:dyDescent="0.2">
      <c r="A1480" s="74"/>
      <c r="B1480" s="74"/>
      <c r="C1480" s="74"/>
      <c r="D1480" s="74"/>
      <c r="E1480" s="74"/>
      <c r="F1480" s="74"/>
      <c r="G1480" s="74"/>
    </row>
    <row r="1481" spans="1:7" s="71" customFormat="1" x14ac:dyDescent="0.2">
      <c r="A1481" s="74"/>
      <c r="B1481" s="74"/>
      <c r="C1481" s="74"/>
      <c r="D1481" s="74"/>
      <c r="E1481" s="74"/>
      <c r="F1481" s="74"/>
      <c r="G1481" s="74"/>
    </row>
    <row r="1482" spans="1:7" s="71" customFormat="1" x14ac:dyDescent="0.2">
      <c r="A1482" s="74"/>
      <c r="B1482" s="74"/>
      <c r="C1482" s="74"/>
      <c r="D1482" s="74"/>
      <c r="E1482" s="74"/>
      <c r="F1482" s="74"/>
      <c r="G1482" s="74"/>
    </row>
    <row r="1483" spans="1:7" s="71" customFormat="1" x14ac:dyDescent="0.2">
      <c r="A1483" s="74"/>
      <c r="B1483" s="74"/>
      <c r="C1483" s="74"/>
      <c r="D1483" s="74"/>
      <c r="E1483" s="74"/>
      <c r="F1483" s="74"/>
      <c r="G1483" s="74"/>
    </row>
    <row r="1484" spans="1:7" s="71" customFormat="1" x14ac:dyDescent="0.2">
      <c r="A1484" s="74"/>
      <c r="B1484" s="74"/>
      <c r="C1484" s="74"/>
      <c r="D1484" s="74"/>
      <c r="E1484" s="74"/>
      <c r="F1484" s="74"/>
      <c r="G1484" s="74"/>
    </row>
    <row r="1485" spans="1:7" s="71" customFormat="1" x14ac:dyDescent="0.2">
      <c r="A1485" s="74"/>
      <c r="B1485" s="74"/>
      <c r="C1485" s="74"/>
      <c r="D1485" s="74"/>
      <c r="E1485" s="74"/>
      <c r="F1485" s="74"/>
      <c r="G1485" s="74"/>
    </row>
    <row r="1486" spans="1:7" s="71" customFormat="1" x14ac:dyDescent="0.2">
      <c r="A1486" s="74"/>
      <c r="B1486" s="74"/>
      <c r="C1486" s="74"/>
      <c r="D1486" s="74"/>
      <c r="E1486" s="74"/>
      <c r="F1486" s="74"/>
      <c r="G1486" s="74"/>
    </row>
    <row r="1487" spans="1:7" s="71" customFormat="1" x14ac:dyDescent="0.2">
      <c r="A1487" s="74"/>
      <c r="B1487" s="74"/>
      <c r="C1487" s="74"/>
      <c r="D1487" s="74"/>
      <c r="E1487" s="74"/>
      <c r="F1487" s="74"/>
      <c r="G1487" s="74"/>
    </row>
    <row r="1488" spans="1:7" s="71" customFormat="1" x14ac:dyDescent="0.2">
      <c r="A1488" s="74"/>
      <c r="B1488" s="74"/>
      <c r="C1488" s="74"/>
      <c r="D1488" s="74"/>
      <c r="E1488" s="74"/>
      <c r="F1488" s="74"/>
      <c r="G1488" s="74"/>
    </row>
    <row r="1489" spans="1:7" s="71" customFormat="1" x14ac:dyDescent="0.2">
      <c r="A1489" s="74"/>
      <c r="B1489" s="74"/>
      <c r="C1489" s="74"/>
      <c r="D1489" s="74"/>
      <c r="E1489" s="74"/>
      <c r="F1489" s="74"/>
      <c r="G1489" s="74"/>
    </row>
    <row r="1490" spans="1:7" s="71" customFormat="1" x14ac:dyDescent="0.2">
      <c r="A1490" s="74"/>
      <c r="B1490" s="74"/>
      <c r="C1490" s="74"/>
      <c r="D1490" s="74"/>
      <c r="E1490" s="74"/>
      <c r="F1490" s="74"/>
      <c r="G1490" s="74"/>
    </row>
    <row r="1491" spans="1:7" s="71" customFormat="1" x14ac:dyDescent="0.2">
      <c r="A1491" s="74"/>
      <c r="B1491" s="74"/>
      <c r="C1491" s="74"/>
      <c r="D1491" s="74"/>
      <c r="E1491" s="74"/>
      <c r="F1491" s="74"/>
      <c r="G1491" s="74"/>
    </row>
    <row r="1492" spans="1:7" s="71" customFormat="1" x14ac:dyDescent="0.2">
      <c r="A1492" s="74"/>
      <c r="B1492" s="74"/>
      <c r="C1492" s="74"/>
      <c r="D1492" s="74"/>
      <c r="E1492" s="74"/>
      <c r="F1492" s="74"/>
      <c r="G1492" s="74"/>
    </row>
    <row r="1493" spans="1:7" s="71" customFormat="1" x14ac:dyDescent="0.2">
      <c r="A1493" s="74"/>
      <c r="B1493" s="74"/>
      <c r="C1493" s="74"/>
      <c r="D1493" s="74"/>
      <c r="E1493" s="74"/>
      <c r="F1493" s="74"/>
      <c r="G1493" s="74"/>
    </row>
    <row r="1494" spans="1:7" s="71" customFormat="1" x14ac:dyDescent="0.2">
      <c r="A1494" s="74"/>
      <c r="B1494" s="74"/>
      <c r="C1494" s="74"/>
      <c r="D1494" s="74"/>
      <c r="E1494" s="74"/>
      <c r="F1494" s="74"/>
      <c r="G1494" s="74"/>
    </row>
    <row r="1495" spans="1:7" s="71" customFormat="1" x14ac:dyDescent="0.2">
      <c r="A1495" s="74"/>
      <c r="B1495" s="74"/>
      <c r="C1495" s="74"/>
      <c r="D1495" s="74"/>
      <c r="E1495" s="74"/>
      <c r="F1495" s="74"/>
      <c r="G1495" s="74"/>
    </row>
    <row r="1496" spans="1:7" s="71" customFormat="1" x14ac:dyDescent="0.2">
      <c r="A1496" s="74"/>
      <c r="B1496" s="74"/>
      <c r="C1496" s="74"/>
      <c r="D1496" s="74"/>
      <c r="E1496" s="74"/>
      <c r="F1496" s="74"/>
      <c r="G1496" s="74"/>
    </row>
    <row r="1497" spans="1:7" s="71" customFormat="1" x14ac:dyDescent="0.2">
      <c r="A1497" s="74"/>
      <c r="B1497" s="74"/>
      <c r="C1497" s="74"/>
      <c r="D1497" s="74"/>
      <c r="E1497" s="74"/>
      <c r="F1497" s="74"/>
      <c r="G1497" s="74"/>
    </row>
    <row r="1498" spans="1:7" s="71" customFormat="1" x14ac:dyDescent="0.2">
      <c r="A1498" s="74"/>
      <c r="B1498" s="74"/>
      <c r="C1498" s="74"/>
      <c r="D1498" s="74"/>
      <c r="E1498" s="74"/>
      <c r="F1498" s="74"/>
      <c r="G1498" s="74"/>
    </row>
    <row r="1499" spans="1:7" s="71" customFormat="1" x14ac:dyDescent="0.2">
      <c r="A1499" s="74"/>
      <c r="B1499" s="74"/>
      <c r="C1499" s="74"/>
      <c r="D1499" s="74"/>
      <c r="E1499" s="74"/>
      <c r="F1499" s="74"/>
      <c r="G1499" s="74"/>
    </row>
    <row r="1500" spans="1:7" s="71" customFormat="1" x14ac:dyDescent="0.2">
      <c r="A1500" s="74"/>
      <c r="B1500" s="74"/>
      <c r="C1500" s="74"/>
      <c r="D1500" s="74"/>
      <c r="E1500" s="74"/>
      <c r="F1500" s="74"/>
      <c r="G1500" s="74"/>
    </row>
    <row r="1501" spans="1:7" s="71" customFormat="1" x14ac:dyDescent="0.2">
      <c r="A1501" s="74"/>
      <c r="B1501" s="74"/>
      <c r="C1501" s="74"/>
      <c r="D1501" s="74"/>
      <c r="E1501" s="74"/>
      <c r="F1501" s="74"/>
      <c r="G1501" s="74"/>
    </row>
    <row r="1502" spans="1:7" s="71" customFormat="1" x14ac:dyDescent="0.2">
      <c r="A1502" s="74"/>
      <c r="B1502" s="74"/>
      <c r="C1502" s="74"/>
      <c r="D1502" s="74"/>
      <c r="E1502" s="74"/>
      <c r="F1502" s="74"/>
      <c r="G1502" s="74"/>
    </row>
    <row r="1503" spans="1:7" s="71" customFormat="1" x14ac:dyDescent="0.2">
      <c r="A1503" s="74"/>
      <c r="B1503" s="74"/>
      <c r="C1503" s="74"/>
      <c r="D1503" s="74"/>
      <c r="E1503" s="74"/>
      <c r="F1503" s="74"/>
      <c r="G1503" s="74"/>
    </row>
    <row r="1504" spans="1:7" s="71" customFormat="1" x14ac:dyDescent="0.2">
      <c r="A1504" s="74"/>
      <c r="B1504" s="74"/>
      <c r="C1504" s="74"/>
      <c r="D1504" s="74"/>
      <c r="E1504" s="74"/>
      <c r="F1504" s="74"/>
      <c r="G1504" s="74"/>
    </row>
    <row r="1505" spans="1:7" s="71" customFormat="1" x14ac:dyDescent="0.2">
      <c r="A1505" s="74"/>
      <c r="B1505" s="74"/>
      <c r="C1505" s="74"/>
      <c r="D1505" s="74"/>
      <c r="E1505" s="74"/>
      <c r="F1505" s="74"/>
      <c r="G1505" s="74"/>
    </row>
    <row r="1506" spans="1:7" s="71" customFormat="1" x14ac:dyDescent="0.2">
      <c r="A1506" s="74"/>
      <c r="B1506" s="74"/>
      <c r="C1506" s="74"/>
      <c r="D1506" s="74"/>
      <c r="E1506" s="74"/>
      <c r="F1506" s="74"/>
      <c r="G1506" s="74"/>
    </row>
    <row r="1507" spans="1:7" s="71" customFormat="1" x14ac:dyDescent="0.2">
      <c r="A1507" s="74"/>
      <c r="B1507" s="74"/>
      <c r="C1507" s="74"/>
      <c r="D1507" s="74"/>
      <c r="E1507" s="74"/>
      <c r="F1507" s="74"/>
      <c r="G1507" s="74"/>
    </row>
    <row r="1508" spans="1:7" s="71" customFormat="1" x14ac:dyDescent="0.2">
      <c r="A1508" s="74"/>
      <c r="B1508" s="74"/>
      <c r="C1508" s="74"/>
      <c r="D1508" s="74"/>
      <c r="E1508" s="74"/>
      <c r="F1508" s="74"/>
      <c r="G1508" s="74"/>
    </row>
    <row r="1509" spans="1:7" s="71" customFormat="1" x14ac:dyDescent="0.2">
      <c r="A1509" s="74"/>
      <c r="B1509" s="74"/>
      <c r="C1509" s="74"/>
      <c r="D1509" s="74"/>
      <c r="E1509" s="74"/>
      <c r="F1509" s="74"/>
      <c r="G1509" s="74"/>
    </row>
    <row r="1510" spans="1:7" s="71" customFormat="1" x14ac:dyDescent="0.2">
      <c r="A1510" s="74"/>
      <c r="B1510" s="74"/>
      <c r="C1510" s="74"/>
      <c r="D1510" s="74"/>
      <c r="E1510" s="74"/>
      <c r="F1510" s="74"/>
      <c r="G1510" s="74"/>
    </row>
    <row r="1511" spans="1:7" s="71" customFormat="1" x14ac:dyDescent="0.2">
      <c r="A1511" s="74"/>
      <c r="B1511" s="74"/>
      <c r="C1511" s="74"/>
      <c r="D1511" s="74"/>
      <c r="E1511" s="74"/>
      <c r="F1511" s="74"/>
      <c r="G1511" s="74"/>
    </row>
    <row r="1512" spans="1:7" s="71" customFormat="1" x14ac:dyDescent="0.2">
      <c r="A1512" s="74"/>
      <c r="B1512" s="74"/>
      <c r="C1512" s="74"/>
      <c r="D1512" s="74"/>
      <c r="E1512" s="74"/>
      <c r="F1512" s="74"/>
      <c r="G1512" s="74"/>
    </row>
    <row r="1513" spans="1:7" s="71" customFormat="1" x14ac:dyDescent="0.2">
      <c r="A1513" s="74"/>
      <c r="B1513" s="74"/>
      <c r="C1513" s="74"/>
      <c r="D1513" s="74"/>
      <c r="E1513" s="74"/>
      <c r="F1513" s="74"/>
      <c r="G1513" s="74"/>
    </row>
    <row r="1514" spans="1:7" s="71" customFormat="1" x14ac:dyDescent="0.2">
      <c r="A1514" s="74"/>
      <c r="B1514" s="74"/>
      <c r="C1514" s="74"/>
      <c r="D1514" s="74"/>
      <c r="E1514" s="74"/>
      <c r="F1514" s="74"/>
      <c r="G1514" s="74"/>
    </row>
    <row r="1515" spans="1:7" s="71" customFormat="1" x14ac:dyDescent="0.2">
      <c r="A1515" s="74"/>
      <c r="B1515" s="74"/>
      <c r="C1515" s="74"/>
      <c r="D1515" s="74"/>
      <c r="E1515" s="74"/>
      <c r="F1515" s="74"/>
      <c r="G1515" s="74"/>
    </row>
    <row r="1516" spans="1:7" s="71" customFormat="1" x14ac:dyDescent="0.2">
      <c r="A1516" s="74"/>
      <c r="B1516" s="74"/>
      <c r="C1516" s="74"/>
      <c r="D1516" s="74"/>
      <c r="E1516" s="74"/>
      <c r="F1516" s="74"/>
      <c r="G1516" s="74"/>
    </row>
    <row r="1517" spans="1:7" s="71" customFormat="1" x14ac:dyDescent="0.2">
      <c r="A1517" s="74"/>
      <c r="B1517" s="74"/>
      <c r="C1517" s="74"/>
      <c r="D1517" s="74"/>
      <c r="E1517" s="74"/>
      <c r="F1517" s="74"/>
      <c r="G1517" s="74"/>
    </row>
    <row r="1518" spans="1:7" s="71" customFormat="1" x14ac:dyDescent="0.2">
      <c r="A1518" s="74"/>
      <c r="B1518" s="74"/>
      <c r="C1518" s="74"/>
      <c r="D1518" s="74"/>
      <c r="E1518" s="74"/>
      <c r="F1518" s="74"/>
      <c r="G1518" s="74"/>
    </row>
    <row r="1519" spans="1:7" s="71" customFormat="1" x14ac:dyDescent="0.2">
      <c r="A1519" s="74"/>
      <c r="B1519" s="74"/>
      <c r="C1519" s="74"/>
      <c r="D1519" s="74"/>
      <c r="E1519" s="74"/>
      <c r="F1519" s="74"/>
      <c r="G1519" s="74"/>
    </row>
    <row r="1520" spans="1:7" s="71" customFormat="1" x14ac:dyDescent="0.2">
      <c r="A1520" s="74"/>
      <c r="B1520" s="74"/>
      <c r="C1520" s="74"/>
      <c r="D1520" s="74"/>
      <c r="E1520" s="74"/>
      <c r="F1520" s="74"/>
      <c r="G1520" s="74"/>
    </row>
    <row r="1521" spans="1:7" s="71" customFormat="1" x14ac:dyDescent="0.2">
      <c r="A1521" s="74"/>
      <c r="B1521" s="74"/>
      <c r="C1521" s="74"/>
      <c r="D1521" s="74"/>
      <c r="E1521" s="74"/>
      <c r="F1521" s="74"/>
      <c r="G1521" s="74"/>
    </row>
    <row r="1522" spans="1:7" s="71" customFormat="1" x14ac:dyDescent="0.2">
      <c r="A1522" s="74"/>
      <c r="B1522" s="74"/>
      <c r="C1522" s="74"/>
      <c r="D1522" s="74"/>
      <c r="E1522" s="74"/>
      <c r="F1522" s="74"/>
      <c r="G1522" s="74"/>
    </row>
    <row r="1523" spans="1:7" s="71" customFormat="1" x14ac:dyDescent="0.2">
      <c r="A1523" s="74"/>
      <c r="B1523" s="74"/>
      <c r="C1523" s="74"/>
      <c r="D1523" s="74"/>
      <c r="E1523" s="74"/>
      <c r="F1523" s="74"/>
      <c r="G1523" s="74"/>
    </row>
    <row r="1524" spans="1:7" s="71" customFormat="1" x14ac:dyDescent="0.2">
      <c r="A1524" s="74"/>
      <c r="B1524" s="74"/>
      <c r="C1524" s="74"/>
      <c r="D1524" s="74"/>
      <c r="E1524" s="74"/>
      <c r="F1524" s="74"/>
      <c r="G1524" s="74"/>
    </row>
    <row r="1525" spans="1:7" s="71" customFormat="1" x14ac:dyDescent="0.2">
      <c r="A1525" s="74"/>
      <c r="B1525" s="74"/>
      <c r="C1525" s="74"/>
      <c r="D1525" s="74"/>
      <c r="E1525" s="74"/>
      <c r="F1525" s="74"/>
      <c r="G1525" s="74"/>
    </row>
    <row r="1526" spans="1:7" s="71" customFormat="1" x14ac:dyDescent="0.2">
      <c r="A1526" s="74"/>
      <c r="B1526" s="74"/>
      <c r="C1526" s="74"/>
      <c r="D1526" s="74"/>
      <c r="E1526" s="74"/>
      <c r="F1526" s="74"/>
      <c r="G1526" s="74"/>
    </row>
    <row r="1527" spans="1:7" s="71" customFormat="1" x14ac:dyDescent="0.2">
      <c r="A1527" s="74"/>
      <c r="B1527" s="74"/>
      <c r="C1527" s="74"/>
      <c r="D1527" s="74"/>
      <c r="E1527" s="74"/>
      <c r="F1527" s="74"/>
      <c r="G1527" s="74"/>
    </row>
    <row r="1528" spans="1:7" s="71" customFormat="1" x14ac:dyDescent="0.2">
      <c r="A1528" s="74"/>
      <c r="B1528" s="74"/>
      <c r="C1528" s="74"/>
      <c r="D1528" s="74"/>
      <c r="E1528" s="74"/>
      <c r="F1528" s="74"/>
      <c r="G1528" s="74"/>
    </row>
    <row r="1529" spans="1:7" s="71" customFormat="1" x14ac:dyDescent="0.2">
      <c r="A1529" s="74"/>
      <c r="B1529" s="74"/>
      <c r="C1529" s="74"/>
      <c r="D1529" s="74"/>
      <c r="E1529" s="74"/>
      <c r="F1529" s="74"/>
      <c r="G1529" s="74"/>
    </row>
    <row r="1530" spans="1:7" s="71" customFormat="1" x14ac:dyDescent="0.2">
      <c r="A1530" s="74"/>
      <c r="B1530" s="74"/>
      <c r="C1530" s="74"/>
      <c r="D1530" s="74"/>
      <c r="E1530" s="74"/>
      <c r="F1530" s="74"/>
      <c r="G1530" s="74"/>
    </row>
    <row r="1531" spans="1:7" s="71" customFormat="1" x14ac:dyDescent="0.2">
      <c r="A1531" s="74"/>
      <c r="B1531" s="74"/>
      <c r="C1531" s="74"/>
      <c r="D1531" s="74"/>
      <c r="E1531" s="74"/>
      <c r="F1531" s="74"/>
      <c r="G1531" s="74"/>
    </row>
    <row r="1532" spans="1:7" s="71" customFormat="1" x14ac:dyDescent="0.2">
      <c r="A1532" s="74"/>
      <c r="B1532" s="74"/>
      <c r="C1532" s="74"/>
      <c r="D1532" s="74"/>
      <c r="E1532" s="74"/>
      <c r="F1532" s="74"/>
      <c r="G1532" s="74"/>
    </row>
    <row r="1533" spans="1:7" s="71" customFormat="1" x14ac:dyDescent="0.2">
      <c r="A1533" s="74"/>
      <c r="B1533" s="74"/>
      <c r="C1533" s="74"/>
      <c r="D1533" s="74"/>
      <c r="E1533" s="74"/>
      <c r="F1533" s="74"/>
      <c r="G1533" s="74"/>
    </row>
    <row r="1534" spans="1:7" s="71" customFormat="1" x14ac:dyDescent="0.2">
      <c r="A1534" s="74"/>
      <c r="B1534" s="74"/>
      <c r="C1534" s="74"/>
      <c r="D1534" s="74"/>
      <c r="E1534" s="74"/>
      <c r="F1534" s="74"/>
      <c r="G1534" s="74"/>
    </row>
    <row r="1535" spans="1:7" s="71" customFormat="1" x14ac:dyDescent="0.2">
      <c r="A1535" s="74"/>
      <c r="B1535" s="74"/>
      <c r="C1535" s="74"/>
      <c r="D1535" s="74"/>
      <c r="E1535" s="74"/>
      <c r="F1535" s="74"/>
      <c r="G1535" s="74"/>
    </row>
    <row r="1536" spans="1:7" s="71" customFormat="1" x14ac:dyDescent="0.2">
      <c r="A1536" s="74"/>
      <c r="B1536" s="74"/>
      <c r="C1536" s="74"/>
      <c r="D1536" s="74"/>
      <c r="E1536" s="74"/>
      <c r="F1536" s="74"/>
      <c r="G1536" s="74"/>
    </row>
    <row r="1537" spans="1:7" s="71" customFormat="1" x14ac:dyDescent="0.2">
      <c r="A1537" s="74"/>
      <c r="B1537" s="74"/>
      <c r="C1537" s="74"/>
      <c r="D1537" s="74"/>
      <c r="E1537" s="74"/>
      <c r="F1537" s="74"/>
      <c r="G1537" s="74"/>
    </row>
    <row r="1538" spans="1:7" s="71" customFormat="1" x14ac:dyDescent="0.2">
      <c r="A1538" s="74"/>
      <c r="B1538" s="74"/>
      <c r="C1538" s="74"/>
      <c r="D1538" s="74"/>
      <c r="E1538" s="74"/>
      <c r="F1538" s="74"/>
      <c r="G1538" s="74"/>
    </row>
    <row r="1539" spans="1:7" s="71" customFormat="1" x14ac:dyDescent="0.2">
      <c r="A1539" s="74"/>
      <c r="B1539" s="74"/>
      <c r="C1539" s="74"/>
      <c r="D1539" s="74"/>
      <c r="E1539" s="74"/>
      <c r="F1539" s="74"/>
      <c r="G1539" s="74"/>
    </row>
    <row r="1540" spans="1:7" s="71" customFormat="1" x14ac:dyDescent="0.2">
      <c r="A1540" s="74"/>
      <c r="B1540" s="74"/>
      <c r="C1540" s="74"/>
      <c r="D1540" s="74"/>
      <c r="E1540" s="74"/>
      <c r="F1540" s="74"/>
      <c r="G1540" s="74"/>
    </row>
    <row r="1541" spans="1:7" s="71" customFormat="1" x14ac:dyDescent="0.2">
      <c r="A1541" s="74"/>
      <c r="B1541" s="74"/>
      <c r="C1541" s="74"/>
      <c r="D1541" s="74"/>
      <c r="E1541" s="74"/>
      <c r="F1541" s="74"/>
      <c r="G1541" s="74"/>
    </row>
    <row r="1542" spans="1:7" s="71" customFormat="1" x14ac:dyDescent="0.2">
      <c r="A1542" s="74"/>
      <c r="B1542" s="74"/>
      <c r="C1542" s="74"/>
      <c r="D1542" s="74"/>
      <c r="E1542" s="74"/>
      <c r="F1542" s="74"/>
      <c r="G1542" s="74"/>
    </row>
    <row r="1543" spans="1:7" s="71" customFormat="1" x14ac:dyDescent="0.2">
      <c r="A1543" s="74"/>
      <c r="B1543" s="74"/>
      <c r="C1543" s="74"/>
      <c r="D1543" s="74"/>
      <c r="E1543" s="74"/>
      <c r="F1543" s="74"/>
      <c r="G1543" s="74"/>
    </row>
    <row r="1544" spans="1:7" s="71" customFormat="1" x14ac:dyDescent="0.2">
      <c r="A1544" s="74"/>
      <c r="B1544" s="74"/>
      <c r="C1544" s="74"/>
      <c r="D1544" s="74"/>
      <c r="E1544" s="74"/>
      <c r="F1544" s="74"/>
      <c r="G1544" s="74"/>
    </row>
    <row r="1545" spans="1:7" s="71" customFormat="1" x14ac:dyDescent="0.2">
      <c r="A1545" s="74"/>
      <c r="B1545" s="74"/>
      <c r="C1545" s="74"/>
      <c r="D1545" s="74"/>
      <c r="E1545" s="74"/>
      <c r="F1545" s="74"/>
      <c r="G1545" s="74"/>
    </row>
    <row r="1546" spans="1:7" s="71" customFormat="1" x14ac:dyDescent="0.2">
      <c r="A1546" s="74"/>
      <c r="B1546" s="74"/>
      <c r="C1546" s="74"/>
      <c r="D1546" s="74"/>
      <c r="E1546" s="74"/>
      <c r="F1546" s="74"/>
      <c r="G1546" s="74"/>
    </row>
    <row r="1547" spans="1:7" s="71" customFormat="1" x14ac:dyDescent="0.2">
      <c r="A1547" s="74"/>
      <c r="B1547" s="74"/>
      <c r="C1547" s="74"/>
      <c r="D1547" s="74"/>
      <c r="E1547" s="74"/>
      <c r="F1547" s="74"/>
      <c r="G1547" s="74"/>
    </row>
    <row r="1548" spans="1:7" s="71" customFormat="1" x14ac:dyDescent="0.2">
      <c r="A1548" s="74"/>
      <c r="B1548" s="74"/>
      <c r="C1548" s="74"/>
      <c r="D1548" s="74"/>
      <c r="E1548" s="74"/>
      <c r="F1548" s="74"/>
      <c r="G1548" s="74"/>
    </row>
    <row r="1549" spans="1:7" s="71" customFormat="1" x14ac:dyDescent="0.2">
      <c r="A1549" s="74"/>
      <c r="B1549" s="74"/>
      <c r="C1549" s="74"/>
      <c r="D1549" s="74"/>
      <c r="E1549" s="74"/>
      <c r="F1549" s="74"/>
      <c r="G1549" s="74"/>
    </row>
    <row r="1550" spans="1:7" s="71" customFormat="1" x14ac:dyDescent="0.2">
      <c r="A1550" s="74"/>
      <c r="B1550" s="74"/>
      <c r="C1550" s="74"/>
      <c r="D1550" s="74"/>
      <c r="E1550" s="74"/>
      <c r="F1550" s="74"/>
      <c r="G1550" s="74"/>
    </row>
    <row r="1551" spans="1:7" s="71" customFormat="1" x14ac:dyDescent="0.2">
      <c r="A1551" s="74"/>
      <c r="B1551" s="74"/>
      <c r="C1551" s="74"/>
      <c r="D1551" s="74"/>
      <c r="E1551" s="74"/>
      <c r="F1551" s="74"/>
      <c r="G1551" s="74"/>
    </row>
    <row r="1552" spans="1:7" s="71" customFormat="1" x14ac:dyDescent="0.2">
      <c r="A1552" s="74"/>
      <c r="B1552" s="74"/>
      <c r="C1552" s="74"/>
      <c r="D1552" s="74"/>
      <c r="E1552" s="74"/>
      <c r="F1552" s="74"/>
      <c r="G1552" s="74"/>
    </row>
    <row r="1553" spans="1:7" s="71" customFormat="1" x14ac:dyDescent="0.2">
      <c r="A1553" s="74"/>
      <c r="B1553" s="74"/>
      <c r="C1553" s="74"/>
      <c r="D1553" s="74"/>
      <c r="E1553" s="74"/>
      <c r="F1553" s="74"/>
      <c r="G1553" s="74"/>
    </row>
    <row r="1554" spans="1:7" s="71" customFormat="1" x14ac:dyDescent="0.2">
      <c r="A1554" s="74"/>
      <c r="B1554" s="74"/>
      <c r="C1554" s="74"/>
      <c r="D1554" s="74"/>
      <c r="E1554" s="74"/>
      <c r="F1554" s="74"/>
      <c r="G1554" s="74"/>
    </row>
    <row r="1555" spans="1:7" s="71" customFormat="1" x14ac:dyDescent="0.2">
      <c r="A1555" s="74"/>
      <c r="B1555" s="74"/>
      <c r="C1555" s="74"/>
      <c r="D1555" s="74"/>
      <c r="E1555" s="74"/>
      <c r="F1555" s="74"/>
      <c r="G1555" s="74"/>
    </row>
    <row r="1556" spans="1:7" s="71" customFormat="1" x14ac:dyDescent="0.2">
      <c r="A1556" s="74"/>
      <c r="B1556" s="74"/>
      <c r="C1556" s="74"/>
      <c r="D1556" s="74"/>
      <c r="E1556" s="74"/>
      <c r="F1556" s="74"/>
      <c r="G1556" s="74"/>
    </row>
    <row r="1557" spans="1:7" s="71" customFormat="1" x14ac:dyDescent="0.2">
      <c r="A1557" s="74"/>
      <c r="B1557" s="74"/>
      <c r="C1557" s="74"/>
      <c r="D1557" s="74"/>
      <c r="E1557" s="74"/>
      <c r="F1557" s="74"/>
      <c r="G1557" s="74"/>
    </row>
    <row r="1558" spans="1:7" s="71" customFormat="1" x14ac:dyDescent="0.2">
      <c r="A1558" s="74"/>
      <c r="B1558" s="74"/>
      <c r="C1558" s="74"/>
      <c r="D1558" s="74"/>
      <c r="E1558" s="74"/>
      <c r="F1558" s="74"/>
      <c r="G1558" s="74"/>
    </row>
    <row r="1559" spans="1:7" s="71" customFormat="1" x14ac:dyDescent="0.2">
      <c r="A1559" s="74"/>
      <c r="B1559" s="74"/>
      <c r="C1559" s="74"/>
      <c r="D1559" s="74"/>
      <c r="E1559" s="74"/>
      <c r="F1559" s="74"/>
      <c r="G1559" s="74"/>
    </row>
    <row r="1560" spans="1:7" s="71" customFormat="1" x14ac:dyDescent="0.2">
      <c r="A1560" s="74"/>
      <c r="B1560" s="74"/>
      <c r="C1560" s="74"/>
      <c r="D1560" s="74"/>
      <c r="E1560" s="74"/>
      <c r="F1560" s="74"/>
      <c r="G1560" s="74"/>
    </row>
    <row r="1561" spans="1:7" s="71" customFormat="1" x14ac:dyDescent="0.2">
      <c r="A1561" s="74"/>
      <c r="B1561" s="74"/>
      <c r="C1561" s="74"/>
      <c r="D1561" s="74"/>
      <c r="E1561" s="74"/>
      <c r="F1561" s="74"/>
      <c r="G1561" s="74"/>
    </row>
    <row r="1562" spans="1:7" s="71" customFormat="1" x14ac:dyDescent="0.2">
      <c r="A1562" s="74"/>
      <c r="B1562" s="74"/>
      <c r="C1562" s="74"/>
      <c r="D1562" s="74"/>
      <c r="E1562" s="74"/>
      <c r="F1562" s="74"/>
      <c r="G1562" s="74"/>
    </row>
    <row r="1563" spans="1:7" s="71" customFormat="1" x14ac:dyDescent="0.2">
      <c r="A1563" s="74"/>
      <c r="B1563" s="74"/>
      <c r="C1563" s="74"/>
      <c r="D1563" s="74"/>
      <c r="E1563" s="74"/>
      <c r="F1563" s="74"/>
      <c r="G1563" s="74"/>
    </row>
    <row r="1564" spans="1:7" s="71" customFormat="1" x14ac:dyDescent="0.2">
      <c r="A1564" s="74"/>
      <c r="B1564" s="74"/>
      <c r="C1564" s="74"/>
      <c r="D1564" s="74"/>
      <c r="E1564" s="74"/>
      <c r="F1564" s="74"/>
      <c r="G1564" s="74"/>
    </row>
    <row r="1565" spans="1:7" s="71" customFormat="1" x14ac:dyDescent="0.2">
      <c r="A1565" s="74"/>
      <c r="B1565" s="74"/>
      <c r="C1565" s="74"/>
      <c r="D1565" s="74"/>
      <c r="E1565" s="74"/>
      <c r="F1565" s="74"/>
      <c r="G1565" s="74"/>
    </row>
    <row r="1566" spans="1:7" s="71" customFormat="1" x14ac:dyDescent="0.2">
      <c r="A1566" s="74"/>
      <c r="B1566" s="74"/>
      <c r="C1566" s="74"/>
      <c r="D1566" s="74"/>
      <c r="E1566" s="74"/>
      <c r="F1566" s="74"/>
      <c r="G1566" s="74"/>
    </row>
    <row r="1567" spans="1:7" s="71" customFormat="1" x14ac:dyDescent="0.2">
      <c r="A1567" s="74"/>
      <c r="B1567" s="74"/>
      <c r="C1567" s="74"/>
      <c r="D1567" s="74"/>
      <c r="E1567" s="74"/>
      <c r="F1567" s="74"/>
      <c r="G1567" s="74"/>
    </row>
    <row r="1568" spans="1:7" s="71" customFormat="1" x14ac:dyDescent="0.2">
      <c r="A1568" s="74"/>
      <c r="B1568" s="74"/>
      <c r="C1568" s="74"/>
      <c r="D1568" s="74"/>
      <c r="E1568" s="74"/>
      <c r="F1568" s="74"/>
      <c r="G1568" s="74"/>
    </row>
    <row r="1569" spans="1:7" s="71" customFormat="1" x14ac:dyDescent="0.2">
      <c r="A1569" s="74"/>
      <c r="B1569" s="74"/>
      <c r="C1569" s="74"/>
      <c r="D1569" s="74"/>
      <c r="E1569" s="74"/>
      <c r="F1569" s="74"/>
      <c r="G1569" s="74"/>
    </row>
    <row r="1570" spans="1:7" s="71" customFormat="1" x14ac:dyDescent="0.2">
      <c r="A1570" s="74"/>
      <c r="B1570" s="74"/>
      <c r="C1570" s="74"/>
      <c r="D1570" s="74"/>
      <c r="E1570" s="74"/>
      <c r="F1570" s="74"/>
      <c r="G1570" s="74"/>
    </row>
    <row r="1571" spans="1:7" s="71" customFormat="1" x14ac:dyDescent="0.2">
      <c r="A1571" s="74"/>
      <c r="B1571" s="74"/>
      <c r="C1571" s="74"/>
      <c r="D1571" s="74"/>
      <c r="E1571" s="74"/>
      <c r="F1571" s="74"/>
      <c r="G1571" s="74"/>
    </row>
    <row r="1572" spans="1:7" s="71" customFormat="1" x14ac:dyDescent="0.2">
      <c r="A1572" s="74"/>
      <c r="B1572" s="74"/>
      <c r="C1572" s="74"/>
      <c r="D1572" s="74"/>
      <c r="E1572" s="74"/>
      <c r="F1572" s="74"/>
      <c r="G1572" s="74"/>
    </row>
    <row r="1573" spans="1:7" s="71" customFormat="1" x14ac:dyDescent="0.2">
      <c r="A1573" s="74"/>
      <c r="B1573" s="74"/>
      <c r="C1573" s="74"/>
      <c r="D1573" s="74"/>
      <c r="E1573" s="74"/>
      <c r="F1573" s="74"/>
      <c r="G1573" s="74"/>
    </row>
    <row r="1574" spans="1:7" s="71" customFormat="1" x14ac:dyDescent="0.2">
      <c r="A1574" s="74"/>
      <c r="B1574" s="74"/>
      <c r="C1574" s="74"/>
      <c r="D1574" s="74"/>
      <c r="E1574" s="74"/>
      <c r="F1574" s="74"/>
      <c r="G1574" s="74"/>
    </row>
    <row r="1575" spans="1:7" s="71" customFormat="1" x14ac:dyDescent="0.2">
      <c r="A1575" s="74"/>
      <c r="B1575" s="74"/>
      <c r="C1575" s="74"/>
      <c r="D1575" s="74"/>
      <c r="E1575" s="74"/>
      <c r="F1575" s="74"/>
      <c r="G1575" s="74"/>
    </row>
    <row r="1576" spans="1:7" s="71" customFormat="1" x14ac:dyDescent="0.2">
      <c r="A1576" s="74"/>
      <c r="B1576" s="74"/>
      <c r="C1576" s="74"/>
      <c r="D1576" s="74"/>
      <c r="E1576" s="74"/>
      <c r="F1576" s="74"/>
      <c r="G1576" s="74"/>
    </row>
    <row r="1577" spans="1:7" s="71" customFormat="1" x14ac:dyDescent="0.2">
      <c r="A1577" s="74"/>
      <c r="B1577" s="74"/>
      <c r="C1577" s="74"/>
      <c r="D1577" s="74"/>
      <c r="E1577" s="74"/>
      <c r="F1577" s="74"/>
      <c r="G1577" s="74"/>
    </row>
    <row r="1578" spans="1:7" s="71" customFormat="1" x14ac:dyDescent="0.2">
      <c r="A1578" s="74"/>
      <c r="B1578" s="74"/>
      <c r="C1578" s="74"/>
      <c r="D1578" s="74"/>
      <c r="E1578" s="74"/>
      <c r="F1578" s="74"/>
      <c r="G1578" s="74"/>
    </row>
    <row r="1579" spans="1:7" s="71" customFormat="1" x14ac:dyDescent="0.2">
      <c r="A1579" s="74"/>
      <c r="B1579" s="74"/>
      <c r="C1579" s="74"/>
      <c r="D1579" s="74"/>
      <c r="E1579" s="74"/>
      <c r="F1579" s="74"/>
      <c r="G1579" s="74"/>
    </row>
    <row r="1580" spans="1:7" s="71" customFormat="1" x14ac:dyDescent="0.2">
      <c r="A1580" s="74"/>
      <c r="B1580" s="74"/>
      <c r="C1580" s="74"/>
      <c r="D1580" s="74"/>
      <c r="E1580" s="74"/>
      <c r="F1580" s="74"/>
      <c r="G1580" s="74"/>
    </row>
    <row r="1581" spans="1:7" s="71" customFormat="1" x14ac:dyDescent="0.2">
      <c r="A1581" s="74"/>
      <c r="B1581" s="74"/>
      <c r="C1581" s="74"/>
      <c r="D1581" s="74"/>
      <c r="E1581" s="74"/>
      <c r="F1581" s="74"/>
      <c r="G1581" s="74"/>
    </row>
    <row r="1582" spans="1:7" s="71" customFormat="1" x14ac:dyDescent="0.2">
      <c r="A1582" s="74"/>
      <c r="B1582" s="74"/>
      <c r="C1582" s="74"/>
      <c r="D1582" s="74"/>
      <c r="E1582" s="74"/>
      <c r="F1582" s="74"/>
      <c r="G1582" s="74"/>
    </row>
    <row r="1583" spans="1:7" s="71" customFormat="1" x14ac:dyDescent="0.2">
      <c r="A1583" s="74"/>
      <c r="B1583" s="74"/>
      <c r="C1583" s="74"/>
      <c r="D1583" s="74"/>
      <c r="E1583" s="74"/>
      <c r="F1583" s="74"/>
      <c r="G1583" s="74"/>
    </row>
    <row r="1584" spans="1:7" s="71" customFormat="1" x14ac:dyDescent="0.2">
      <c r="A1584" s="74"/>
      <c r="B1584" s="74"/>
      <c r="C1584" s="74"/>
      <c r="D1584" s="74"/>
      <c r="E1584" s="74"/>
      <c r="F1584" s="74"/>
      <c r="G1584" s="74"/>
    </row>
    <row r="1585" spans="1:7" s="71" customFormat="1" x14ac:dyDescent="0.2">
      <c r="A1585" s="74"/>
      <c r="B1585" s="74"/>
      <c r="C1585" s="74"/>
      <c r="D1585" s="74"/>
      <c r="E1585" s="74"/>
      <c r="F1585" s="74"/>
      <c r="G1585" s="74"/>
    </row>
    <row r="1586" spans="1:7" s="71" customFormat="1" x14ac:dyDescent="0.2">
      <c r="A1586" s="74"/>
      <c r="B1586" s="74"/>
      <c r="C1586" s="74"/>
      <c r="D1586" s="74"/>
      <c r="E1586" s="74"/>
      <c r="F1586" s="74"/>
      <c r="G1586" s="74"/>
    </row>
    <row r="1587" spans="1:7" s="71" customFormat="1" x14ac:dyDescent="0.2">
      <c r="A1587" s="74"/>
      <c r="B1587" s="74"/>
      <c r="C1587" s="74"/>
      <c r="D1587" s="74"/>
      <c r="E1587" s="74"/>
      <c r="F1587" s="74"/>
      <c r="G1587" s="74"/>
    </row>
    <row r="1588" spans="1:7" s="71" customFormat="1" x14ac:dyDescent="0.2">
      <c r="A1588" s="74"/>
      <c r="B1588" s="74"/>
      <c r="C1588" s="74"/>
      <c r="D1588" s="74"/>
      <c r="E1588" s="74"/>
      <c r="F1588" s="74"/>
      <c r="G1588" s="74"/>
    </row>
    <row r="1589" spans="1:7" s="71" customFormat="1" x14ac:dyDescent="0.2">
      <c r="A1589" s="74"/>
      <c r="B1589" s="74"/>
      <c r="C1589" s="74"/>
      <c r="D1589" s="74"/>
      <c r="E1589" s="74"/>
      <c r="F1589" s="74"/>
      <c r="G1589" s="74"/>
    </row>
    <row r="1590" spans="1:7" s="71" customFormat="1" x14ac:dyDescent="0.2">
      <c r="A1590" s="74"/>
      <c r="B1590" s="74"/>
      <c r="C1590" s="74"/>
      <c r="D1590" s="74"/>
      <c r="E1590" s="74"/>
      <c r="F1590" s="74"/>
      <c r="G1590" s="74"/>
    </row>
    <row r="1591" spans="1:7" s="71" customFormat="1" x14ac:dyDescent="0.2">
      <c r="A1591" s="74"/>
      <c r="B1591" s="74"/>
      <c r="C1591" s="74"/>
      <c r="D1591" s="74"/>
      <c r="E1591" s="74"/>
      <c r="F1591" s="74"/>
      <c r="G1591" s="74"/>
    </row>
    <row r="1592" spans="1:7" s="71" customFormat="1" x14ac:dyDescent="0.2">
      <c r="A1592" s="74"/>
      <c r="B1592" s="74"/>
      <c r="C1592" s="74"/>
      <c r="D1592" s="74"/>
      <c r="E1592" s="74"/>
      <c r="F1592" s="74"/>
      <c r="G1592" s="74"/>
    </row>
    <row r="1593" spans="1:7" s="71" customFormat="1" x14ac:dyDescent="0.2">
      <c r="A1593" s="74"/>
      <c r="B1593" s="74"/>
      <c r="C1593" s="74"/>
      <c r="D1593" s="74"/>
      <c r="E1593" s="74"/>
      <c r="F1593" s="74"/>
      <c r="G1593" s="74"/>
    </row>
    <row r="1594" spans="1:7" s="71" customFormat="1" x14ac:dyDescent="0.2">
      <c r="A1594" s="74"/>
      <c r="B1594" s="74"/>
      <c r="C1594" s="74"/>
      <c r="D1594" s="74"/>
      <c r="E1594" s="74"/>
      <c r="F1594" s="74"/>
      <c r="G1594" s="74"/>
    </row>
    <row r="1595" spans="1:7" s="71" customFormat="1" x14ac:dyDescent="0.2">
      <c r="A1595" s="74"/>
      <c r="B1595" s="74"/>
      <c r="C1595" s="74"/>
      <c r="D1595" s="74"/>
      <c r="E1595" s="74"/>
      <c r="F1595" s="74"/>
      <c r="G1595" s="74"/>
    </row>
    <row r="1596" spans="1:7" s="71" customFormat="1" x14ac:dyDescent="0.2">
      <c r="A1596" s="74"/>
      <c r="B1596" s="74"/>
      <c r="C1596" s="74"/>
      <c r="D1596" s="74"/>
      <c r="E1596" s="74"/>
      <c r="F1596" s="74"/>
      <c r="G1596" s="74"/>
    </row>
    <row r="1597" spans="1:7" s="71" customFormat="1" x14ac:dyDescent="0.2">
      <c r="A1597" s="74"/>
      <c r="B1597" s="74"/>
      <c r="C1597" s="74"/>
      <c r="D1597" s="74"/>
      <c r="E1597" s="74"/>
      <c r="F1597" s="74"/>
      <c r="G1597" s="74"/>
    </row>
    <row r="1598" spans="1:7" s="71" customFormat="1" x14ac:dyDescent="0.2">
      <c r="A1598" s="74"/>
      <c r="B1598" s="74"/>
      <c r="C1598" s="74"/>
      <c r="D1598" s="74"/>
      <c r="E1598" s="74"/>
      <c r="F1598" s="74"/>
      <c r="G1598" s="74"/>
    </row>
    <row r="1599" spans="1:7" s="71" customFormat="1" x14ac:dyDescent="0.2">
      <c r="A1599" s="74"/>
      <c r="B1599" s="74"/>
      <c r="C1599" s="74"/>
      <c r="D1599" s="74"/>
      <c r="E1599" s="74"/>
      <c r="F1599" s="74"/>
      <c r="G1599" s="74"/>
    </row>
    <row r="1600" spans="1:7" s="71" customFormat="1" x14ac:dyDescent="0.2">
      <c r="A1600" s="74"/>
      <c r="B1600" s="74"/>
      <c r="C1600" s="74"/>
      <c r="D1600" s="74"/>
      <c r="E1600" s="74"/>
      <c r="F1600" s="74"/>
      <c r="G1600" s="74"/>
    </row>
    <row r="1601" spans="1:7" s="71" customFormat="1" x14ac:dyDescent="0.2">
      <c r="A1601" s="74"/>
      <c r="B1601" s="74"/>
      <c r="C1601" s="74"/>
      <c r="D1601" s="74"/>
      <c r="E1601" s="74"/>
      <c r="F1601" s="74"/>
      <c r="G1601" s="74"/>
    </row>
    <row r="1602" spans="1:7" s="71" customFormat="1" x14ac:dyDescent="0.2">
      <c r="A1602" s="74"/>
      <c r="B1602" s="74"/>
      <c r="C1602" s="74"/>
      <c r="D1602" s="74"/>
      <c r="E1602" s="74"/>
      <c r="F1602" s="74"/>
      <c r="G1602" s="74"/>
    </row>
    <row r="1603" spans="1:7" s="71" customFormat="1" x14ac:dyDescent="0.2">
      <c r="A1603" s="74"/>
      <c r="B1603" s="74"/>
      <c r="C1603" s="74"/>
      <c r="D1603" s="74"/>
      <c r="E1603" s="74"/>
      <c r="F1603" s="74"/>
      <c r="G1603" s="74"/>
    </row>
    <row r="1604" spans="1:7" s="71" customFormat="1" x14ac:dyDescent="0.2">
      <c r="A1604" s="74"/>
      <c r="B1604" s="74"/>
      <c r="C1604" s="74"/>
      <c r="D1604" s="74"/>
      <c r="E1604" s="74"/>
      <c r="F1604" s="74"/>
      <c r="G1604" s="74"/>
    </row>
    <row r="1605" spans="1:7" s="71" customFormat="1" x14ac:dyDescent="0.2">
      <c r="A1605" s="74"/>
      <c r="B1605" s="74"/>
      <c r="C1605" s="74"/>
      <c r="D1605" s="74"/>
      <c r="E1605" s="74"/>
      <c r="F1605" s="74"/>
      <c r="G1605" s="74"/>
    </row>
    <row r="1606" spans="1:7" s="71" customFormat="1" x14ac:dyDescent="0.2">
      <c r="A1606" s="74"/>
      <c r="B1606" s="74"/>
      <c r="C1606" s="74"/>
      <c r="D1606" s="74"/>
      <c r="E1606" s="74"/>
      <c r="F1606" s="74"/>
      <c r="G1606" s="74"/>
    </row>
    <row r="1607" spans="1:7" s="71" customFormat="1" x14ac:dyDescent="0.2">
      <c r="A1607" s="74"/>
      <c r="B1607" s="74"/>
      <c r="C1607" s="74"/>
      <c r="D1607" s="74"/>
      <c r="E1607" s="74"/>
      <c r="F1607" s="74"/>
      <c r="G1607" s="74"/>
    </row>
    <row r="1608" spans="1:7" s="71" customFormat="1" x14ac:dyDescent="0.2">
      <c r="A1608" s="74"/>
      <c r="B1608" s="74"/>
      <c r="C1608" s="74"/>
      <c r="D1608" s="74"/>
      <c r="E1608" s="74"/>
      <c r="F1608" s="74"/>
      <c r="G1608" s="74"/>
    </row>
    <row r="1609" spans="1:7" s="71" customFormat="1" x14ac:dyDescent="0.2">
      <c r="A1609" s="74"/>
      <c r="B1609" s="74"/>
      <c r="C1609" s="74"/>
      <c r="D1609" s="74"/>
      <c r="E1609" s="74"/>
      <c r="F1609" s="74"/>
      <c r="G1609" s="74"/>
    </row>
    <row r="1610" spans="1:7" s="71" customFormat="1" x14ac:dyDescent="0.2">
      <c r="A1610" s="74"/>
      <c r="B1610" s="74"/>
      <c r="C1610" s="74"/>
      <c r="D1610" s="74"/>
      <c r="E1610" s="74"/>
      <c r="F1610" s="74"/>
      <c r="G1610" s="74"/>
    </row>
    <row r="1611" spans="1:7" s="71" customFormat="1" x14ac:dyDescent="0.2">
      <c r="A1611" s="74"/>
      <c r="B1611" s="74"/>
      <c r="C1611" s="74"/>
      <c r="D1611" s="74"/>
      <c r="E1611" s="74"/>
      <c r="F1611" s="74"/>
      <c r="G1611" s="74"/>
    </row>
    <row r="1612" spans="1:7" s="71" customFormat="1" x14ac:dyDescent="0.2">
      <c r="A1612" s="74"/>
      <c r="B1612" s="74"/>
      <c r="C1612" s="74"/>
      <c r="D1612" s="74"/>
      <c r="E1612" s="74"/>
      <c r="F1612" s="74"/>
      <c r="G1612" s="74"/>
    </row>
    <row r="1613" spans="1:7" s="71" customFormat="1" x14ac:dyDescent="0.2">
      <c r="A1613" s="74"/>
      <c r="B1613" s="74"/>
      <c r="C1613" s="74"/>
      <c r="D1613" s="74"/>
      <c r="E1613" s="74"/>
      <c r="F1613" s="74"/>
      <c r="G1613" s="74"/>
    </row>
    <row r="1614" spans="1:7" s="71" customFormat="1" x14ac:dyDescent="0.2">
      <c r="A1614" s="74"/>
      <c r="B1614" s="74"/>
      <c r="C1614" s="74"/>
      <c r="D1614" s="74"/>
      <c r="E1614" s="74"/>
      <c r="F1614" s="74"/>
      <c r="G1614" s="74"/>
    </row>
    <row r="1615" spans="1:7" s="71" customFormat="1" x14ac:dyDescent="0.2">
      <c r="A1615" s="74"/>
      <c r="B1615" s="74"/>
      <c r="C1615" s="74"/>
      <c r="D1615" s="74"/>
      <c r="E1615" s="74"/>
      <c r="F1615" s="74"/>
      <c r="G1615" s="74"/>
    </row>
    <row r="1616" spans="1:7" s="71" customFormat="1" x14ac:dyDescent="0.2">
      <c r="A1616" s="74"/>
      <c r="B1616" s="74"/>
      <c r="C1616" s="74"/>
      <c r="D1616" s="74"/>
      <c r="E1616" s="74"/>
      <c r="F1616" s="74"/>
      <c r="G1616" s="74"/>
    </row>
    <row r="1617" spans="1:7" s="71" customFormat="1" x14ac:dyDescent="0.2">
      <c r="A1617" s="74"/>
      <c r="B1617" s="74"/>
      <c r="C1617" s="74"/>
      <c r="D1617" s="74"/>
      <c r="E1617" s="74"/>
      <c r="F1617" s="74"/>
      <c r="G1617" s="74"/>
    </row>
    <row r="1618" spans="1:7" s="71" customFormat="1" x14ac:dyDescent="0.2">
      <c r="A1618" s="74"/>
      <c r="B1618" s="74"/>
      <c r="C1618" s="74"/>
      <c r="D1618" s="74"/>
      <c r="E1618" s="74"/>
      <c r="F1618" s="74"/>
      <c r="G1618" s="74"/>
    </row>
    <row r="1619" spans="1:7" s="71" customFormat="1" x14ac:dyDescent="0.2">
      <c r="A1619" s="74"/>
      <c r="B1619" s="74"/>
      <c r="C1619" s="74"/>
      <c r="D1619" s="74"/>
      <c r="E1619" s="74"/>
      <c r="F1619" s="74"/>
      <c r="G1619" s="74"/>
    </row>
    <row r="1620" spans="1:7" s="71" customFormat="1" x14ac:dyDescent="0.2">
      <c r="A1620" s="74"/>
      <c r="B1620" s="74"/>
      <c r="C1620" s="74"/>
      <c r="D1620" s="74"/>
      <c r="E1620" s="74"/>
      <c r="F1620" s="74"/>
      <c r="G1620" s="74"/>
    </row>
    <row r="1621" spans="1:7" s="71" customFormat="1" x14ac:dyDescent="0.2">
      <c r="A1621" s="74"/>
      <c r="B1621" s="74"/>
      <c r="C1621" s="74"/>
      <c r="D1621" s="74"/>
      <c r="E1621" s="74"/>
      <c r="F1621" s="74"/>
      <c r="G1621" s="74"/>
    </row>
    <row r="1622" spans="1:7" s="71" customFormat="1" x14ac:dyDescent="0.2">
      <c r="A1622" s="74"/>
      <c r="B1622" s="74"/>
      <c r="C1622" s="74"/>
      <c r="D1622" s="74"/>
      <c r="E1622" s="74"/>
      <c r="F1622" s="74"/>
      <c r="G1622" s="74"/>
    </row>
    <row r="1623" spans="1:7" s="71" customFormat="1" x14ac:dyDescent="0.2">
      <c r="A1623" s="74"/>
      <c r="B1623" s="74"/>
      <c r="C1623" s="74"/>
      <c r="D1623" s="74"/>
      <c r="E1623" s="74"/>
      <c r="F1623" s="74"/>
      <c r="G1623" s="74"/>
    </row>
    <row r="1624" spans="1:7" s="71" customFormat="1" x14ac:dyDescent="0.2">
      <c r="A1624" s="74"/>
      <c r="B1624" s="74"/>
      <c r="C1624" s="74"/>
      <c r="D1624" s="74"/>
      <c r="E1624" s="74"/>
      <c r="F1624" s="74"/>
      <c r="G1624" s="74"/>
    </row>
    <row r="1625" spans="1:7" s="71" customFormat="1" x14ac:dyDescent="0.2">
      <c r="A1625" s="74"/>
      <c r="B1625" s="74"/>
      <c r="C1625" s="74"/>
      <c r="D1625" s="74"/>
      <c r="E1625" s="74"/>
      <c r="F1625" s="74"/>
      <c r="G1625" s="74"/>
    </row>
    <row r="1626" spans="1:7" s="71" customFormat="1" x14ac:dyDescent="0.2">
      <c r="A1626" s="74"/>
      <c r="B1626" s="74"/>
      <c r="C1626" s="74"/>
      <c r="D1626" s="74"/>
      <c r="E1626" s="74"/>
      <c r="F1626" s="74"/>
      <c r="G1626" s="74"/>
    </row>
    <row r="1627" spans="1:7" s="71" customFormat="1" x14ac:dyDescent="0.2">
      <c r="A1627" s="74"/>
      <c r="B1627" s="74"/>
      <c r="C1627" s="74"/>
      <c r="D1627" s="74"/>
      <c r="E1627" s="74"/>
      <c r="F1627" s="74"/>
      <c r="G1627" s="74"/>
    </row>
    <row r="1628" spans="1:7" s="71" customFormat="1" x14ac:dyDescent="0.2">
      <c r="A1628" s="74"/>
      <c r="B1628" s="74"/>
      <c r="C1628" s="74"/>
      <c r="D1628" s="74"/>
      <c r="E1628" s="74"/>
      <c r="F1628" s="74"/>
      <c r="G1628" s="74"/>
    </row>
    <row r="1629" spans="1:7" s="71" customFormat="1" x14ac:dyDescent="0.2">
      <c r="A1629" s="74"/>
      <c r="B1629" s="74"/>
      <c r="C1629" s="74"/>
      <c r="D1629" s="74"/>
      <c r="E1629" s="74"/>
      <c r="F1629" s="74"/>
      <c r="G1629" s="74"/>
    </row>
    <row r="1630" spans="1:7" s="71" customFormat="1" x14ac:dyDescent="0.2">
      <c r="A1630" s="74"/>
      <c r="B1630" s="74"/>
      <c r="C1630" s="74"/>
      <c r="D1630" s="74"/>
      <c r="E1630" s="74"/>
      <c r="F1630" s="74"/>
      <c r="G1630" s="74"/>
    </row>
    <row r="1631" spans="1:7" s="71" customFormat="1" x14ac:dyDescent="0.2">
      <c r="A1631" s="74"/>
      <c r="B1631" s="74"/>
      <c r="C1631" s="74"/>
      <c r="D1631" s="74"/>
      <c r="E1631" s="74"/>
      <c r="F1631" s="74"/>
      <c r="G1631" s="74"/>
    </row>
    <row r="1632" spans="1:7" s="71" customFormat="1" x14ac:dyDescent="0.2">
      <c r="A1632" s="74"/>
      <c r="B1632" s="74"/>
      <c r="C1632" s="74"/>
      <c r="D1632" s="74"/>
      <c r="E1632" s="74"/>
      <c r="F1632" s="74"/>
      <c r="G1632" s="74"/>
    </row>
    <row r="1633" spans="1:7" s="71" customFormat="1" x14ac:dyDescent="0.2">
      <c r="A1633" s="74"/>
      <c r="B1633" s="74"/>
      <c r="C1633" s="74"/>
      <c r="D1633" s="74"/>
      <c r="E1633" s="74"/>
      <c r="F1633" s="74"/>
      <c r="G1633" s="74"/>
    </row>
    <row r="1634" spans="1:7" s="71" customFormat="1" x14ac:dyDescent="0.2">
      <c r="A1634" s="74"/>
      <c r="B1634" s="74"/>
      <c r="C1634" s="74"/>
      <c r="D1634" s="74"/>
      <c r="E1634" s="74"/>
      <c r="F1634" s="74"/>
      <c r="G1634" s="74"/>
    </row>
    <row r="1635" spans="1:7" s="71" customFormat="1" x14ac:dyDescent="0.2">
      <c r="A1635" s="74"/>
      <c r="B1635" s="74"/>
      <c r="C1635" s="74"/>
      <c r="D1635" s="74"/>
      <c r="E1635" s="74"/>
      <c r="F1635" s="74"/>
      <c r="G1635" s="74"/>
    </row>
    <row r="1636" spans="1:7" s="71" customFormat="1" x14ac:dyDescent="0.2">
      <c r="A1636" s="74"/>
      <c r="B1636" s="74"/>
      <c r="C1636" s="74"/>
      <c r="D1636" s="74"/>
      <c r="E1636" s="74"/>
      <c r="F1636" s="74"/>
      <c r="G1636" s="74"/>
    </row>
    <row r="1637" spans="1:7" s="71" customFormat="1" x14ac:dyDescent="0.2">
      <c r="A1637" s="74"/>
      <c r="B1637" s="74"/>
      <c r="C1637" s="74"/>
      <c r="D1637" s="74"/>
      <c r="E1637" s="74"/>
      <c r="F1637" s="74"/>
      <c r="G1637" s="74"/>
    </row>
    <row r="1638" spans="1:7" s="71" customFormat="1" x14ac:dyDescent="0.2">
      <c r="A1638" s="74"/>
      <c r="B1638" s="74"/>
      <c r="C1638" s="74"/>
      <c r="D1638" s="74"/>
      <c r="E1638" s="74"/>
      <c r="F1638" s="74"/>
      <c r="G1638" s="74"/>
    </row>
    <row r="1639" spans="1:7" s="71" customFormat="1" x14ac:dyDescent="0.2">
      <c r="A1639" s="74"/>
      <c r="B1639" s="74"/>
      <c r="C1639" s="74"/>
      <c r="D1639" s="74"/>
      <c r="E1639" s="74"/>
      <c r="F1639" s="74"/>
      <c r="G1639" s="74"/>
    </row>
    <row r="1640" spans="1:7" s="71" customFormat="1" x14ac:dyDescent="0.2">
      <c r="A1640" s="74"/>
      <c r="B1640" s="74"/>
      <c r="C1640" s="74"/>
      <c r="D1640" s="74"/>
      <c r="E1640" s="74"/>
      <c r="F1640" s="74"/>
      <c r="G1640" s="74"/>
    </row>
    <row r="1641" spans="1:7" s="71" customFormat="1" x14ac:dyDescent="0.2">
      <c r="A1641" s="74"/>
      <c r="B1641" s="74"/>
      <c r="C1641" s="74"/>
      <c r="D1641" s="74"/>
      <c r="E1641" s="74"/>
      <c r="F1641" s="74"/>
      <c r="G1641" s="74"/>
    </row>
    <row r="1642" spans="1:7" s="71" customFormat="1" x14ac:dyDescent="0.2">
      <c r="A1642" s="74"/>
      <c r="B1642" s="74"/>
      <c r="C1642" s="74"/>
      <c r="D1642" s="74"/>
      <c r="E1642" s="74"/>
      <c r="F1642" s="74"/>
      <c r="G1642" s="74"/>
    </row>
    <row r="1643" spans="1:7" s="71" customFormat="1" x14ac:dyDescent="0.2">
      <c r="A1643" s="74"/>
      <c r="B1643" s="74"/>
      <c r="C1643" s="74"/>
      <c r="D1643" s="74"/>
      <c r="E1643" s="74"/>
      <c r="F1643" s="74"/>
      <c r="G1643" s="74"/>
    </row>
    <row r="1644" spans="1:7" s="71" customFormat="1" x14ac:dyDescent="0.2">
      <c r="A1644" s="74"/>
      <c r="B1644" s="74"/>
      <c r="C1644" s="74"/>
      <c r="D1644" s="74"/>
      <c r="E1644" s="74"/>
      <c r="F1644" s="74"/>
      <c r="G1644" s="74"/>
    </row>
    <row r="1645" spans="1:7" s="71" customFormat="1" x14ac:dyDescent="0.2">
      <c r="A1645" s="74"/>
      <c r="B1645" s="74"/>
      <c r="C1645" s="74"/>
      <c r="D1645" s="74"/>
      <c r="E1645" s="74"/>
      <c r="F1645" s="74"/>
      <c r="G1645" s="74"/>
    </row>
    <row r="1646" spans="1:7" s="71" customFormat="1" x14ac:dyDescent="0.2">
      <c r="A1646" s="74"/>
      <c r="B1646" s="74"/>
      <c r="C1646" s="74"/>
      <c r="D1646" s="74"/>
      <c r="E1646" s="74"/>
      <c r="F1646" s="74"/>
      <c r="G1646" s="74"/>
    </row>
    <row r="1647" spans="1:7" s="71" customFormat="1" x14ac:dyDescent="0.2">
      <c r="A1647" s="74"/>
      <c r="B1647" s="74"/>
      <c r="C1647" s="74"/>
      <c r="D1647" s="74"/>
      <c r="E1647" s="74"/>
      <c r="F1647" s="74"/>
      <c r="G1647" s="74"/>
    </row>
    <row r="1648" spans="1:7" s="71" customFormat="1" x14ac:dyDescent="0.2">
      <c r="A1648" s="74"/>
      <c r="B1648" s="74"/>
      <c r="C1648" s="74"/>
      <c r="D1648" s="74"/>
      <c r="E1648" s="74"/>
      <c r="F1648" s="74"/>
      <c r="G1648" s="74"/>
    </row>
    <row r="1649" spans="1:7" s="71" customFormat="1" x14ac:dyDescent="0.2">
      <c r="A1649" s="74"/>
      <c r="B1649" s="74"/>
      <c r="C1649" s="74"/>
      <c r="D1649" s="74"/>
      <c r="E1649" s="74"/>
      <c r="F1649" s="74"/>
      <c r="G1649" s="74"/>
    </row>
    <row r="1650" spans="1:7" s="71" customFormat="1" x14ac:dyDescent="0.2">
      <c r="A1650" s="74"/>
      <c r="B1650" s="74"/>
      <c r="C1650" s="74"/>
      <c r="D1650" s="74"/>
      <c r="E1650" s="74"/>
      <c r="F1650" s="74"/>
      <c r="G1650" s="74"/>
    </row>
    <row r="1651" spans="1:7" s="71" customFormat="1" x14ac:dyDescent="0.2">
      <c r="A1651" s="74"/>
      <c r="B1651" s="74"/>
      <c r="C1651" s="74"/>
      <c r="D1651" s="74"/>
      <c r="E1651" s="74"/>
      <c r="F1651" s="74"/>
      <c r="G1651" s="74"/>
    </row>
    <row r="1652" spans="1:7" s="71" customFormat="1" x14ac:dyDescent="0.2">
      <c r="A1652" s="74"/>
      <c r="B1652" s="74"/>
      <c r="C1652" s="74"/>
      <c r="D1652" s="74"/>
      <c r="E1652" s="74"/>
      <c r="F1652" s="74"/>
      <c r="G1652" s="74"/>
    </row>
    <row r="1653" spans="1:7" s="71" customFormat="1" x14ac:dyDescent="0.2">
      <c r="A1653" s="74"/>
      <c r="B1653" s="74"/>
      <c r="C1653" s="74"/>
      <c r="D1653" s="74"/>
      <c r="E1653" s="74"/>
      <c r="F1653" s="74"/>
      <c r="G1653" s="74"/>
    </row>
    <row r="1654" spans="1:7" s="71" customFormat="1" x14ac:dyDescent="0.2">
      <c r="A1654" s="74"/>
      <c r="B1654" s="74"/>
      <c r="C1654" s="74"/>
      <c r="D1654" s="74"/>
      <c r="E1654" s="74"/>
      <c r="F1654" s="74"/>
      <c r="G1654" s="74"/>
    </row>
    <row r="1655" spans="1:7" s="71" customFormat="1" x14ac:dyDescent="0.2">
      <c r="A1655" s="74"/>
      <c r="B1655" s="74"/>
      <c r="C1655" s="74"/>
      <c r="D1655" s="74"/>
      <c r="E1655" s="74"/>
      <c r="F1655" s="74"/>
      <c r="G1655" s="74"/>
    </row>
    <row r="1656" spans="1:7" s="71" customFormat="1" x14ac:dyDescent="0.2">
      <c r="A1656" s="74"/>
      <c r="B1656" s="74"/>
      <c r="C1656" s="74"/>
      <c r="D1656" s="74"/>
      <c r="E1656" s="74"/>
      <c r="F1656" s="74"/>
      <c r="G1656" s="74"/>
    </row>
    <row r="1657" spans="1:7" s="71" customFormat="1" x14ac:dyDescent="0.2">
      <c r="A1657" s="74"/>
      <c r="B1657" s="74"/>
      <c r="C1657" s="74"/>
      <c r="D1657" s="74"/>
      <c r="E1657" s="74"/>
      <c r="F1657" s="74"/>
      <c r="G1657" s="74"/>
    </row>
    <row r="1658" spans="1:7" s="71" customFormat="1" x14ac:dyDescent="0.2">
      <c r="A1658" s="74"/>
      <c r="B1658" s="74"/>
      <c r="C1658" s="74"/>
      <c r="D1658" s="74"/>
      <c r="E1658" s="74"/>
      <c r="F1658" s="74"/>
      <c r="G1658" s="74"/>
    </row>
    <row r="1659" spans="1:7" s="71" customFormat="1" x14ac:dyDescent="0.2">
      <c r="A1659" s="74"/>
      <c r="B1659" s="74"/>
      <c r="C1659" s="74"/>
      <c r="D1659" s="74"/>
      <c r="E1659" s="74"/>
      <c r="F1659" s="74"/>
      <c r="G1659" s="74"/>
    </row>
    <row r="1660" spans="1:7" s="71" customFormat="1" x14ac:dyDescent="0.2">
      <c r="A1660" s="74"/>
      <c r="B1660" s="74"/>
      <c r="C1660" s="74"/>
      <c r="D1660" s="74"/>
      <c r="E1660" s="74"/>
      <c r="F1660" s="74"/>
      <c r="G1660" s="74"/>
    </row>
    <row r="1661" spans="1:7" s="71" customFormat="1" x14ac:dyDescent="0.2">
      <c r="A1661" s="74"/>
      <c r="B1661" s="74"/>
      <c r="C1661" s="74"/>
      <c r="D1661" s="74"/>
      <c r="E1661" s="74"/>
      <c r="F1661" s="74"/>
      <c r="G1661" s="74"/>
    </row>
    <row r="1662" spans="1:7" s="71" customFormat="1" x14ac:dyDescent="0.2">
      <c r="A1662" s="74"/>
      <c r="B1662" s="74"/>
      <c r="C1662" s="74"/>
      <c r="D1662" s="74"/>
      <c r="E1662" s="74"/>
      <c r="F1662" s="74"/>
      <c r="G1662" s="74"/>
    </row>
    <row r="1663" spans="1:7" s="71" customFormat="1" x14ac:dyDescent="0.2">
      <c r="A1663" s="74"/>
      <c r="B1663" s="74"/>
      <c r="C1663" s="74"/>
      <c r="D1663" s="74"/>
      <c r="E1663" s="74"/>
      <c r="F1663" s="74"/>
      <c r="G1663" s="74"/>
    </row>
    <row r="1664" spans="1:7" s="71" customFormat="1" x14ac:dyDescent="0.2">
      <c r="A1664" s="74"/>
      <c r="B1664" s="74"/>
      <c r="C1664" s="74"/>
      <c r="D1664" s="74"/>
      <c r="E1664" s="74"/>
      <c r="F1664" s="74"/>
      <c r="G1664" s="74"/>
    </row>
    <row r="1665" spans="1:7" s="71" customFormat="1" x14ac:dyDescent="0.2">
      <c r="A1665" s="74"/>
      <c r="B1665" s="74"/>
      <c r="C1665" s="74"/>
      <c r="D1665" s="74"/>
      <c r="E1665" s="74"/>
      <c r="F1665" s="74"/>
      <c r="G1665" s="74"/>
    </row>
    <row r="1666" spans="1:7" s="71" customFormat="1" x14ac:dyDescent="0.2">
      <c r="A1666" s="74"/>
      <c r="B1666" s="74"/>
      <c r="C1666" s="74"/>
      <c r="D1666" s="74"/>
      <c r="E1666" s="74"/>
      <c r="F1666" s="74"/>
      <c r="G1666" s="74"/>
    </row>
    <row r="1667" spans="1:7" s="71" customFormat="1" x14ac:dyDescent="0.2">
      <c r="A1667" s="74"/>
      <c r="B1667" s="74"/>
      <c r="C1667" s="74"/>
      <c r="D1667" s="74"/>
      <c r="E1667" s="74"/>
      <c r="F1667" s="74"/>
      <c r="G1667" s="74"/>
    </row>
    <row r="1668" spans="1:7" s="71" customFormat="1" x14ac:dyDescent="0.2">
      <c r="A1668" s="74"/>
      <c r="B1668" s="74"/>
      <c r="C1668" s="74"/>
      <c r="D1668" s="74"/>
      <c r="E1668" s="74"/>
      <c r="F1668" s="74"/>
      <c r="G1668" s="74"/>
    </row>
    <row r="1669" spans="1:7" s="71" customFormat="1" x14ac:dyDescent="0.2">
      <c r="A1669" s="74"/>
      <c r="B1669" s="74"/>
      <c r="C1669" s="74"/>
      <c r="D1669" s="74"/>
      <c r="E1669" s="74"/>
      <c r="F1669" s="74"/>
      <c r="G1669" s="74"/>
    </row>
    <row r="1670" spans="1:7" s="71" customFormat="1" x14ac:dyDescent="0.2">
      <c r="A1670" s="74"/>
      <c r="B1670" s="74"/>
      <c r="C1670" s="74"/>
      <c r="D1670" s="74"/>
      <c r="E1670" s="74"/>
      <c r="F1670" s="74"/>
      <c r="G1670" s="74"/>
    </row>
    <row r="1671" spans="1:7" s="71" customFormat="1" x14ac:dyDescent="0.2">
      <c r="A1671" s="74"/>
      <c r="B1671" s="74"/>
      <c r="C1671" s="74"/>
      <c r="D1671" s="74"/>
      <c r="E1671" s="74"/>
      <c r="F1671" s="74"/>
      <c r="G1671" s="74"/>
    </row>
    <row r="1672" spans="1:7" s="71" customFormat="1" x14ac:dyDescent="0.2">
      <c r="A1672" s="74"/>
      <c r="B1672" s="74"/>
      <c r="C1672" s="74"/>
      <c r="D1672" s="74"/>
      <c r="E1672" s="74"/>
      <c r="F1672" s="74"/>
      <c r="G1672" s="74"/>
    </row>
    <row r="1673" spans="1:7" s="71" customFormat="1" x14ac:dyDescent="0.2">
      <c r="A1673" s="74"/>
      <c r="B1673" s="74"/>
      <c r="C1673" s="74"/>
      <c r="D1673" s="74"/>
      <c r="E1673" s="74"/>
      <c r="F1673" s="74"/>
      <c r="G1673" s="74"/>
    </row>
    <row r="1674" spans="1:7" s="71" customFormat="1" x14ac:dyDescent="0.2">
      <c r="A1674" s="74"/>
      <c r="B1674" s="74"/>
      <c r="C1674" s="74"/>
      <c r="D1674" s="74"/>
      <c r="E1674" s="74"/>
      <c r="F1674" s="74"/>
      <c r="G1674" s="74"/>
    </row>
    <row r="1675" spans="1:7" s="71" customFormat="1" x14ac:dyDescent="0.2">
      <c r="A1675" s="74"/>
      <c r="B1675" s="74"/>
      <c r="C1675" s="74"/>
      <c r="D1675" s="74"/>
      <c r="E1675" s="74"/>
      <c r="F1675" s="74"/>
      <c r="G1675" s="74"/>
    </row>
    <row r="1676" spans="1:7" s="71" customFormat="1" x14ac:dyDescent="0.2">
      <c r="A1676" s="74"/>
      <c r="B1676" s="74"/>
      <c r="C1676" s="74"/>
      <c r="D1676" s="74"/>
      <c r="E1676" s="74"/>
      <c r="F1676" s="74"/>
      <c r="G1676" s="74"/>
    </row>
    <row r="1677" spans="1:7" s="71" customFormat="1" x14ac:dyDescent="0.2">
      <c r="A1677" s="74"/>
      <c r="B1677" s="74"/>
      <c r="C1677" s="74"/>
      <c r="D1677" s="74"/>
      <c r="E1677" s="74"/>
      <c r="F1677" s="74"/>
      <c r="G1677" s="74"/>
    </row>
    <row r="1678" spans="1:7" s="71" customFormat="1" x14ac:dyDescent="0.2">
      <c r="A1678" s="74"/>
      <c r="B1678" s="74"/>
      <c r="C1678" s="74"/>
      <c r="D1678" s="74"/>
      <c r="E1678" s="74"/>
      <c r="F1678" s="74"/>
      <c r="G1678" s="74"/>
    </row>
    <row r="1679" spans="1:7" s="71" customFormat="1" x14ac:dyDescent="0.2">
      <c r="A1679" s="74"/>
      <c r="B1679" s="74"/>
      <c r="C1679" s="74"/>
      <c r="D1679" s="74"/>
      <c r="E1679" s="74"/>
      <c r="F1679" s="74"/>
      <c r="G1679" s="74"/>
    </row>
    <row r="1680" spans="1:7" s="71" customFormat="1" x14ac:dyDescent="0.2">
      <c r="A1680" s="74"/>
      <c r="B1680" s="74"/>
      <c r="C1680" s="74"/>
      <c r="D1680" s="74"/>
      <c r="E1680" s="74"/>
      <c r="F1680" s="74"/>
      <c r="G1680" s="74"/>
    </row>
    <row r="1681" spans="1:7" s="71" customFormat="1" x14ac:dyDescent="0.2">
      <c r="A1681" s="74"/>
      <c r="B1681" s="74"/>
      <c r="C1681" s="74"/>
      <c r="D1681" s="74"/>
      <c r="E1681" s="74"/>
      <c r="F1681" s="74"/>
      <c r="G1681" s="74"/>
    </row>
    <row r="1682" spans="1:7" s="71" customFormat="1" x14ac:dyDescent="0.2">
      <c r="A1682" s="74"/>
      <c r="B1682" s="74"/>
      <c r="C1682" s="74"/>
      <c r="D1682" s="74"/>
      <c r="E1682" s="74"/>
      <c r="F1682" s="74"/>
      <c r="G1682" s="74"/>
    </row>
    <row r="1683" spans="1:7" s="71" customFormat="1" x14ac:dyDescent="0.2">
      <c r="A1683" s="74"/>
      <c r="B1683" s="74"/>
      <c r="C1683" s="74"/>
      <c r="D1683" s="74"/>
      <c r="E1683" s="74"/>
      <c r="F1683" s="74"/>
      <c r="G1683" s="74"/>
    </row>
    <row r="1684" spans="1:7" s="71" customFormat="1" x14ac:dyDescent="0.2">
      <c r="A1684" s="74"/>
      <c r="B1684" s="74"/>
      <c r="C1684" s="74"/>
      <c r="D1684" s="74"/>
      <c r="E1684" s="74"/>
      <c r="F1684" s="74"/>
      <c r="G1684" s="74"/>
    </row>
    <row r="1685" spans="1:7" s="71" customFormat="1" x14ac:dyDescent="0.2">
      <c r="A1685" s="74"/>
      <c r="B1685" s="74"/>
      <c r="C1685" s="74"/>
      <c r="D1685" s="74"/>
      <c r="E1685" s="74"/>
      <c r="F1685" s="74"/>
      <c r="G1685" s="74"/>
    </row>
    <row r="1686" spans="1:7" s="71" customFormat="1" x14ac:dyDescent="0.2">
      <c r="A1686" s="74"/>
      <c r="B1686" s="74"/>
      <c r="C1686" s="74"/>
      <c r="D1686" s="74"/>
      <c r="E1686" s="74"/>
      <c r="F1686" s="74"/>
      <c r="G1686" s="74"/>
    </row>
    <row r="1687" spans="1:7" s="71" customFormat="1" x14ac:dyDescent="0.2">
      <c r="A1687" s="74"/>
      <c r="B1687" s="74"/>
      <c r="C1687" s="74"/>
      <c r="D1687" s="74"/>
      <c r="E1687" s="74"/>
      <c r="F1687" s="74"/>
      <c r="G1687" s="74"/>
    </row>
    <row r="1688" spans="1:7" s="71" customFormat="1" x14ac:dyDescent="0.2">
      <c r="A1688" s="74"/>
      <c r="B1688" s="74"/>
      <c r="C1688" s="74"/>
      <c r="D1688" s="74"/>
      <c r="E1688" s="74"/>
      <c r="F1688" s="74"/>
      <c r="G1688" s="74"/>
    </row>
    <row r="1689" spans="1:7" s="71" customFormat="1" x14ac:dyDescent="0.2">
      <c r="A1689" s="74"/>
      <c r="B1689" s="74"/>
      <c r="C1689" s="74"/>
      <c r="D1689" s="74"/>
      <c r="E1689" s="74"/>
      <c r="F1689" s="74"/>
      <c r="G1689" s="74"/>
    </row>
    <row r="1690" spans="1:7" s="71" customFormat="1" x14ac:dyDescent="0.2">
      <c r="A1690" s="74"/>
      <c r="B1690" s="74"/>
      <c r="C1690" s="74"/>
      <c r="D1690" s="74"/>
      <c r="E1690" s="74"/>
      <c r="F1690" s="74"/>
      <c r="G1690" s="74"/>
    </row>
    <row r="1691" spans="1:7" s="71" customFormat="1" x14ac:dyDescent="0.2">
      <c r="A1691" s="74"/>
      <c r="B1691" s="74"/>
      <c r="C1691" s="74"/>
      <c r="D1691" s="74"/>
      <c r="E1691" s="74"/>
      <c r="F1691" s="74"/>
      <c r="G1691" s="74"/>
    </row>
    <row r="1692" spans="1:7" s="71" customFormat="1" x14ac:dyDescent="0.2">
      <c r="A1692" s="74"/>
      <c r="B1692" s="74"/>
      <c r="C1692" s="74"/>
      <c r="D1692" s="74"/>
      <c r="E1692" s="74"/>
      <c r="F1692" s="74"/>
      <c r="G1692" s="74"/>
    </row>
    <row r="1693" spans="1:7" s="71" customFormat="1" x14ac:dyDescent="0.2">
      <c r="A1693" s="74"/>
      <c r="B1693" s="74"/>
      <c r="C1693" s="74"/>
      <c r="D1693" s="74"/>
      <c r="E1693" s="74"/>
      <c r="F1693" s="74"/>
      <c r="G1693" s="74"/>
    </row>
    <row r="1694" spans="1:7" s="71" customFormat="1" x14ac:dyDescent="0.2">
      <c r="A1694" s="74"/>
      <c r="B1694" s="74"/>
      <c r="C1694" s="74"/>
      <c r="D1694" s="74"/>
      <c r="E1694" s="74"/>
      <c r="F1694" s="74"/>
      <c r="G1694" s="74"/>
    </row>
    <row r="1695" spans="1:7" s="71" customFormat="1" x14ac:dyDescent="0.2">
      <c r="A1695" s="74"/>
      <c r="B1695" s="74"/>
      <c r="C1695" s="74"/>
      <c r="D1695" s="74"/>
      <c r="E1695" s="74"/>
      <c r="F1695" s="74"/>
      <c r="G1695" s="74"/>
    </row>
    <row r="1696" spans="1:7" s="71" customFormat="1" x14ac:dyDescent="0.2">
      <c r="A1696" s="74"/>
      <c r="B1696" s="74"/>
      <c r="C1696" s="74"/>
      <c r="D1696" s="74"/>
      <c r="E1696" s="74"/>
      <c r="F1696" s="74"/>
      <c r="G1696" s="74"/>
    </row>
    <row r="1697" spans="1:7" s="71" customFormat="1" x14ac:dyDescent="0.2">
      <c r="A1697" s="74"/>
      <c r="B1697" s="74"/>
      <c r="C1697" s="74"/>
      <c r="D1697" s="74"/>
      <c r="E1697" s="74"/>
      <c r="F1697" s="74"/>
      <c r="G1697" s="74"/>
    </row>
    <row r="1698" spans="1:7" s="71" customFormat="1" x14ac:dyDescent="0.2">
      <c r="A1698" s="74"/>
      <c r="B1698" s="74"/>
      <c r="C1698" s="74"/>
      <c r="D1698" s="74"/>
      <c r="E1698" s="74"/>
      <c r="F1698" s="74"/>
      <c r="G1698" s="74"/>
    </row>
    <row r="1699" spans="1:7" s="71" customFormat="1" x14ac:dyDescent="0.2">
      <c r="A1699" s="74"/>
      <c r="B1699" s="74"/>
      <c r="C1699" s="74"/>
      <c r="D1699" s="74"/>
      <c r="E1699" s="74"/>
      <c r="F1699" s="74"/>
      <c r="G1699" s="74"/>
    </row>
    <row r="1700" spans="1:7" s="71" customFormat="1" x14ac:dyDescent="0.2">
      <c r="A1700" s="74"/>
      <c r="B1700" s="74"/>
      <c r="C1700" s="74"/>
      <c r="D1700" s="74"/>
      <c r="E1700" s="74"/>
      <c r="F1700" s="74"/>
      <c r="G1700" s="74"/>
    </row>
    <row r="1701" spans="1:7" s="71" customFormat="1" x14ac:dyDescent="0.2">
      <c r="A1701" s="74"/>
      <c r="B1701" s="74"/>
      <c r="C1701" s="74"/>
      <c r="D1701" s="74"/>
      <c r="E1701" s="74"/>
      <c r="F1701" s="74"/>
      <c r="G1701" s="74"/>
    </row>
    <row r="1702" spans="1:7" s="71" customFormat="1" x14ac:dyDescent="0.2">
      <c r="A1702" s="74"/>
      <c r="B1702" s="74"/>
      <c r="C1702" s="74"/>
      <c r="D1702" s="74"/>
      <c r="E1702" s="74"/>
      <c r="F1702" s="74"/>
      <c r="G1702" s="74"/>
    </row>
    <row r="1703" spans="1:7" s="71" customFormat="1" x14ac:dyDescent="0.2">
      <c r="A1703" s="74"/>
      <c r="B1703" s="74"/>
      <c r="C1703" s="74"/>
      <c r="D1703" s="74"/>
      <c r="E1703" s="74"/>
      <c r="F1703" s="74"/>
      <c r="G1703" s="74"/>
    </row>
    <row r="1704" spans="1:7" s="71" customFormat="1" x14ac:dyDescent="0.2">
      <c r="A1704" s="74"/>
      <c r="B1704" s="74"/>
      <c r="C1704" s="74"/>
      <c r="D1704" s="74"/>
      <c r="E1704" s="74"/>
      <c r="F1704" s="74"/>
      <c r="G1704" s="74"/>
    </row>
    <row r="1705" spans="1:7" s="71" customFormat="1" x14ac:dyDescent="0.2">
      <c r="A1705" s="74"/>
      <c r="B1705" s="74"/>
      <c r="C1705" s="74"/>
      <c r="D1705" s="74"/>
      <c r="E1705" s="74"/>
      <c r="F1705" s="74"/>
      <c r="G1705" s="74"/>
    </row>
    <row r="1706" spans="1:7" s="71" customFormat="1" x14ac:dyDescent="0.2">
      <c r="A1706" s="74"/>
      <c r="B1706" s="74"/>
      <c r="C1706" s="74"/>
      <c r="D1706" s="74"/>
      <c r="E1706" s="74"/>
      <c r="F1706" s="74"/>
      <c r="G1706" s="74"/>
    </row>
    <row r="1707" spans="1:7" s="71" customFormat="1" x14ac:dyDescent="0.2">
      <c r="A1707" s="74"/>
      <c r="B1707" s="74"/>
      <c r="C1707" s="74"/>
      <c r="D1707" s="74"/>
      <c r="E1707" s="74"/>
      <c r="F1707" s="74"/>
      <c r="G1707" s="74"/>
    </row>
    <row r="1708" spans="1:7" s="71" customFormat="1" x14ac:dyDescent="0.2">
      <c r="A1708" s="74"/>
      <c r="B1708" s="74"/>
      <c r="C1708" s="74"/>
      <c r="D1708" s="74"/>
      <c r="E1708" s="74"/>
      <c r="F1708" s="74"/>
      <c r="G1708" s="74"/>
    </row>
    <row r="1709" spans="1:7" s="71" customFormat="1" x14ac:dyDescent="0.2">
      <c r="A1709" s="74"/>
      <c r="B1709" s="74"/>
      <c r="C1709" s="74"/>
      <c r="D1709" s="74"/>
      <c r="E1709" s="74"/>
      <c r="F1709" s="74"/>
      <c r="G1709" s="74"/>
    </row>
    <row r="1710" spans="1:7" s="71" customFormat="1" x14ac:dyDescent="0.2">
      <c r="A1710" s="74"/>
      <c r="B1710" s="74"/>
      <c r="C1710" s="74"/>
      <c r="D1710" s="74"/>
      <c r="E1710" s="74"/>
      <c r="F1710" s="74"/>
      <c r="G1710" s="74"/>
    </row>
    <row r="1711" spans="1:7" s="71" customFormat="1" x14ac:dyDescent="0.2">
      <c r="A1711" s="74"/>
      <c r="B1711" s="74"/>
      <c r="C1711" s="74"/>
      <c r="D1711" s="74"/>
      <c r="E1711" s="74"/>
      <c r="F1711" s="74"/>
      <c r="G1711" s="74"/>
    </row>
    <row r="1712" spans="1:7" s="71" customFormat="1" x14ac:dyDescent="0.2">
      <c r="A1712" s="74"/>
      <c r="B1712" s="74"/>
      <c r="C1712" s="74"/>
      <c r="D1712" s="74"/>
      <c r="E1712" s="74"/>
      <c r="F1712" s="74"/>
      <c r="G1712" s="74"/>
    </row>
    <row r="1713" spans="1:7" s="71" customFormat="1" x14ac:dyDescent="0.2">
      <c r="A1713" s="74"/>
      <c r="B1713" s="74"/>
      <c r="C1713" s="74"/>
      <c r="D1713" s="74"/>
      <c r="E1713" s="74"/>
      <c r="F1713" s="74"/>
      <c r="G1713" s="74"/>
    </row>
    <row r="1714" spans="1:7" s="71" customFormat="1" x14ac:dyDescent="0.2">
      <c r="A1714" s="74"/>
      <c r="B1714" s="74"/>
      <c r="C1714" s="74"/>
      <c r="D1714" s="74"/>
      <c r="E1714" s="74"/>
      <c r="F1714" s="74"/>
      <c r="G1714" s="74"/>
    </row>
    <row r="1715" spans="1:7" s="71" customFormat="1" x14ac:dyDescent="0.2">
      <c r="A1715" s="74"/>
      <c r="B1715" s="74"/>
      <c r="C1715" s="74"/>
      <c r="D1715" s="74"/>
      <c r="E1715" s="74"/>
      <c r="F1715" s="74"/>
      <c r="G1715" s="74"/>
    </row>
    <row r="1716" spans="1:7" s="71" customFormat="1" x14ac:dyDescent="0.2">
      <c r="A1716" s="74"/>
      <c r="B1716" s="74"/>
      <c r="C1716" s="74"/>
      <c r="D1716" s="74"/>
      <c r="E1716" s="74"/>
      <c r="F1716" s="74"/>
      <c r="G1716" s="74"/>
    </row>
    <row r="1717" spans="1:7" s="71" customFormat="1" x14ac:dyDescent="0.2">
      <c r="A1717" s="74"/>
      <c r="B1717" s="74"/>
      <c r="C1717" s="74"/>
      <c r="D1717" s="74"/>
      <c r="E1717" s="74"/>
      <c r="F1717" s="74"/>
      <c r="G1717" s="74"/>
    </row>
    <row r="1718" spans="1:7" s="71" customFormat="1" x14ac:dyDescent="0.2">
      <c r="A1718" s="74"/>
      <c r="B1718" s="74"/>
      <c r="C1718" s="74"/>
      <c r="D1718" s="74"/>
      <c r="E1718" s="74"/>
      <c r="F1718" s="74"/>
      <c r="G1718" s="74"/>
    </row>
    <row r="1719" spans="1:7" s="71" customFormat="1" x14ac:dyDescent="0.2">
      <c r="A1719" s="74"/>
      <c r="B1719" s="74"/>
      <c r="C1719" s="74"/>
      <c r="D1719" s="74"/>
      <c r="E1719" s="74"/>
      <c r="F1719" s="74"/>
      <c r="G1719" s="74"/>
    </row>
    <row r="1720" spans="1:7" s="71" customFormat="1" x14ac:dyDescent="0.2">
      <c r="A1720" s="74"/>
      <c r="B1720" s="74"/>
      <c r="C1720" s="74"/>
      <c r="D1720" s="74"/>
      <c r="E1720" s="74"/>
      <c r="F1720" s="74"/>
      <c r="G1720" s="74"/>
    </row>
    <row r="1721" spans="1:7" s="71" customFormat="1" x14ac:dyDescent="0.2">
      <c r="A1721" s="74"/>
      <c r="B1721" s="74"/>
      <c r="C1721" s="74"/>
      <c r="D1721" s="74"/>
      <c r="E1721" s="74"/>
      <c r="F1721" s="74"/>
      <c r="G1721" s="74"/>
    </row>
    <row r="1722" spans="1:7" s="71" customFormat="1" x14ac:dyDescent="0.2">
      <c r="A1722" s="74"/>
      <c r="B1722" s="74"/>
      <c r="C1722" s="74"/>
      <c r="D1722" s="74"/>
      <c r="E1722" s="74"/>
      <c r="F1722" s="74"/>
      <c r="G1722" s="74"/>
    </row>
    <row r="1723" spans="1:7" s="71" customFormat="1" x14ac:dyDescent="0.2">
      <c r="A1723" s="74"/>
      <c r="B1723" s="74"/>
      <c r="C1723" s="74"/>
      <c r="D1723" s="74"/>
      <c r="E1723" s="74"/>
      <c r="F1723" s="74"/>
      <c r="G1723" s="74"/>
    </row>
    <row r="1724" spans="1:7" s="71" customFormat="1" x14ac:dyDescent="0.2">
      <c r="A1724" s="74"/>
      <c r="B1724" s="74"/>
      <c r="C1724" s="74"/>
      <c r="D1724" s="74"/>
      <c r="E1724" s="74"/>
      <c r="F1724" s="74"/>
      <c r="G1724" s="74"/>
    </row>
    <row r="1725" spans="1:7" s="71" customFormat="1" x14ac:dyDescent="0.2">
      <c r="A1725" s="74"/>
      <c r="B1725" s="74"/>
      <c r="C1725" s="74"/>
      <c r="D1725" s="74"/>
      <c r="E1725" s="74"/>
      <c r="F1725" s="74"/>
      <c r="G1725" s="74"/>
    </row>
    <row r="1726" spans="1:7" s="71" customFormat="1" x14ac:dyDescent="0.2">
      <c r="A1726" s="74"/>
      <c r="B1726" s="74"/>
      <c r="C1726" s="74"/>
      <c r="D1726" s="74"/>
      <c r="E1726" s="74"/>
      <c r="F1726" s="74"/>
      <c r="G1726" s="74"/>
    </row>
    <row r="1727" spans="1:7" s="71" customFormat="1" x14ac:dyDescent="0.2">
      <c r="A1727" s="74"/>
      <c r="B1727" s="74"/>
      <c r="C1727" s="74"/>
      <c r="D1727" s="74"/>
      <c r="E1727" s="74"/>
      <c r="F1727" s="74"/>
      <c r="G1727" s="74"/>
    </row>
    <row r="1728" spans="1:7" s="71" customFormat="1" x14ac:dyDescent="0.2">
      <c r="A1728" s="74"/>
      <c r="B1728" s="74"/>
      <c r="C1728" s="74"/>
      <c r="D1728" s="74"/>
      <c r="E1728" s="74"/>
      <c r="F1728" s="74"/>
      <c r="G1728" s="74"/>
    </row>
    <row r="1729" spans="1:7" s="71" customFormat="1" x14ac:dyDescent="0.2">
      <c r="A1729" s="74"/>
      <c r="B1729" s="74"/>
      <c r="C1729" s="74"/>
      <c r="D1729" s="74"/>
      <c r="E1729" s="74"/>
      <c r="F1729" s="74"/>
      <c r="G1729" s="74"/>
    </row>
    <row r="1730" spans="1:7" s="71" customFormat="1" x14ac:dyDescent="0.2">
      <c r="A1730" s="74"/>
      <c r="B1730" s="74"/>
      <c r="C1730" s="74"/>
      <c r="D1730" s="74"/>
      <c r="E1730" s="74"/>
      <c r="F1730" s="74"/>
      <c r="G1730" s="74"/>
    </row>
    <row r="1731" spans="1:7" s="71" customFormat="1" x14ac:dyDescent="0.2">
      <c r="A1731" s="74"/>
      <c r="B1731" s="74"/>
      <c r="C1731" s="74"/>
      <c r="D1731" s="74"/>
      <c r="E1731" s="74"/>
      <c r="F1731" s="74"/>
      <c r="G1731" s="74"/>
    </row>
    <row r="1732" spans="1:7" s="71" customFormat="1" x14ac:dyDescent="0.2">
      <c r="A1732" s="74"/>
      <c r="B1732" s="74"/>
      <c r="C1732" s="74"/>
      <c r="D1732" s="74"/>
      <c r="E1732" s="74"/>
      <c r="F1732" s="74"/>
      <c r="G1732" s="74"/>
    </row>
    <row r="1733" spans="1:7" s="71" customFormat="1" x14ac:dyDescent="0.2">
      <c r="A1733" s="74"/>
      <c r="B1733" s="74"/>
      <c r="C1733" s="74"/>
      <c r="D1733" s="74"/>
      <c r="E1733" s="74"/>
      <c r="F1733" s="74"/>
      <c r="G1733" s="74"/>
    </row>
    <row r="1734" spans="1:7" s="71" customFormat="1" x14ac:dyDescent="0.2">
      <c r="A1734" s="74"/>
      <c r="B1734" s="74"/>
      <c r="C1734" s="74"/>
      <c r="D1734" s="74"/>
      <c r="E1734" s="74"/>
      <c r="F1734" s="74"/>
      <c r="G1734" s="74"/>
    </row>
    <row r="1735" spans="1:7" s="71" customFormat="1" x14ac:dyDescent="0.2">
      <c r="A1735" s="74"/>
      <c r="B1735" s="74"/>
      <c r="C1735" s="74"/>
      <c r="D1735" s="74"/>
      <c r="E1735" s="74"/>
      <c r="F1735" s="74"/>
      <c r="G1735" s="74"/>
    </row>
    <row r="1736" spans="1:7" s="71" customFormat="1" x14ac:dyDescent="0.2">
      <c r="A1736" s="74"/>
      <c r="B1736" s="74"/>
      <c r="C1736" s="74"/>
      <c r="D1736" s="74"/>
      <c r="E1736" s="74"/>
      <c r="F1736" s="74"/>
      <c r="G1736" s="74"/>
    </row>
    <row r="1737" spans="1:7" s="71" customFormat="1" x14ac:dyDescent="0.2">
      <c r="A1737" s="74"/>
      <c r="B1737" s="74"/>
      <c r="C1737" s="74"/>
      <c r="D1737" s="74"/>
      <c r="E1737" s="74"/>
      <c r="F1737" s="74"/>
      <c r="G1737" s="74"/>
    </row>
    <row r="1738" spans="1:7" s="71" customFormat="1" x14ac:dyDescent="0.2">
      <c r="A1738" s="74"/>
      <c r="B1738" s="74"/>
      <c r="C1738" s="74"/>
      <c r="D1738" s="74"/>
      <c r="E1738" s="74"/>
      <c r="F1738" s="74"/>
      <c r="G1738" s="74"/>
    </row>
    <row r="1739" spans="1:7" s="71" customFormat="1" x14ac:dyDescent="0.2">
      <c r="A1739" s="74"/>
      <c r="B1739" s="74"/>
      <c r="C1739" s="74"/>
      <c r="D1739" s="74"/>
      <c r="E1739" s="74"/>
      <c r="F1739" s="74"/>
      <c r="G1739" s="74"/>
    </row>
    <row r="1740" spans="1:7" s="71" customFormat="1" x14ac:dyDescent="0.2">
      <c r="A1740" s="74"/>
      <c r="B1740" s="74"/>
      <c r="C1740" s="74"/>
      <c r="D1740" s="74"/>
      <c r="E1740" s="74"/>
      <c r="F1740" s="74"/>
      <c r="G1740" s="74"/>
    </row>
    <row r="1741" spans="1:7" s="71" customFormat="1" x14ac:dyDescent="0.2">
      <c r="A1741" s="74"/>
      <c r="B1741" s="74"/>
      <c r="C1741" s="74"/>
      <c r="D1741" s="74"/>
      <c r="E1741" s="74"/>
      <c r="F1741" s="74"/>
      <c r="G1741" s="74"/>
    </row>
    <row r="1742" spans="1:7" s="71" customFormat="1" x14ac:dyDescent="0.2">
      <c r="A1742" s="74"/>
      <c r="B1742" s="74"/>
      <c r="C1742" s="74"/>
      <c r="D1742" s="74"/>
      <c r="E1742" s="74"/>
      <c r="F1742" s="74"/>
      <c r="G1742" s="74"/>
    </row>
    <row r="1743" spans="1:7" s="71" customFormat="1" x14ac:dyDescent="0.2">
      <c r="A1743" s="74"/>
      <c r="B1743" s="74"/>
      <c r="C1743" s="74"/>
      <c r="D1743" s="74"/>
      <c r="E1743" s="74"/>
      <c r="F1743" s="74"/>
      <c r="G1743" s="74"/>
    </row>
    <row r="1744" spans="1:7" s="71" customFormat="1" x14ac:dyDescent="0.2">
      <c r="A1744" s="74"/>
      <c r="B1744" s="74"/>
      <c r="C1744" s="74"/>
      <c r="D1744" s="74"/>
      <c r="E1744" s="74"/>
      <c r="F1744" s="74"/>
      <c r="G1744" s="74"/>
    </row>
    <row r="1745" spans="1:7" s="71" customFormat="1" x14ac:dyDescent="0.2">
      <c r="A1745" s="74"/>
      <c r="B1745" s="74"/>
      <c r="C1745" s="74"/>
      <c r="D1745" s="74"/>
      <c r="E1745" s="74"/>
      <c r="F1745" s="74"/>
      <c r="G1745" s="74"/>
    </row>
    <row r="1746" spans="1:7" s="71" customFormat="1" x14ac:dyDescent="0.2">
      <c r="A1746" s="74"/>
      <c r="B1746" s="74"/>
      <c r="C1746" s="74"/>
      <c r="D1746" s="74"/>
      <c r="E1746" s="74"/>
      <c r="F1746" s="74"/>
      <c r="G1746" s="74"/>
    </row>
    <row r="1747" spans="1:7" s="71" customFormat="1" x14ac:dyDescent="0.2">
      <c r="A1747" s="74"/>
      <c r="B1747" s="74"/>
      <c r="C1747" s="74"/>
      <c r="D1747" s="74"/>
      <c r="E1747" s="74"/>
      <c r="F1747" s="74"/>
      <c r="G1747" s="74"/>
    </row>
    <row r="1748" spans="1:7" s="71" customFormat="1" x14ac:dyDescent="0.2">
      <c r="A1748" s="74"/>
      <c r="B1748" s="74"/>
      <c r="C1748" s="74"/>
      <c r="D1748" s="74"/>
      <c r="E1748" s="74"/>
      <c r="F1748" s="74"/>
      <c r="G1748" s="74"/>
    </row>
    <row r="1749" spans="1:7" s="71" customFormat="1" x14ac:dyDescent="0.2">
      <c r="A1749" s="74"/>
      <c r="B1749" s="74"/>
      <c r="C1749" s="74"/>
      <c r="D1749" s="74"/>
      <c r="E1749" s="74"/>
      <c r="F1749" s="74"/>
      <c r="G1749" s="74"/>
    </row>
    <row r="1750" spans="1:7" s="71" customFormat="1" x14ac:dyDescent="0.2">
      <c r="A1750" s="74"/>
      <c r="B1750" s="74"/>
      <c r="C1750" s="74"/>
      <c r="D1750" s="74"/>
      <c r="E1750" s="74"/>
      <c r="F1750" s="74"/>
      <c r="G1750" s="74"/>
    </row>
    <row r="1751" spans="1:7" s="71" customFormat="1" x14ac:dyDescent="0.2">
      <c r="A1751" s="74"/>
      <c r="B1751" s="74"/>
      <c r="C1751" s="74"/>
      <c r="D1751" s="74"/>
      <c r="E1751" s="74"/>
      <c r="F1751" s="74"/>
      <c r="G1751" s="74"/>
    </row>
    <row r="1752" spans="1:7" s="71" customFormat="1" x14ac:dyDescent="0.2">
      <c r="A1752" s="74"/>
      <c r="B1752" s="74"/>
      <c r="C1752" s="74"/>
      <c r="D1752" s="74"/>
      <c r="E1752" s="74"/>
      <c r="F1752" s="74"/>
      <c r="G1752" s="74"/>
    </row>
    <row r="1753" spans="1:7" s="71" customFormat="1" x14ac:dyDescent="0.2">
      <c r="A1753" s="74"/>
      <c r="B1753" s="74"/>
      <c r="C1753" s="74"/>
      <c r="D1753" s="74"/>
      <c r="E1753" s="74"/>
      <c r="F1753" s="74"/>
      <c r="G1753" s="74"/>
    </row>
    <row r="1754" spans="1:7" s="71" customFormat="1" x14ac:dyDescent="0.2">
      <c r="A1754" s="74"/>
      <c r="B1754" s="74"/>
      <c r="C1754" s="74"/>
      <c r="D1754" s="74"/>
      <c r="E1754" s="74"/>
      <c r="F1754" s="74"/>
      <c r="G1754" s="74"/>
    </row>
    <row r="1755" spans="1:7" s="71" customFormat="1" x14ac:dyDescent="0.2">
      <c r="A1755" s="74"/>
      <c r="B1755" s="74"/>
      <c r="C1755" s="74"/>
      <c r="D1755" s="74"/>
      <c r="E1755" s="74"/>
      <c r="F1755" s="74"/>
      <c r="G1755" s="74"/>
    </row>
    <row r="1756" spans="1:7" s="71" customFormat="1" x14ac:dyDescent="0.2">
      <c r="A1756" s="74"/>
      <c r="B1756" s="74"/>
      <c r="C1756" s="74"/>
      <c r="D1756" s="74"/>
      <c r="E1756" s="74"/>
      <c r="F1756" s="74"/>
      <c r="G1756" s="74"/>
    </row>
    <row r="1757" spans="1:7" s="71" customFormat="1" x14ac:dyDescent="0.2">
      <c r="A1757" s="74"/>
      <c r="B1757" s="74"/>
      <c r="C1757" s="74"/>
      <c r="D1757" s="74"/>
      <c r="E1757" s="74"/>
      <c r="F1757" s="74"/>
      <c r="G1757" s="74"/>
    </row>
    <row r="1758" spans="1:7" s="71" customFormat="1" x14ac:dyDescent="0.2">
      <c r="A1758" s="74"/>
      <c r="B1758" s="74"/>
      <c r="C1758" s="74"/>
      <c r="D1758" s="74"/>
      <c r="E1758" s="74"/>
      <c r="F1758" s="74"/>
      <c r="G1758" s="74"/>
    </row>
    <row r="1759" spans="1:7" s="71" customFormat="1" x14ac:dyDescent="0.2">
      <c r="A1759" s="74"/>
      <c r="B1759" s="74"/>
      <c r="C1759" s="74"/>
      <c r="D1759" s="74"/>
      <c r="E1759" s="74"/>
      <c r="F1759" s="74"/>
      <c r="G1759" s="74"/>
    </row>
    <row r="1760" spans="1:7" s="71" customFormat="1" x14ac:dyDescent="0.2">
      <c r="A1760" s="74"/>
      <c r="B1760" s="74"/>
      <c r="C1760" s="74"/>
      <c r="D1760" s="74"/>
      <c r="E1760" s="74"/>
      <c r="F1760" s="74"/>
      <c r="G1760" s="74"/>
    </row>
    <row r="1761" spans="1:7" s="71" customFormat="1" x14ac:dyDescent="0.2">
      <c r="A1761" s="74"/>
      <c r="B1761" s="74"/>
      <c r="C1761" s="74"/>
      <c r="D1761" s="74"/>
      <c r="E1761" s="74"/>
      <c r="F1761" s="74"/>
      <c r="G1761" s="74"/>
    </row>
    <row r="1762" spans="1:7" s="71" customFormat="1" x14ac:dyDescent="0.2">
      <c r="A1762" s="74"/>
      <c r="B1762" s="74"/>
      <c r="C1762" s="74"/>
      <c r="D1762" s="74"/>
      <c r="E1762" s="74"/>
      <c r="F1762" s="74"/>
      <c r="G1762" s="74"/>
    </row>
    <row r="1763" spans="1:7" s="71" customFormat="1" x14ac:dyDescent="0.2">
      <c r="A1763" s="74"/>
      <c r="B1763" s="74"/>
      <c r="C1763" s="74"/>
      <c r="D1763" s="74"/>
      <c r="E1763" s="74"/>
      <c r="F1763" s="74"/>
      <c r="G1763" s="74"/>
    </row>
    <row r="1764" spans="1:7" s="71" customFormat="1" x14ac:dyDescent="0.2">
      <c r="A1764" s="74"/>
      <c r="B1764" s="74"/>
      <c r="C1764" s="74"/>
      <c r="D1764" s="74"/>
      <c r="E1764" s="74"/>
      <c r="F1764" s="74"/>
      <c r="G1764" s="74"/>
    </row>
    <row r="1765" spans="1:7" s="71" customFormat="1" x14ac:dyDescent="0.2">
      <c r="A1765" s="74"/>
      <c r="B1765" s="74"/>
      <c r="C1765" s="74"/>
      <c r="D1765" s="74"/>
      <c r="E1765" s="74"/>
      <c r="F1765" s="74"/>
      <c r="G1765" s="74"/>
    </row>
    <row r="1766" spans="1:7" s="71" customFormat="1" x14ac:dyDescent="0.2">
      <c r="A1766" s="74"/>
      <c r="B1766" s="74"/>
      <c r="C1766" s="74"/>
      <c r="D1766" s="74"/>
      <c r="E1766" s="74"/>
      <c r="F1766" s="74"/>
      <c r="G1766" s="74"/>
    </row>
    <row r="1767" spans="1:7" s="71" customFormat="1" x14ac:dyDescent="0.2">
      <c r="A1767" s="74"/>
      <c r="B1767" s="74"/>
      <c r="C1767" s="74"/>
      <c r="D1767" s="74"/>
      <c r="E1767" s="74"/>
      <c r="F1767" s="74"/>
      <c r="G1767" s="74"/>
    </row>
    <row r="1768" spans="1:7" s="71" customFormat="1" x14ac:dyDescent="0.2">
      <c r="A1768" s="74"/>
      <c r="B1768" s="74"/>
      <c r="C1768" s="74"/>
      <c r="D1768" s="74"/>
      <c r="E1768" s="74"/>
      <c r="F1768" s="74"/>
      <c r="G1768" s="74"/>
    </row>
    <row r="1769" spans="1:7" s="71" customFormat="1" x14ac:dyDescent="0.2">
      <c r="A1769" s="74"/>
      <c r="B1769" s="74"/>
      <c r="C1769" s="74"/>
      <c r="D1769" s="74"/>
      <c r="E1769" s="74"/>
      <c r="F1769" s="74"/>
      <c r="G1769" s="74"/>
    </row>
    <row r="1770" spans="1:7" s="71" customFormat="1" x14ac:dyDescent="0.2">
      <c r="A1770" s="74"/>
      <c r="B1770" s="74"/>
      <c r="C1770" s="74"/>
      <c r="D1770" s="74"/>
      <c r="E1770" s="74"/>
      <c r="F1770" s="74"/>
      <c r="G1770" s="74"/>
    </row>
    <row r="1771" spans="1:7" s="71" customFormat="1" x14ac:dyDescent="0.2">
      <c r="A1771" s="74"/>
      <c r="B1771" s="74"/>
      <c r="C1771" s="74"/>
      <c r="D1771" s="74"/>
      <c r="E1771" s="74"/>
      <c r="F1771" s="74"/>
      <c r="G1771" s="74"/>
    </row>
    <row r="1772" spans="1:7" s="71" customFormat="1" x14ac:dyDescent="0.2">
      <c r="A1772" s="74"/>
      <c r="B1772" s="74"/>
      <c r="C1772" s="74"/>
      <c r="D1772" s="74"/>
      <c r="E1772" s="74"/>
      <c r="F1772" s="74"/>
      <c r="G1772" s="74"/>
    </row>
    <row r="1773" spans="1:7" s="71" customFormat="1" x14ac:dyDescent="0.2">
      <c r="A1773" s="74"/>
      <c r="B1773" s="74"/>
      <c r="C1773" s="74"/>
      <c r="D1773" s="74"/>
      <c r="E1773" s="74"/>
      <c r="F1773" s="74"/>
      <c r="G1773" s="74"/>
    </row>
    <row r="1774" spans="1:7" s="71" customFormat="1" x14ac:dyDescent="0.2">
      <c r="A1774" s="74"/>
      <c r="B1774" s="74"/>
      <c r="C1774" s="74"/>
      <c r="D1774" s="74"/>
      <c r="E1774" s="74"/>
      <c r="F1774" s="74"/>
      <c r="G1774" s="74"/>
    </row>
    <row r="1775" spans="1:7" s="71" customFormat="1" x14ac:dyDescent="0.2">
      <c r="A1775" s="74"/>
      <c r="B1775" s="74"/>
      <c r="C1775" s="74"/>
      <c r="D1775" s="74"/>
      <c r="E1775" s="74"/>
      <c r="F1775" s="74"/>
      <c r="G1775" s="74"/>
    </row>
    <row r="1776" spans="1:7" s="71" customFormat="1" x14ac:dyDescent="0.2">
      <c r="A1776" s="74"/>
      <c r="B1776" s="74"/>
      <c r="C1776" s="74"/>
      <c r="D1776" s="74"/>
      <c r="E1776" s="74"/>
      <c r="F1776" s="74"/>
      <c r="G1776" s="74"/>
    </row>
    <row r="1777" spans="1:7" s="71" customFormat="1" x14ac:dyDescent="0.2">
      <c r="A1777" s="74"/>
      <c r="B1777" s="74"/>
      <c r="C1777" s="74"/>
      <c r="D1777" s="74"/>
      <c r="E1777" s="74"/>
      <c r="F1777" s="74"/>
      <c r="G1777" s="74"/>
    </row>
    <row r="1778" spans="1:7" s="71" customFormat="1" x14ac:dyDescent="0.2">
      <c r="A1778" s="74"/>
      <c r="B1778" s="74"/>
      <c r="C1778" s="74"/>
      <c r="D1778" s="74"/>
      <c r="E1778" s="74"/>
      <c r="F1778" s="74"/>
      <c r="G1778" s="74"/>
    </row>
    <row r="1779" spans="1:7" s="71" customFormat="1" x14ac:dyDescent="0.2">
      <c r="A1779" s="74"/>
      <c r="B1779" s="74"/>
      <c r="C1779" s="74"/>
      <c r="D1779" s="74"/>
      <c r="E1779" s="74"/>
      <c r="F1779" s="74"/>
      <c r="G1779" s="74"/>
    </row>
    <row r="1780" spans="1:7" s="71" customFormat="1" x14ac:dyDescent="0.2">
      <c r="A1780" s="74"/>
      <c r="B1780" s="74"/>
      <c r="C1780" s="74"/>
      <c r="D1780" s="74"/>
      <c r="E1780" s="74"/>
      <c r="F1780" s="74"/>
      <c r="G1780" s="74"/>
    </row>
    <row r="1781" spans="1:7" s="71" customFormat="1" x14ac:dyDescent="0.2">
      <c r="A1781" s="74"/>
      <c r="B1781" s="74"/>
      <c r="C1781" s="74"/>
      <c r="D1781" s="74"/>
      <c r="E1781" s="74"/>
      <c r="F1781" s="74"/>
      <c r="G1781" s="74"/>
    </row>
    <row r="1782" spans="1:7" s="71" customFormat="1" x14ac:dyDescent="0.2">
      <c r="A1782" s="74"/>
      <c r="B1782" s="74"/>
      <c r="C1782" s="74"/>
      <c r="D1782" s="74"/>
      <c r="E1782" s="74"/>
      <c r="F1782" s="74"/>
      <c r="G1782" s="74"/>
    </row>
    <row r="1783" spans="1:7" s="71" customFormat="1" x14ac:dyDescent="0.2">
      <c r="A1783" s="74"/>
      <c r="B1783" s="74"/>
      <c r="C1783" s="74"/>
      <c r="D1783" s="74"/>
      <c r="E1783" s="74"/>
      <c r="F1783" s="74"/>
      <c r="G1783" s="74"/>
    </row>
    <row r="1784" spans="1:7" s="71" customFormat="1" x14ac:dyDescent="0.2">
      <c r="A1784" s="74"/>
      <c r="B1784" s="74"/>
      <c r="C1784" s="74"/>
      <c r="D1784" s="74"/>
      <c r="E1784" s="74"/>
      <c r="F1784" s="74"/>
      <c r="G1784" s="74"/>
    </row>
    <row r="1785" spans="1:7" s="71" customFormat="1" x14ac:dyDescent="0.2">
      <c r="A1785" s="74"/>
      <c r="B1785" s="74"/>
      <c r="C1785" s="74"/>
      <c r="D1785" s="74"/>
      <c r="E1785" s="74"/>
      <c r="F1785" s="74"/>
      <c r="G1785" s="74"/>
    </row>
    <row r="1786" spans="1:7" s="71" customFormat="1" x14ac:dyDescent="0.2">
      <c r="A1786" s="74"/>
      <c r="B1786" s="74"/>
      <c r="C1786" s="74"/>
      <c r="D1786" s="74"/>
      <c r="E1786" s="74"/>
      <c r="F1786" s="74"/>
      <c r="G1786" s="74"/>
    </row>
    <row r="1787" spans="1:7" s="71" customFormat="1" x14ac:dyDescent="0.2">
      <c r="A1787" s="74"/>
      <c r="B1787" s="74"/>
      <c r="C1787" s="74"/>
      <c r="D1787" s="74"/>
      <c r="E1787" s="74"/>
      <c r="F1787" s="74"/>
      <c r="G1787" s="74"/>
    </row>
    <row r="1788" spans="1:7" s="71" customFormat="1" x14ac:dyDescent="0.2">
      <c r="A1788" s="74"/>
      <c r="B1788" s="74"/>
      <c r="C1788" s="74"/>
      <c r="D1788" s="74"/>
      <c r="E1788" s="74"/>
      <c r="F1788" s="74"/>
      <c r="G1788" s="74"/>
    </row>
    <row r="1789" spans="1:7" s="71" customFormat="1" x14ac:dyDescent="0.2">
      <c r="A1789" s="74"/>
      <c r="B1789" s="74"/>
      <c r="C1789" s="74"/>
      <c r="D1789" s="74"/>
      <c r="E1789" s="74"/>
      <c r="F1789" s="74"/>
      <c r="G1789" s="74"/>
    </row>
    <row r="1790" spans="1:7" s="71" customFormat="1" x14ac:dyDescent="0.2">
      <c r="A1790" s="74"/>
      <c r="B1790" s="74"/>
      <c r="C1790" s="74"/>
      <c r="D1790" s="74"/>
      <c r="E1790" s="74"/>
      <c r="F1790" s="74"/>
      <c r="G1790" s="74"/>
    </row>
    <row r="1791" spans="1:7" s="71" customFormat="1" x14ac:dyDescent="0.2">
      <c r="A1791" s="74"/>
      <c r="B1791" s="74"/>
      <c r="C1791" s="74"/>
      <c r="D1791" s="74"/>
      <c r="E1791" s="74"/>
      <c r="F1791" s="74"/>
      <c r="G1791" s="74"/>
    </row>
    <row r="1792" spans="1:7" s="71" customFormat="1" x14ac:dyDescent="0.2">
      <c r="A1792" s="74"/>
      <c r="B1792" s="74"/>
      <c r="C1792" s="74"/>
      <c r="D1792" s="74"/>
      <c r="E1792" s="74"/>
      <c r="F1792" s="74"/>
      <c r="G1792" s="74"/>
    </row>
    <row r="1793" spans="1:7" s="71" customFormat="1" x14ac:dyDescent="0.2">
      <c r="A1793" s="74"/>
      <c r="B1793" s="74"/>
      <c r="C1793" s="74"/>
      <c r="D1793" s="74"/>
      <c r="E1793" s="74"/>
      <c r="F1793" s="74"/>
      <c r="G1793" s="74"/>
    </row>
    <row r="1794" spans="1:7" s="71" customFormat="1" x14ac:dyDescent="0.2">
      <c r="A1794" s="74"/>
      <c r="B1794" s="74"/>
      <c r="C1794" s="74"/>
      <c r="D1794" s="74"/>
      <c r="E1794" s="74"/>
      <c r="F1794" s="74"/>
      <c r="G1794" s="74"/>
    </row>
    <row r="1795" spans="1:7" s="71" customFormat="1" x14ac:dyDescent="0.2">
      <c r="A1795" s="74"/>
      <c r="B1795" s="74"/>
      <c r="C1795" s="74"/>
      <c r="D1795" s="74"/>
      <c r="E1795" s="74"/>
      <c r="F1795" s="74"/>
      <c r="G1795" s="74"/>
    </row>
    <row r="1796" spans="1:7" s="71" customFormat="1" x14ac:dyDescent="0.2">
      <c r="A1796" s="74"/>
      <c r="B1796" s="74"/>
      <c r="C1796" s="74"/>
      <c r="D1796" s="74"/>
      <c r="E1796" s="74"/>
      <c r="F1796" s="74"/>
      <c r="G1796" s="74"/>
    </row>
    <row r="1797" spans="1:7" s="71" customFormat="1" x14ac:dyDescent="0.2">
      <c r="A1797" s="74"/>
      <c r="B1797" s="74"/>
      <c r="C1797" s="74"/>
      <c r="D1797" s="74"/>
      <c r="E1797" s="74"/>
      <c r="F1797" s="74"/>
      <c r="G1797" s="74"/>
    </row>
    <row r="1798" spans="1:7" s="71" customFormat="1" x14ac:dyDescent="0.2">
      <c r="A1798" s="74"/>
      <c r="B1798" s="74"/>
      <c r="C1798" s="74"/>
      <c r="D1798" s="74"/>
      <c r="E1798" s="74"/>
      <c r="F1798" s="74"/>
      <c r="G1798" s="74"/>
    </row>
    <row r="1799" spans="1:7" s="71" customFormat="1" x14ac:dyDescent="0.2">
      <c r="A1799" s="74"/>
      <c r="B1799" s="74"/>
      <c r="C1799" s="74"/>
      <c r="D1799" s="74"/>
      <c r="E1799" s="74"/>
      <c r="F1799" s="74"/>
      <c r="G1799" s="74"/>
    </row>
    <row r="1800" spans="1:7" s="71" customFormat="1" x14ac:dyDescent="0.2">
      <c r="A1800" s="74"/>
      <c r="B1800" s="74"/>
      <c r="C1800" s="74"/>
      <c r="D1800" s="74"/>
      <c r="E1800" s="74"/>
      <c r="F1800" s="74"/>
      <c r="G1800" s="74"/>
    </row>
    <row r="1801" spans="1:7" s="71" customFormat="1" x14ac:dyDescent="0.2">
      <c r="A1801" s="74"/>
      <c r="B1801" s="74"/>
      <c r="C1801" s="74"/>
      <c r="D1801" s="74"/>
      <c r="E1801" s="74"/>
      <c r="F1801" s="74"/>
      <c r="G1801" s="74"/>
    </row>
    <row r="1802" spans="1:7" s="71" customFormat="1" x14ac:dyDescent="0.2">
      <c r="A1802" s="74"/>
      <c r="B1802" s="74"/>
      <c r="C1802" s="74"/>
      <c r="D1802" s="74"/>
      <c r="E1802" s="74"/>
      <c r="F1802" s="74"/>
      <c r="G1802" s="74"/>
    </row>
    <row r="1803" spans="1:7" s="71" customFormat="1" x14ac:dyDescent="0.2">
      <c r="A1803" s="74"/>
      <c r="B1803" s="74"/>
      <c r="C1803" s="74"/>
      <c r="D1803" s="74"/>
      <c r="E1803" s="74"/>
      <c r="F1803" s="74"/>
      <c r="G1803" s="74"/>
    </row>
    <row r="1804" spans="1:7" s="71" customFormat="1" x14ac:dyDescent="0.2">
      <c r="A1804" s="74"/>
      <c r="B1804" s="74"/>
      <c r="C1804" s="74"/>
      <c r="D1804" s="74"/>
      <c r="E1804" s="74"/>
      <c r="F1804" s="74"/>
      <c r="G1804" s="74"/>
    </row>
    <row r="1805" spans="1:7" s="71" customFormat="1" x14ac:dyDescent="0.2">
      <c r="A1805" s="74"/>
      <c r="B1805" s="74"/>
      <c r="C1805" s="74"/>
      <c r="D1805" s="74"/>
      <c r="E1805" s="74"/>
      <c r="F1805" s="74"/>
      <c r="G1805" s="74"/>
    </row>
    <row r="1806" spans="1:7" s="71" customFormat="1" x14ac:dyDescent="0.2">
      <c r="A1806" s="74"/>
      <c r="B1806" s="74"/>
      <c r="C1806" s="74"/>
      <c r="D1806" s="74"/>
      <c r="E1806" s="74"/>
      <c r="F1806" s="74"/>
      <c r="G1806" s="74"/>
    </row>
    <row r="1807" spans="1:7" s="71" customFormat="1" x14ac:dyDescent="0.2">
      <c r="A1807" s="74"/>
      <c r="B1807" s="74"/>
      <c r="C1807" s="74"/>
      <c r="D1807" s="74"/>
      <c r="E1807" s="74"/>
      <c r="F1807" s="74"/>
      <c r="G1807" s="74"/>
    </row>
    <row r="1808" spans="1:7" s="71" customFormat="1" x14ac:dyDescent="0.2">
      <c r="A1808" s="74"/>
      <c r="B1808" s="74"/>
      <c r="C1808" s="74"/>
      <c r="D1808" s="74"/>
      <c r="E1808" s="74"/>
      <c r="F1808" s="74"/>
      <c r="G1808" s="74"/>
    </row>
    <row r="1809" spans="1:7" s="71" customFormat="1" x14ac:dyDescent="0.2">
      <c r="A1809" s="74"/>
      <c r="B1809" s="74"/>
      <c r="C1809" s="74"/>
      <c r="D1809" s="74"/>
      <c r="E1809" s="74"/>
      <c r="F1809" s="74"/>
      <c r="G1809" s="74"/>
    </row>
    <row r="1810" spans="1:7" s="71" customFormat="1" x14ac:dyDescent="0.2">
      <c r="A1810" s="74"/>
      <c r="B1810" s="74"/>
      <c r="C1810" s="74"/>
      <c r="D1810" s="74"/>
      <c r="E1810" s="74"/>
      <c r="F1810" s="74"/>
      <c r="G1810" s="74"/>
    </row>
    <row r="1811" spans="1:7" s="71" customFormat="1" x14ac:dyDescent="0.2">
      <c r="A1811" s="74"/>
      <c r="B1811" s="74"/>
      <c r="C1811" s="74"/>
      <c r="D1811" s="74"/>
      <c r="E1811" s="74"/>
      <c r="F1811" s="74"/>
      <c r="G1811" s="74"/>
    </row>
    <row r="1812" spans="1:7" s="71" customFormat="1" x14ac:dyDescent="0.2">
      <c r="A1812" s="74"/>
      <c r="B1812" s="74"/>
      <c r="C1812" s="74"/>
      <c r="D1812" s="74"/>
      <c r="E1812" s="74"/>
      <c r="F1812" s="74"/>
      <c r="G1812" s="74"/>
    </row>
    <row r="1813" spans="1:7" s="71" customFormat="1" x14ac:dyDescent="0.2">
      <c r="A1813" s="74"/>
      <c r="B1813" s="74"/>
      <c r="C1813" s="74"/>
      <c r="D1813" s="74"/>
      <c r="E1813" s="74"/>
      <c r="F1813" s="74"/>
      <c r="G1813" s="74"/>
    </row>
    <row r="1814" spans="1:7" s="71" customFormat="1" x14ac:dyDescent="0.2">
      <c r="A1814" s="74"/>
      <c r="B1814" s="74"/>
      <c r="C1814" s="74"/>
      <c r="D1814" s="74"/>
      <c r="E1814" s="74"/>
      <c r="F1814" s="74"/>
      <c r="G1814" s="74"/>
    </row>
    <row r="1815" spans="1:7" s="71" customFormat="1" x14ac:dyDescent="0.2">
      <c r="A1815" s="74"/>
      <c r="B1815" s="74"/>
      <c r="C1815" s="74"/>
      <c r="D1815" s="74"/>
      <c r="E1815" s="74"/>
      <c r="F1815" s="74"/>
      <c r="G1815" s="74"/>
    </row>
    <row r="1816" spans="1:7" s="71" customFormat="1" x14ac:dyDescent="0.2">
      <c r="A1816" s="74"/>
      <c r="B1816" s="74"/>
      <c r="C1816" s="74"/>
      <c r="D1816" s="74"/>
      <c r="E1816" s="74"/>
      <c r="F1816" s="74"/>
      <c r="G1816" s="74"/>
    </row>
    <row r="1817" spans="1:7" s="71" customFormat="1" x14ac:dyDescent="0.2">
      <c r="A1817" s="74"/>
      <c r="B1817" s="74"/>
      <c r="C1817" s="74"/>
      <c r="D1817" s="74"/>
      <c r="E1817" s="74"/>
      <c r="F1817" s="74"/>
      <c r="G1817" s="74"/>
    </row>
    <row r="1818" spans="1:7" s="71" customFormat="1" x14ac:dyDescent="0.2">
      <c r="A1818" s="74"/>
      <c r="B1818" s="74"/>
      <c r="C1818" s="74"/>
      <c r="D1818" s="74"/>
      <c r="E1818" s="74"/>
      <c r="F1818" s="74"/>
      <c r="G1818" s="74"/>
    </row>
    <row r="1819" spans="1:7" s="71" customFormat="1" x14ac:dyDescent="0.2">
      <c r="A1819" s="74"/>
      <c r="B1819" s="74"/>
      <c r="C1819" s="74"/>
      <c r="D1819" s="74"/>
      <c r="E1819" s="74"/>
      <c r="F1819" s="74"/>
      <c r="G1819" s="74"/>
    </row>
    <row r="1820" spans="1:7" s="71" customFormat="1" x14ac:dyDescent="0.2">
      <c r="A1820" s="74"/>
      <c r="B1820" s="74"/>
      <c r="C1820" s="74"/>
      <c r="D1820" s="74"/>
      <c r="E1820" s="74"/>
      <c r="F1820" s="74"/>
      <c r="G1820" s="74"/>
    </row>
    <row r="1821" spans="1:7" s="71" customFormat="1" x14ac:dyDescent="0.2">
      <c r="A1821" s="74"/>
      <c r="B1821" s="74"/>
      <c r="C1821" s="74"/>
      <c r="D1821" s="74"/>
      <c r="E1821" s="74"/>
      <c r="F1821" s="74"/>
      <c r="G1821" s="74"/>
    </row>
    <row r="1822" spans="1:7" s="71" customFormat="1" x14ac:dyDescent="0.2">
      <c r="A1822" s="74"/>
      <c r="B1822" s="74"/>
      <c r="C1822" s="74"/>
      <c r="D1822" s="74"/>
      <c r="E1822" s="74"/>
      <c r="F1822" s="74"/>
      <c r="G1822" s="74"/>
    </row>
    <row r="1823" spans="1:7" s="71" customFormat="1" x14ac:dyDescent="0.2">
      <c r="A1823" s="74"/>
      <c r="B1823" s="74"/>
      <c r="C1823" s="74"/>
      <c r="D1823" s="74"/>
      <c r="E1823" s="74"/>
      <c r="F1823" s="74"/>
      <c r="G1823" s="74"/>
    </row>
    <row r="1824" spans="1:7" s="71" customFormat="1" x14ac:dyDescent="0.2">
      <c r="A1824" s="74"/>
      <c r="B1824" s="74"/>
      <c r="C1824" s="74"/>
      <c r="D1824" s="74"/>
      <c r="E1824" s="74"/>
      <c r="F1824" s="74"/>
      <c r="G1824" s="74"/>
    </row>
    <row r="1825" spans="1:7" s="71" customFormat="1" x14ac:dyDescent="0.2">
      <c r="A1825" s="74"/>
      <c r="B1825" s="74"/>
      <c r="C1825" s="74"/>
      <c r="D1825" s="74"/>
      <c r="E1825" s="74"/>
      <c r="F1825" s="74"/>
      <c r="G1825" s="74"/>
    </row>
    <row r="1826" spans="1:7" s="71" customFormat="1" x14ac:dyDescent="0.2">
      <c r="A1826" s="74"/>
      <c r="B1826" s="74"/>
      <c r="C1826" s="74"/>
      <c r="D1826" s="74"/>
      <c r="E1826" s="74"/>
      <c r="F1826" s="74"/>
      <c r="G1826" s="74"/>
    </row>
    <row r="1827" spans="1:7" s="71" customFormat="1" x14ac:dyDescent="0.2">
      <c r="A1827" s="74"/>
      <c r="B1827" s="74"/>
      <c r="C1827" s="74"/>
      <c r="D1827" s="74"/>
      <c r="E1827" s="74"/>
      <c r="F1827" s="74"/>
      <c r="G1827" s="74"/>
    </row>
    <row r="1828" spans="1:7" s="71" customFormat="1" x14ac:dyDescent="0.2">
      <c r="A1828" s="74"/>
      <c r="B1828" s="74"/>
      <c r="C1828" s="74"/>
      <c r="D1828" s="74"/>
      <c r="E1828" s="74"/>
      <c r="F1828" s="74"/>
      <c r="G1828" s="74"/>
    </row>
    <row r="1829" spans="1:7" s="71" customFormat="1" x14ac:dyDescent="0.2">
      <c r="A1829" s="74"/>
      <c r="B1829" s="74"/>
      <c r="C1829" s="74"/>
      <c r="D1829" s="74"/>
      <c r="E1829" s="74"/>
      <c r="F1829" s="74"/>
      <c r="G1829" s="74"/>
    </row>
    <row r="1830" spans="1:7" s="71" customFormat="1" x14ac:dyDescent="0.2">
      <c r="A1830" s="74"/>
      <c r="B1830" s="74"/>
      <c r="C1830" s="74"/>
      <c r="D1830" s="74"/>
      <c r="E1830" s="74"/>
      <c r="F1830" s="74"/>
      <c r="G1830" s="74"/>
    </row>
    <row r="1831" spans="1:7" s="71" customFormat="1" x14ac:dyDescent="0.2">
      <c r="A1831" s="74"/>
      <c r="B1831" s="74"/>
      <c r="C1831" s="74"/>
      <c r="D1831" s="74"/>
      <c r="E1831" s="74"/>
      <c r="F1831" s="74"/>
      <c r="G1831" s="74"/>
    </row>
    <row r="1832" spans="1:7" s="71" customFormat="1" x14ac:dyDescent="0.2">
      <c r="A1832" s="74"/>
      <c r="B1832" s="74"/>
      <c r="C1832" s="74"/>
      <c r="D1832" s="74"/>
      <c r="E1832" s="74"/>
      <c r="F1832" s="74"/>
      <c r="G1832" s="74"/>
    </row>
    <row r="1833" spans="1:7" s="71" customFormat="1" x14ac:dyDescent="0.2">
      <c r="A1833" s="74"/>
      <c r="B1833" s="74"/>
      <c r="C1833" s="74"/>
      <c r="D1833" s="74"/>
      <c r="E1833" s="74"/>
      <c r="F1833" s="74"/>
      <c r="G1833" s="74"/>
    </row>
    <row r="1834" spans="1:7" s="71" customFormat="1" x14ac:dyDescent="0.2">
      <c r="A1834" s="74"/>
      <c r="B1834" s="74"/>
      <c r="C1834" s="74"/>
      <c r="D1834" s="74"/>
      <c r="E1834" s="74"/>
      <c r="F1834" s="74"/>
      <c r="G1834" s="74"/>
    </row>
    <row r="1835" spans="1:7" s="71" customFormat="1" x14ac:dyDescent="0.2">
      <c r="A1835" s="74"/>
      <c r="B1835" s="74"/>
      <c r="C1835" s="74"/>
      <c r="D1835" s="74"/>
      <c r="E1835" s="74"/>
      <c r="F1835" s="74"/>
      <c r="G1835" s="74"/>
    </row>
    <row r="1836" spans="1:7" s="71" customFormat="1" x14ac:dyDescent="0.2">
      <c r="A1836" s="74"/>
      <c r="B1836" s="74"/>
      <c r="C1836" s="74"/>
      <c r="D1836" s="74"/>
      <c r="E1836" s="74"/>
      <c r="F1836" s="74"/>
      <c r="G1836" s="74"/>
    </row>
    <row r="1837" spans="1:7" s="71" customFormat="1" x14ac:dyDescent="0.2">
      <c r="A1837" s="74"/>
      <c r="B1837" s="74"/>
      <c r="C1837" s="74"/>
      <c r="D1837" s="74"/>
      <c r="E1837" s="74"/>
      <c r="F1837" s="74"/>
      <c r="G1837" s="74"/>
    </row>
    <row r="1838" spans="1:7" s="71" customFormat="1" x14ac:dyDescent="0.2">
      <c r="A1838" s="74"/>
      <c r="B1838" s="74"/>
      <c r="C1838" s="74"/>
      <c r="D1838" s="74"/>
      <c r="E1838" s="74"/>
      <c r="F1838" s="74"/>
      <c r="G1838" s="74"/>
    </row>
    <row r="1839" spans="1:7" s="71" customFormat="1" x14ac:dyDescent="0.2">
      <c r="A1839" s="74"/>
      <c r="B1839" s="74"/>
      <c r="C1839" s="74"/>
      <c r="D1839" s="74"/>
      <c r="E1839" s="74"/>
      <c r="F1839" s="74"/>
      <c r="G1839" s="74"/>
    </row>
    <row r="1840" spans="1:7" s="71" customFormat="1" x14ac:dyDescent="0.2">
      <c r="A1840" s="74"/>
      <c r="B1840" s="74"/>
      <c r="C1840" s="74"/>
      <c r="D1840" s="74"/>
      <c r="E1840" s="74"/>
      <c r="F1840" s="74"/>
      <c r="G1840" s="74"/>
    </row>
    <row r="1841" spans="1:7" s="71" customFormat="1" x14ac:dyDescent="0.2">
      <c r="A1841" s="74"/>
      <c r="B1841" s="74"/>
      <c r="C1841" s="74"/>
      <c r="D1841" s="74"/>
      <c r="E1841" s="74"/>
      <c r="F1841" s="74"/>
      <c r="G1841" s="74"/>
    </row>
    <row r="1842" spans="1:7" s="71" customFormat="1" x14ac:dyDescent="0.2">
      <c r="A1842" s="74"/>
      <c r="B1842" s="74"/>
      <c r="C1842" s="74"/>
      <c r="D1842" s="74"/>
      <c r="E1842" s="74"/>
      <c r="F1842" s="74"/>
      <c r="G1842" s="74"/>
    </row>
    <row r="1843" spans="1:7" s="71" customFormat="1" x14ac:dyDescent="0.2">
      <c r="A1843" s="74"/>
      <c r="B1843" s="74"/>
      <c r="C1843" s="74"/>
      <c r="D1843" s="74"/>
      <c r="E1843" s="74"/>
      <c r="F1843" s="74"/>
      <c r="G1843" s="74"/>
    </row>
    <row r="1844" spans="1:7" s="71" customFormat="1" x14ac:dyDescent="0.2">
      <c r="A1844" s="74"/>
      <c r="B1844" s="74"/>
      <c r="C1844" s="74"/>
      <c r="D1844" s="74"/>
      <c r="E1844" s="74"/>
      <c r="F1844" s="74"/>
      <c r="G1844" s="74"/>
    </row>
    <row r="1845" spans="1:7" s="71" customFormat="1" x14ac:dyDescent="0.2">
      <c r="A1845" s="74"/>
      <c r="B1845" s="74"/>
      <c r="C1845" s="74"/>
      <c r="D1845" s="74"/>
      <c r="E1845" s="74"/>
      <c r="F1845" s="74"/>
      <c r="G1845" s="74"/>
    </row>
    <row r="1846" spans="1:7" s="71" customFormat="1" x14ac:dyDescent="0.2">
      <c r="A1846" s="74"/>
      <c r="B1846" s="74"/>
      <c r="C1846" s="74"/>
      <c r="D1846" s="74"/>
      <c r="E1846" s="74"/>
      <c r="F1846" s="74"/>
      <c r="G1846" s="74"/>
    </row>
    <row r="1847" spans="1:7" s="71" customFormat="1" x14ac:dyDescent="0.2">
      <c r="A1847" s="74"/>
      <c r="B1847" s="74"/>
      <c r="C1847" s="74"/>
      <c r="D1847" s="74"/>
      <c r="E1847" s="74"/>
      <c r="F1847" s="74"/>
      <c r="G1847" s="74"/>
    </row>
    <row r="1848" spans="1:7" s="71" customFormat="1" x14ac:dyDescent="0.2">
      <c r="A1848" s="74"/>
      <c r="B1848" s="74"/>
      <c r="C1848" s="74"/>
      <c r="D1848" s="74"/>
      <c r="E1848" s="74"/>
      <c r="F1848" s="74"/>
      <c r="G1848" s="74"/>
    </row>
    <row r="1849" spans="1:7" s="71" customFormat="1" x14ac:dyDescent="0.2">
      <c r="A1849" s="74"/>
      <c r="B1849" s="74"/>
      <c r="C1849" s="74"/>
      <c r="D1849" s="74"/>
      <c r="E1849" s="74"/>
      <c r="F1849" s="74"/>
      <c r="G1849" s="74"/>
    </row>
    <row r="1850" spans="1:7" s="71" customFormat="1" x14ac:dyDescent="0.2">
      <c r="A1850" s="74"/>
      <c r="B1850" s="74"/>
      <c r="C1850" s="74"/>
      <c r="D1850" s="74"/>
      <c r="E1850" s="74"/>
      <c r="F1850" s="74"/>
      <c r="G1850" s="74"/>
    </row>
    <row r="1851" spans="1:7" s="71" customFormat="1" x14ac:dyDescent="0.2">
      <c r="A1851" s="74"/>
      <c r="B1851" s="74"/>
      <c r="C1851" s="74"/>
      <c r="D1851" s="74"/>
      <c r="E1851" s="74"/>
      <c r="F1851" s="74"/>
      <c r="G1851" s="74"/>
    </row>
    <row r="1852" spans="1:7" s="71" customFormat="1" x14ac:dyDescent="0.2">
      <c r="A1852" s="74"/>
      <c r="B1852" s="74"/>
      <c r="C1852" s="74"/>
      <c r="D1852" s="74"/>
      <c r="E1852" s="74"/>
      <c r="F1852" s="74"/>
      <c r="G1852" s="74"/>
    </row>
    <row r="1853" spans="1:7" s="71" customFormat="1" x14ac:dyDescent="0.2">
      <c r="A1853" s="74"/>
      <c r="B1853" s="74"/>
      <c r="C1853" s="74"/>
      <c r="D1853" s="74"/>
      <c r="E1853" s="74"/>
      <c r="F1853" s="74"/>
      <c r="G1853" s="74"/>
    </row>
    <row r="1854" spans="1:7" s="71" customFormat="1" x14ac:dyDescent="0.2">
      <c r="A1854" s="74"/>
      <c r="B1854" s="74"/>
      <c r="C1854" s="74"/>
      <c r="D1854" s="74"/>
      <c r="E1854" s="74"/>
      <c r="F1854" s="74"/>
      <c r="G1854" s="74"/>
    </row>
    <row r="1855" spans="1:7" s="71" customFormat="1" x14ac:dyDescent="0.2">
      <c r="A1855" s="74"/>
      <c r="B1855" s="74"/>
      <c r="C1855" s="74"/>
      <c r="D1855" s="74"/>
      <c r="E1855" s="74"/>
      <c r="F1855" s="74"/>
      <c r="G1855" s="74"/>
    </row>
    <row r="1856" spans="1:7" s="71" customFormat="1" x14ac:dyDescent="0.2">
      <c r="A1856" s="74"/>
      <c r="B1856" s="74"/>
      <c r="C1856" s="74"/>
      <c r="D1856" s="74"/>
      <c r="E1856" s="74"/>
      <c r="F1856" s="74"/>
      <c r="G1856" s="74"/>
    </row>
    <row r="1857" spans="1:7" s="71" customFormat="1" x14ac:dyDescent="0.2">
      <c r="A1857" s="74"/>
      <c r="B1857" s="74"/>
      <c r="C1857" s="74"/>
      <c r="D1857" s="74"/>
      <c r="E1857" s="74"/>
      <c r="F1857" s="74"/>
      <c r="G1857" s="74"/>
    </row>
    <row r="1858" spans="1:7" s="71" customFormat="1" x14ac:dyDescent="0.2">
      <c r="A1858" s="74"/>
      <c r="B1858" s="74"/>
      <c r="C1858" s="74"/>
      <c r="D1858" s="74"/>
      <c r="E1858" s="74"/>
      <c r="F1858" s="74"/>
      <c r="G1858" s="74"/>
    </row>
    <row r="1859" spans="1:7" s="71" customFormat="1" x14ac:dyDescent="0.2">
      <c r="A1859" s="74"/>
      <c r="B1859" s="74"/>
      <c r="C1859" s="74"/>
      <c r="D1859" s="74"/>
      <c r="E1859" s="74"/>
      <c r="F1859" s="74"/>
      <c r="G1859" s="74"/>
    </row>
    <row r="1860" spans="1:7" s="71" customFormat="1" x14ac:dyDescent="0.2">
      <c r="A1860" s="74"/>
      <c r="B1860" s="74"/>
      <c r="C1860" s="74"/>
      <c r="D1860" s="74"/>
      <c r="E1860" s="74"/>
      <c r="F1860" s="74"/>
      <c r="G1860" s="74"/>
    </row>
    <row r="1861" spans="1:7" s="71" customFormat="1" x14ac:dyDescent="0.2">
      <c r="A1861" s="74"/>
      <c r="B1861" s="74"/>
      <c r="C1861" s="74"/>
      <c r="D1861" s="74"/>
      <c r="E1861" s="74"/>
      <c r="F1861" s="74"/>
      <c r="G1861" s="74"/>
    </row>
    <row r="1862" spans="1:7" s="71" customFormat="1" x14ac:dyDescent="0.2">
      <c r="A1862" s="74"/>
      <c r="B1862" s="74"/>
      <c r="C1862" s="74"/>
      <c r="D1862" s="74"/>
      <c r="E1862" s="74"/>
      <c r="F1862" s="74"/>
      <c r="G1862" s="74"/>
    </row>
    <row r="1863" spans="1:7" s="71" customFormat="1" x14ac:dyDescent="0.2">
      <c r="A1863" s="74"/>
      <c r="B1863" s="74"/>
      <c r="C1863" s="74"/>
      <c r="D1863" s="74"/>
      <c r="E1863" s="74"/>
      <c r="F1863" s="74"/>
      <c r="G1863" s="74"/>
    </row>
    <row r="1864" spans="1:7" s="71" customFormat="1" x14ac:dyDescent="0.2">
      <c r="A1864" s="74"/>
      <c r="B1864" s="74"/>
      <c r="C1864" s="74"/>
      <c r="D1864" s="74"/>
      <c r="E1864" s="74"/>
      <c r="F1864" s="74"/>
      <c r="G1864" s="74"/>
    </row>
    <row r="1865" spans="1:7" s="71" customFormat="1" x14ac:dyDescent="0.2">
      <c r="A1865" s="74"/>
      <c r="B1865" s="74"/>
      <c r="C1865" s="74"/>
      <c r="D1865" s="74"/>
      <c r="E1865" s="74"/>
      <c r="F1865" s="74"/>
      <c r="G1865" s="74"/>
    </row>
    <row r="1866" spans="1:7" s="71" customFormat="1" x14ac:dyDescent="0.2">
      <c r="A1866" s="74"/>
      <c r="B1866" s="74"/>
      <c r="C1866" s="74"/>
      <c r="D1866" s="74"/>
      <c r="E1866" s="74"/>
      <c r="F1866" s="74"/>
      <c r="G1866" s="74"/>
    </row>
    <row r="1867" spans="1:7" s="71" customFormat="1" x14ac:dyDescent="0.2">
      <c r="A1867" s="74"/>
      <c r="B1867" s="74"/>
      <c r="C1867" s="74"/>
      <c r="D1867" s="74"/>
      <c r="E1867" s="74"/>
      <c r="F1867" s="74"/>
      <c r="G1867" s="74"/>
    </row>
    <row r="1868" spans="1:7" s="71" customFormat="1" x14ac:dyDescent="0.2">
      <c r="A1868" s="74"/>
      <c r="B1868" s="74"/>
      <c r="C1868" s="74"/>
      <c r="D1868" s="74"/>
      <c r="E1868" s="74"/>
      <c r="F1868" s="74"/>
      <c r="G1868" s="74"/>
    </row>
    <row r="1869" spans="1:7" s="71" customFormat="1" x14ac:dyDescent="0.2">
      <c r="A1869" s="74"/>
      <c r="B1869" s="74"/>
      <c r="C1869" s="74"/>
      <c r="D1869" s="74"/>
      <c r="E1869" s="74"/>
      <c r="F1869" s="74"/>
      <c r="G1869" s="74"/>
    </row>
    <row r="1870" spans="1:7" s="71" customFormat="1" x14ac:dyDescent="0.2">
      <c r="A1870" s="74"/>
      <c r="B1870" s="74"/>
      <c r="C1870" s="74"/>
      <c r="D1870" s="74"/>
      <c r="E1870" s="74"/>
      <c r="F1870" s="74"/>
      <c r="G1870" s="74"/>
    </row>
    <row r="1871" spans="1:7" s="71" customFormat="1" x14ac:dyDescent="0.2">
      <c r="A1871" s="74"/>
      <c r="B1871" s="74"/>
      <c r="C1871" s="74"/>
      <c r="D1871" s="74"/>
      <c r="E1871" s="74"/>
      <c r="F1871" s="74"/>
      <c r="G1871" s="74"/>
    </row>
    <row r="1872" spans="1:7" s="71" customFormat="1" x14ac:dyDescent="0.2">
      <c r="A1872" s="74"/>
      <c r="B1872" s="74"/>
      <c r="C1872" s="74"/>
      <c r="D1872" s="74"/>
      <c r="E1872" s="74"/>
      <c r="F1872" s="74"/>
      <c r="G1872" s="74"/>
    </row>
    <row r="1873" spans="1:7" s="71" customFormat="1" x14ac:dyDescent="0.2">
      <c r="A1873" s="74"/>
      <c r="B1873" s="74"/>
      <c r="C1873" s="74"/>
      <c r="D1873" s="74"/>
      <c r="E1873" s="74"/>
      <c r="F1873" s="74"/>
      <c r="G1873" s="74"/>
    </row>
    <row r="1874" spans="1:7" s="71" customFormat="1" x14ac:dyDescent="0.2">
      <c r="A1874" s="74"/>
      <c r="B1874" s="74"/>
      <c r="C1874" s="74"/>
      <c r="D1874" s="74"/>
      <c r="E1874" s="74"/>
      <c r="F1874" s="74"/>
      <c r="G1874" s="74"/>
    </row>
    <row r="1875" spans="1:7" s="71" customFormat="1" x14ac:dyDescent="0.2">
      <c r="A1875" s="74"/>
      <c r="B1875" s="74"/>
      <c r="C1875" s="74"/>
      <c r="D1875" s="74"/>
      <c r="E1875" s="74"/>
      <c r="F1875" s="74"/>
      <c r="G1875" s="74"/>
    </row>
    <row r="1876" spans="1:7" s="71" customFormat="1" x14ac:dyDescent="0.2">
      <c r="A1876" s="74"/>
      <c r="B1876" s="74"/>
      <c r="C1876" s="74"/>
      <c r="D1876" s="74"/>
      <c r="E1876" s="74"/>
      <c r="F1876" s="74"/>
      <c r="G1876" s="74"/>
    </row>
    <row r="1877" spans="1:7" s="71" customFormat="1" x14ac:dyDescent="0.2">
      <c r="A1877" s="74"/>
      <c r="B1877" s="74"/>
      <c r="C1877" s="74"/>
      <c r="D1877" s="74"/>
      <c r="E1877" s="74"/>
      <c r="F1877" s="74"/>
      <c r="G1877" s="74"/>
    </row>
    <row r="1878" spans="1:7" s="71" customFormat="1" x14ac:dyDescent="0.2">
      <c r="A1878" s="74"/>
      <c r="B1878" s="74"/>
      <c r="C1878" s="74"/>
      <c r="D1878" s="74"/>
      <c r="E1878" s="74"/>
      <c r="F1878" s="74"/>
      <c r="G1878" s="74"/>
    </row>
    <row r="1879" spans="1:7" s="71" customFormat="1" x14ac:dyDescent="0.2">
      <c r="A1879" s="74"/>
      <c r="B1879" s="74"/>
      <c r="C1879" s="74"/>
      <c r="D1879" s="74"/>
      <c r="E1879" s="74"/>
      <c r="F1879" s="74"/>
      <c r="G1879" s="74"/>
    </row>
    <row r="1880" spans="1:7" s="71" customFormat="1" x14ac:dyDescent="0.2">
      <c r="A1880" s="74"/>
      <c r="B1880" s="74"/>
      <c r="C1880" s="74"/>
      <c r="D1880" s="74"/>
      <c r="E1880" s="74"/>
      <c r="F1880" s="74"/>
      <c r="G1880" s="74"/>
    </row>
    <row r="1881" spans="1:7" s="71" customFormat="1" x14ac:dyDescent="0.2">
      <c r="A1881" s="74"/>
      <c r="B1881" s="74"/>
      <c r="C1881" s="74"/>
      <c r="D1881" s="74"/>
      <c r="E1881" s="74"/>
      <c r="F1881" s="74"/>
      <c r="G1881" s="74"/>
    </row>
    <row r="1882" spans="1:7" s="71" customFormat="1" x14ac:dyDescent="0.2">
      <c r="A1882" s="74"/>
      <c r="B1882" s="74"/>
      <c r="C1882" s="74"/>
      <c r="D1882" s="74"/>
      <c r="E1882" s="74"/>
      <c r="F1882" s="74"/>
      <c r="G1882" s="74"/>
    </row>
    <row r="1883" spans="1:7" s="71" customFormat="1" x14ac:dyDescent="0.2">
      <c r="A1883" s="74"/>
      <c r="B1883" s="74"/>
      <c r="C1883" s="74"/>
      <c r="D1883" s="74"/>
      <c r="E1883" s="74"/>
      <c r="F1883" s="74"/>
      <c r="G1883" s="74"/>
    </row>
    <row r="1884" spans="1:7" s="71" customFormat="1" x14ac:dyDescent="0.2">
      <c r="A1884" s="74"/>
      <c r="B1884" s="74"/>
      <c r="C1884" s="74"/>
      <c r="D1884" s="74"/>
      <c r="E1884" s="74"/>
      <c r="F1884" s="74"/>
      <c r="G1884" s="74"/>
    </row>
    <row r="1885" spans="1:7" s="71" customFormat="1" x14ac:dyDescent="0.2">
      <c r="A1885" s="74"/>
      <c r="B1885" s="74"/>
      <c r="C1885" s="74"/>
      <c r="D1885" s="74"/>
      <c r="E1885" s="74"/>
      <c r="F1885" s="74"/>
      <c r="G1885" s="74"/>
    </row>
    <row r="1886" spans="1:7" s="71" customFormat="1" x14ac:dyDescent="0.2">
      <c r="A1886" s="74"/>
      <c r="B1886" s="74"/>
      <c r="C1886" s="74"/>
      <c r="D1886" s="74"/>
      <c r="E1886" s="74"/>
      <c r="F1886" s="74"/>
      <c r="G1886" s="74"/>
    </row>
    <row r="1887" spans="1:7" s="71" customFormat="1" x14ac:dyDescent="0.2">
      <c r="A1887" s="74"/>
      <c r="B1887" s="74"/>
      <c r="C1887" s="74"/>
      <c r="D1887" s="74"/>
      <c r="E1887" s="74"/>
      <c r="F1887" s="74"/>
      <c r="G1887" s="74"/>
    </row>
    <row r="1888" spans="1:7" s="71" customFormat="1" x14ac:dyDescent="0.2">
      <c r="A1888" s="74"/>
      <c r="B1888" s="74"/>
      <c r="C1888" s="74"/>
      <c r="D1888" s="74"/>
      <c r="E1888" s="74"/>
      <c r="F1888" s="74"/>
      <c r="G1888" s="74"/>
    </row>
    <row r="1889" spans="1:7" s="71" customFormat="1" x14ac:dyDescent="0.2">
      <c r="A1889" s="74"/>
      <c r="B1889" s="74"/>
      <c r="C1889" s="74"/>
      <c r="D1889" s="74"/>
      <c r="E1889" s="74"/>
      <c r="F1889" s="74"/>
      <c r="G1889" s="74"/>
    </row>
    <row r="1890" spans="1:7" s="71" customFormat="1" x14ac:dyDescent="0.2">
      <c r="A1890" s="74"/>
      <c r="B1890" s="74"/>
      <c r="C1890" s="74"/>
      <c r="D1890" s="74"/>
      <c r="E1890" s="74"/>
      <c r="F1890" s="74"/>
      <c r="G1890" s="74"/>
    </row>
    <row r="1891" spans="1:7" s="71" customFormat="1" x14ac:dyDescent="0.2">
      <c r="A1891" s="74"/>
      <c r="B1891" s="74"/>
      <c r="C1891" s="74"/>
      <c r="D1891" s="74"/>
      <c r="E1891" s="74"/>
      <c r="F1891" s="74"/>
      <c r="G1891" s="74"/>
    </row>
    <row r="1892" spans="1:7" s="71" customFormat="1" x14ac:dyDescent="0.2">
      <c r="A1892" s="74"/>
      <c r="B1892" s="74"/>
      <c r="C1892" s="74"/>
      <c r="D1892" s="74"/>
      <c r="E1892" s="74"/>
      <c r="F1892" s="74"/>
      <c r="G1892" s="74"/>
    </row>
    <row r="1893" spans="1:7" s="71" customFormat="1" x14ac:dyDescent="0.2">
      <c r="A1893" s="74"/>
      <c r="B1893" s="74"/>
      <c r="C1893" s="74"/>
      <c r="D1893" s="74"/>
      <c r="E1893" s="74"/>
      <c r="F1893" s="74"/>
      <c r="G1893" s="74"/>
    </row>
    <row r="1894" spans="1:7" s="71" customFormat="1" x14ac:dyDescent="0.2">
      <c r="A1894" s="74"/>
      <c r="B1894" s="74"/>
      <c r="C1894" s="74"/>
      <c r="D1894" s="74"/>
      <c r="E1894" s="74"/>
      <c r="F1894" s="74"/>
      <c r="G1894" s="74"/>
    </row>
    <row r="1895" spans="1:7" s="71" customFormat="1" x14ac:dyDescent="0.2">
      <c r="A1895" s="74"/>
      <c r="B1895" s="74"/>
      <c r="C1895" s="74"/>
      <c r="D1895" s="74"/>
      <c r="E1895" s="74"/>
      <c r="F1895" s="74"/>
      <c r="G1895" s="74"/>
    </row>
    <row r="1896" spans="1:7" s="71" customFormat="1" x14ac:dyDescent="0.2">
      <c r="A1896" s="74"/>
      <c r="B1896" s="74"/>
      <c r="C1896" s="74"/>
      <c r="D1896" s="74"/>
      <c r="E1896" s="74"/>
      <c r="F1896" s="74"/>
      <c r="G1896" s="74"/>
    </row>
    <row r="1897" spans="1:7" s="71" customFormat="1" x14ac:dyDescent="0.2">
      <c r="A1897" s="74"/>
      <c r="B1897" s="74"/>
      <c r="C1897" s="74"/>
      <c r="D1897" s="74"/>
      <c r="E1897" s="74"/>
      <c r="F1897" s="74"/>
      <c r="G1897" s="74"/>
    </row>
    <row r="1898" spans="1:7" s="71" customFormat="1" x14ac:dyDescent="0.2">
      <c r="A1898" s="74"/>
      <c r="B1898" s="74"/>
      <c r="C1898" s="74"/>
      <c r="D1898" s="74"/>
      <c r="E1898" s="74"/>
      <c r="F1898" s="74"/>
      <c r="G1898" s="74"/>
    </row>
    <row r="1899" spans="1:7" s="71" customFormat="1" x14ac:dyDescent="0.2">
      <c r="A1899" s="74"/>
      <c r="B1899" s="74"/>
      <c r="C1899" s="74"/>
      <c r="D1899" s="74"/>
      <c r="E1899" s="74"/>
      <c r="F1899" s="74"/>
      <c r="G1899" s="74"/>
    </row>
    <row r="1900" spans="1:7" s="71" customFormat="1" x14ac:dyDescent="0.2">
      <c r="A1900" s="74"/>
      <c r="B1900" s="74"/>
      <c r="C1900" s="74"/>
      <c r="D1900" s="74"/>
      <c r="E1900" s="74"/>
      <c r="F1900" s="74"/>
      <c r="G1900" s="74"/>
    </row>
    <row r="1901" spans="1:7" s="71" customFormat="1" x14ac:dyDescent="0.2">
      <c r="A1901" s="74"/>
      <c r="B1901" s="74"/>
      <c r="C1901" s="74"/>
      <c r="D1901" s="74"/>
      <c r="E1901" s="74"/>
      <c r="F1901" s="74"/>
      <c r="G1901" s="74"/>
    </row>
    <row r="1902" spans="1:7" s="71" customFormat="1" x14ac:dyDescent="0.2">
      <c r="A1902" s="74"/>
      <c r="B1902" s="74"/>
      <c r="C1902" s="74"/>
      <c r="D1902" s="74"/>
      <c r="E1902" s="74"/>
      <c r="F1902" s="74"/>
      <c r="G1902" s="74"/>
    </row>
    <row r="1903" spans="1:7" s="71" customFormat="1" x14ac:dyDescent="0.2">
      <c r="A1903" s="74"/>
      <c r="B1903" s="74"/>
      <c r="C1903" s="74"/>
      <c r="D1903" s="74"/>
      <c r="E1903" s="74"/>
      <c r="F1903" s="74"/>
      <c r="G1903" s="74"/>
    </row>
    <row r="1904" spans="1:7" s="71" customFormat="1" x14ac:dyDescent="0.2">
      <c r="A1904" s="74"/>
      <c r="B1904" s="74"/>
      <c r="C1904" s="74"/>
      <c r="D1904" s="74"/>
      <c r="E1904" s="74"/>
      <c r="F1904" s="74"/>
      <c r="G1904" s="74"/>
    </row>
    <row r="1905" spans="1:7" s="71" customFormat="1" x14ac:dyDescent="0.2">
      <c r="A1905" s="74"/>
      <c r="B1905" s="74"/>
      <c r="C1905" s="74"/>
      <c r="D1905" s="74"/>
      <c r="E1905" s="74"/>
      <c r="F1905" s="74"/>
      <c r="G1905" s="74"/>
    </row>
    <row r="1906" spans="1:7" s="71" customFormat="1" x14ac:dyDescent="0.2">
      <c r="A1906" s="74"/>
      <c r="B1906" s="74"/>
      <c r="C1906" s="74"/>
      <c r="D1906" s="74"/>
      <c r="E1906" s="74"/>
      <c r="F1906" s="74"/>
      <c r="G1906" s="74"/>
    </row>
    <row r="1907" spans="1:7" s="71" customFormat="1" x14ac:dyDescent="0.2">
      <c r="A1907" s="74"/>
      <c r="B1907" s="74"/>
      <c r="C1907" s="74"/>
      <c r="D1907" s="74"/>
      <c r="E1907" s="74"/>
      <c r="F1907" s="74"/>
      <c r="G1907" s="74"/>
    </row>
    <row r="1908" spans="1:7" s="71" customFormat="1" x14ac:dyDescent="0.2">
      <c r="A1908" s="74"/>
      <c r="B1908" s="74"/>
      <c r="C1908" s="74"/>
      <c r="D1908" s="74"/>
      <c r="E1908" s="74"/>
      <c r="F1908" s="74"/>
      <c r="G1908" s="74"/>
    </row>
    <row r="1909" spans="1:7" s="71" customFormat="1" x14ac:dyDescent="0.2">
      <c r="A1909" s="74"/>
      <c r="B1909" s="74"/>
      <c r="C1909" s="74"/>
      <c r="D1909" s="74"/>
      <c r="E1909" s="74"/>
      <c r="F1909" s="74"/>
      <c r="G1909" s="74"/>
    </row>
    <row r="1910" spans="1:7" s="71" customFormat="1" x14ac:dyDescent="0.2">
      <c r="A1910" s="74"/>
      <c r="B1910" s="74"/>
      <c r="C1910" s="74"/>
      <c r="D1910" s="74"/>
      <c r="E1910" s="74"/>
      <c r="F1910" s="74"/>
      <c r="G1910" s="74"/>
    </row>
    <row r="1911" spans="1:7" s="71" customFormat="1" x14ac:dyDescent="0.2">
      <c r="A1911" s="74"/>
      <c r="B1911" s="74"/>
      <c r="C1911" s="74"/>
      <c r="D1911" s="74"/>
      <c r="E1911" s="74"/>
      <c r="F1911" s="74"/>
      <c r="G1911" s="74"/>
    </row>
    <row r="1912" spans="1:7" s="71" customFormat="1" x14ac:dyDescent="0.2">
      <c r="A1912" s="74"/>
      <c r="B1912" s="74"/>
      <c r="C1912" s="74"/>
      <c r="D1912" s="74"/>
      <c r="E1912" s="74"/>
      <c r="F1912" s="74"/>
      <c r="G1912" s="74"/>
    </row>
    <row r="1913" spans="1:7" s="71" customFormat="1" x14ac:dyDescent="0.2">
      <c r="A1913" s="74"/>
      <c r="B1913" s="74"/>
      <c r="C1913" s="74"/>
      <c r="D1913" s="74"/>
      <c r="E1913" s="74"/>
      <c r="F1913" s="74"/>
      <c r="G1913" s="74"/>
    </row>
    <row r="1914" spans="1:7" s="71" customFormat="1" x14ac:dyDescent="0.2">
      <c r="A1914" s="74"/>
      <c r="B1914" s="74"/>
      <c r="C1914" s="74"/>
      <c r="D1914" s="74"/>
      <c r="E1914" s="74"/>
      <c r="F1914" s="74"/>
      <c r="G1914" s="74"/>
    </row>
    <row r="1915" spans="1:7" s="71" customFormat="1" x14ac:dyDescent="0.2">
      <c r="A1915" s="74"/>
      <c r="B1915" s="74"/>
      <c r="C1915" s="74"/>
      <c r="D1915" s="74"/>
      <c r="E1915" s="74"/>
      <c r="F1915" s="74"/>
      <c r="G1915" s="74"/>
    </row>
    <row r="1916" spans="1:7" s="71" customFormat="1" x14ac:dyDescent="0.2">
      <c r="A1916" s="74"/>
      <c r="B1916" s="74"/>
      <c r="C1916" s="74"/>
      <c r="D1916" s="74"/>
      <c r="E1916" s="74"/>
      <c r="F1916" s="74"/>
      <c r="G1916" s="74"/>
    </row>
    <row r="1917" spans="1:7" s="71" customFormat="1" x14ac:dyDescent="0.2">
      <c r="A1917" s="74"/>
      <c r="B1917" s="74"/>
      <c r="C1917" s="74"/>
      <c r="D1917" s="74"/>
      <c r="E1917" s="74"/>
      <c r="F1917" s="74"/>
      <c r="G1917" s="74"/>
    </row>
    <row r="1918" spans="1:7" s="71" customFormat="1" x14ac:dyDescent="0.2">
      <c r="A1918" s="74"/>
      <c r="B1918" s="74"/>
      <c r="C1918" s="74"/>
      <c r="D1918" s="74"/>
      <c r="E1918" s="74"/>
      <c r="F1918" s="74"/>
      <c r="G1918" s="74"/>
    </row>
    <row r="1919" spans="1:7" s="71" customFormat="1" x14ac:dyDescent="0.2">
      <c r="A1919" s="74"/>
      <c r="B1919" s="74"/>
      <c r="C1919" s="74"/>
      <c r="D1919" s="74"/>
      <c r="E1919" s="74"/>
      <c r="F1919" s="74"/>
      <c r="G1919" s="74"/>
    </row>
    <row r="1920" spans="1:7" s="71" customFormat="1" x14ac:dyDescent="0.2">
      <c r="A1920" s="74"/>
      <c r="B1920" s="74"/>
      <c r="C1920" s="74"/>
      <c r="D1920" s="74"/>
      <c r="E1920" s="74"/>
      <c r="F1920" s="74"/>
      <c r="G1920" s="74"/>
    </row>
    <row r="1921" spans="1:7" s="71" customFormat="1" x14ac:dyDescent="0.2">
      <c r="A1921" s="74"/>
      <c r="B1921" s="74"/>
      <c r="C1921" s="74"/>
      <c r="D1921" s="74"/>
      <c r="E1921" s="74"/>
      <c r="F1921" s="74"/>
      <c r="G1921" s="74"/>
    </row>
    <row r="1922" spans="1:7" s="71" customFormat="1" x14ac:dyDescent="0.2">
      <c r="A1922" s="74"/>
      <c r="B1922" s="74"/>
      <c r="C1922" s="74"/>
      <c r="D1922" s="74"/>
      <c r="E1922" s="74"/>
      <c r="F1922" s="74"/>
      <c r="G1922" s="74"/>
    </row>
    <row r="1923" spans="1:7" s="71" customFormat="1" x14ac:dyDescent="0.2">
      <c r="A1923" s="74"/>
      <c r="B1923" s="74"/>
      <c r="C1923" s="74"/>
      <c r="D1923" s="74"/>
      <c r="E1923" s="74"/>
      <c r="F1923" s="74"/>
      <c r="G1923" s="74"/>
    </row>
    <row r="1924" spans="1:7" s="71" customFormat="1" x14ac:dyDescent="0.2">
      <c r="A1924" s="74"/>
      <c r="B1924" s="74"/>
      <c r="C1924" s="74"/>
      <c r="D1924" s="74"/>
      <c r="E1924" s="74"/>
      <c r="F1924" s="74"/>
      <c r="G1924" s="74"/>
    </row>
    <row r="1925" spans="1:7" s="71" customFormat="1" x14ac:dyDescent="0.2">
      <c r="A1925" s="74"/>
      <c r="B1925" s="74"/>
      <c r="C1925" s="74"/>
      <c r="D1925" s="74"/>
      <c r="E1925" s="74"/>
      <c r="F1925" s="74"/>
      <c r="G1925" s="74"/>
    </row>
    <row r="1926" spans="1:7" s="71" customFormat="1" x14ac:dyDescent="0.2">
      <c r="A1926" s="74"/>
      <c r="B1926" s="74"/>
      <c r="C1926" s="74"/>
      <c r="D1926" s="74"/>
      <c r="E1926" s="74"/>
      <c r="F1926" s="74"/>
      <c r="G1926" s="74"/>
    </row>
    <row r="1927" spans="1:7" s="71" customFormat="1" x14ac:dyDescent="0.2">
      <c r="A1927" s="74"/>
      <c r="B1927" s="74"/>
      <c r="C1927" s="74"/>
      <c r="D1927" s="74"/>
      <c r="E1927" s="74"/>
      <c r="F1927" s="74"/>
      <c r="G1927" s="74"/>
    </row>
    <row r="1928" spans="1:7" s="71" customFormat="1" x14ac:dyDescent="0.2">
      <c r="A1928" s="74"/>
      <c r="B1928" s="74"/>
      <c r="C1928" s="74"/>
      <c r="D1928" s="74"/>
      <c r="E1928" s="74"/>
      <c r="F1928" s="74"/>
      <c r="G1928" s="74"/>
    </row>
    <row r="1929" spans="1:7" s="71" customFormat="1" x14ac:dyDescent="0.2">
      <c r="A1929" s="74"/>
      <c r="B1929" s="74"/>
      <c r="C1929" s="74"/>
      <c r="D1929" s="74"/>
      <c r="E1929" s="74"/>
      <c r="F1929" s="74"/>
      <c r="G1929" s="74"/>
    </row>
    <row r="1930" spans="1:7" s="71" customFormat="1" x14ac:dyDescent="0.2">
      <c r="A1930" s="74"/>
      <c r="B1930" s="74"/>
      <c r="C1930" s="74"/>
      <c r="D1930" s="74"/>
      <c r="E1930" s="74"/>
      <c r="F1930" s="74"/>
      <c r="G1930" s="74"/>
    </row>
    <row r="1931" spans="1:7" s="71" customFormat="1" x14ac:dyDescent="0.2">
      <c r="A1931" s="74"/>
      <c r="B1931" s="74"/>
      <c r="C1931" s="74"/>
      <c r="D1931" s="74"/>
      <c r="E1931" s="74"/>
      <c r="F1931" s="74"/>
      <c r="G1931" s="74"/>
    </row>
    <row r="1932" spans="1:7" s="71" customFormat="1" x14ac:dyDescent="0.2">
      <c r="A1932" s="74"/>
      <c r="B1932" s="74"/>
      <c r="C1932" s="74"/>
      <c r="D1932" s="74"/>
      <c r="E1932" s="74"/>
      <c r="F1932" s="74"/>
      <c r="G1932" s="74"/>
    </row>
    <row r="1933" spans="1:7" s="71" customFormat="1" x14ac:dyDescent="0.2">
      <c r="A1933" s="74"/>
      <c r="B1933" s="74"/>
      <c r="C1933" s="74"/>
      <c r="D1933" s="74"/>
      <c r="E1933" s="74"/>
      <c r="F1933" s="74"/>
      <c r="G1933" s="74"/>
    </row>
    <row r="1934" spans="1:7" s="71" customFormat="1" x14ac:dyDescent="0.2">
      <c r="A1934" s="74"/>
      <c r="B1934" s="74"/>
      <c r="C1934" s="74"/>
      <c r="D1934" s="74"/>
      <c r="E1934" s="74"/>
      <c r="F1934" s="74"/>
      <c r="G1934" s="74"/>
    </row>
    <row r="1935" spans="1:7" s="71" customFormat="1" x14ac:dyDescent="0.2">
      <c r="A1935" s="74"/>
      <c r="B1935" s="74"/>
      <c r="C1935" s="74"/>
      <c r="D1935" s="74"/>
      <c r="E1935" s="74"/>
      <c r="F1935" s="74"/>
      <c r="G1935" s="74"/>
    </row>
    <row r="1936" spans="1:7" s="71" customFormat="1" x14ac:dyDescent="0.2">
      <c r="A1936" s="74"/>
      <c r="B1936" s="74"/>
      <c r="C1936" s="74"/>
      <c r="D1936" s="74"/>
      <c r="E1936" s="74"/>
      <c r="F1936" s="74"/>
      <c r="G1936" s="74"/>
    </row>
    <row r="1937" spans="1:7" s="71" customFormat="1" x14ac:dyDescent="0.2">
      <c r="A1937" s="74"/>
      <c r="B1937" s="74"/>
      <c r="C1937" s="74"/>
      <c r="D1937" s="74"/>
      <c r="E1937" s="74"/>
      <c r="F1937" s="74"/>
      <c r="G1937" s="74"/>
    </row>
    <row r="1938" spans="1:7" s="71" customFormat="1" x14ac:dyDescent="0.2">
      <c r="A1938" s="74"/>
      <c r="B1938" s="74"/>
      <c r="C1938" s="74"/>
      <c r="D1938" s="74"/>
      <c r="E1938" s="74"/>
      <c r="F1938" s="74"/>
      <c r="G1938" s="74"/>
    </row>
    <row r="1939" spans="1:7" s="71" customFormat="1" x14ac:dyDescent="0.2">
      <c r="A1939" s="74"/>
      <c r="B1939" s="74"/>
      <c r="C1939" s="74"/>
      <c r="D1939" s="74"/>
      <c r="E1939" s="74"/>
      <c r="F1939" s="74"/>
      <c r="G1939" s="74"/>
    </row>
    <row r="1940" spans="1:7" s="71" customFormat="1" x14ac:dyDescent="0.2">
      <c r="A1940" s="74"/>
      <c r="B1940" s="74"/>
      <c r="C1940" s="74"/>
      <c r="D1940" s="74"/>
      <c r="E1940" s="74"/>
      <c r="F1940" s="74"/>
      <c r="G1940" s="74"/>
    </row>
    <row r="1941" spans="1:7" s="71" customFormat="1" x14ac:dyDescent="0.2">
      <c r="A1941" s="74"/>
      <c r="B1941" s="74"/>
      <c r="C1941" s="74"/>
      <c r="D1941" s="74"/>
      <c r="E1941" s="74"/>
      <c r="F1941" s="74"/>
      <c r="G1941" s="74"/>
    </row>
    <row r="1942" spans="1:7" s="71" customFormat="1" x14ac:dyDescent="0.2">
      <c r="A1942" s="74"/>
      <c r="B1942" s="74"/>
      <c r="C1942" s="74"/>
      <c r="D1942" s="74"/>
      <c r="E1942" s="74"/>
      <c r="F1942" s="74"/>
      <c r="G1942" s="74"/>
    </row>
    <row r="1943" spans="1:7" s="71" customFormat="1" x14ac:dyDescent="0.2">
      <c r="A1943" s="74"/>
      <c r="B1943" s="74"/>
      <c r="C1943" s="74"/>
      <c r="D1943" s="74"/>
      <c r="E1943" s="74"/>
      <c r="F1943" s="74"/>
      <c r="G1943" s="74"/>
    </row>
    <row r="1944" spans="1:7" s="71" customFormat="1" x14ac:dyDescent="0.2">
      <c r="A1944" s="74"/>
      <c r="B1944" s="74"/>
      <c r="C1944" s="74"/>
      <c r="D1944" s="74"/>
      <c r="E1944" s="74"/>
      <c r="F1944" s="74"/>
      <c r="G1944" s="74"/>
    </row>
    <row r="1945" spans="1:7" s="71" customFormat="1" x14ac:dyDescent="0.2">
      <c r="A1945" s="74"/>
      <c r="B1945" s="74"/>
      <c r="C1945" s="74"/>
      <c r="D1945" s="74"/>
      <c r="E1945" s="74"/>
      <c r="F1945" s="74"/>
      <c r="G1945" s="74"/>
    </row>
    <row r="1946" spans="1:7" s="71" customFormat="1" x14ac:dyDescent="0.2">
      <c r="A1946" s="74"/>
      <c r="B1946" s="74"/>
      <c r="C1946" s="74"/>
      <c r="D1946" s="74"/>
      <c r="E1946" s="74"/>
      <c r="F1946" s="74"/>
      <c r="G1946" s="74"/>
    </row>
    <row r="1947" spans="1:7" s="71" customFormat="1" x14ac:dyDescent="0.2">
      <c r="A1947" s="74"/>
      <c r="B1947" s="74"/>
      <c r="C1947" s="74"/>
      <c r="D1947" s="74"/>
      <c r="E1947" s="74"/>
      <c r="F1947" s="74"/>
      <c r="G1947" s="74"/>
    </row>
    <row r="1948" spans="1:7" s="71" customFormat="1" x14ac:dyDescent="0.2">
      <c r="A1948" s="74"/>
      <c r="B1948" s="74"/>
      <c r="C1948" s="74"/>
      <c r="D1948" s="74"/>
      <c r="E1948" s="74"/>
      <c r="F1948" s="74"/>
      <c r="G1948" s="74"/>
    </row>
    <row r="1949" spans="1:7" s="71" customFormat="1" x14ac:dyDescent="0.2">
      <c r="A1949" s="74"/>
      <c r="B1949" s="74"/>
      <c r="C1949" s="74"/>
      <c r="D1949" s="74"/>
      <c r="E1949" s="74"/>
      <c r="F1949" s="74"/>
      <c r="G1949" s="74"/>
    </row>
    <row r="1950" spans="1:7" s="71" customFormat="1" x14ac:dyDescent="0.2">
      <c r="A1950" s="74"/>
      <c r="B1950" s="74"/>
      <c r="C1950" s="74"/>
      <c r="D1950" s="74"/>
      <c r="E1950" s="74"/>
      <c r="F1950" s="74"/>
      <c r="G1950" s="74"/>
    </row>
    <row r="1951" spans="1:7" s="71" customFormat="1" x14ac:dyDescent="0.2">
      <c r="A1951" s="74"/>
      <c r="B1951" s="74"/>
      <c r="C1951" s="74"/>
      <c r="D1951" s="74"/>
      <c r="E1951" s="74"/>
      <c r="F1951" s="74"/>
      <c r="G1951" s="74"/>
    </row>
    <row r="1952" spans="1:7" s="71" customFormat="1" x14ac:dyDescent="0.2">
      <c r="A1952" s="74"/>
      <c r="B1952" s="74"/>
      <c r="C1952" s="74"/>
      <c r="D1952" s="74"/>
      <c r="E1952" s="74"/>
      <c r="F1952" s="74"/>
      <c r="G1952" s="74"/>
    </row>
    <row r="1953" spans="1:7" s="71" customFormat="1" x14ac:dyDescent="0.2">
      <c r="A1953" s="74"/>
      <c r="B1953" s="74"/>
      <c r="C1953" s="74"/>
      <c r="D1953" s="74"/>
      <c r="E1953" s="74"/>
      <c r="F1953" s="74"/>
      <c r="G1953" s="74"/>
    </row>
    <row r="1954" spans="1:7" s="71" customFormat="1" x14ac:dyDescent="0.2">
      <c r="A1954" s="74"/>
      <c r="B1954" s="74"/>
      <c r="C1954" s="74"/>
      <c r="D1954" s="74"/>
      <c r="E1954" s="74"/>
      <c r="F1954" s="74"/>
      <c r="G1954" s="74"/>
    </row>
    <row r="1955" spans="1:7" s="71" customFormat="1" x14ac:dyDescent="0.2">
      <c r="A1955" s="74"/>
      <c r="B1955" s="74"/>
      <c r="C1955" s="74"/>
      <c r="D1955" s="74"/>
      <c r="E1955" s="74"/>
      <c r="F1955" s="74"/>
      <c r="G1955" s="74"/>
    </row>
    <row r="1956" spans="1:7" s="71" customFormat="1" x14ac:dyDescent="0.2">
      <c r="A1956" s="74"/>
      <c r="B1956" s="74"/>
      <c r="C1956" s="74"/>
      <c r="D1956" s="74"/>
      <c r="E1956" s="74"/>
      <c r="F1956" s="74"/>
      <c r="G1956" s="74"/>
    </row>
    <row r="1957" spans="1:7" s="71" customFormat="1" x14ac:dyDescent="0.2">
      <c r="A1957" s="74"/>
      <c r="B1957" s="74"/>
      <c r="C1957" s="74"/>
      <c r="D1957" s="74"/>
      <c r="E1957" s="74"/>
      <c r="F1957" s="74"/>
      <c r="G1957" s="74"/>
    </row>
    <row r="1958" spans="1:7" s="71" customFormat="1" x14ac:dyDescent="0.2">
      <c r="A1958" s="74"/>
      <c r="B1958" s="74"/>
      <c r="C1958" s="74"/>
      <c r="D1958" s="74"/>
      <c r="E1958" s="74"/>
      <c r="F1958" s="74"/>
      <c r="G1958" s="74"/>
    </row>
    <row r="1959" spans="1:7" s="71" customFormat="1" x14ac:dyDescent="0.2">
      <c r="A1959" s="74"/>
      <c r="B1959" s="74"/>
      <c r="C1959" s="74"/>
      <c r="D1959" s="74"/>
      <c r="E1959" s="74"/>
      <c r="F1959" s="74"/>
      <c r="G1959" s="74"/>
    </row>
    <row r="1960" spans="1:7" s="71" customFormat="1" x14ac:dyDescent="0.2">
      <c r="A1960" s="74"/>
      <c r="B1960" s="74"/>
      <c r="C1960" s="74"/>
      <c r="D1960" s="74"/>
      <c r="E1960" s="74"/>
      <c r="F1960" s="74"/>
      <c r="G1960" s="74"/>
    </row>
    <row r="1961" spans="1:7" s="71" customFormat="1" x14ac:dyDescent="0.2">
      <c r="A1961" s="74"/>
      <c r="B1961" s="74"/>
      <c r="C1961" s="74"/>
      <c r="D1961" s="74"/>
      <c r="E1961" s="74"/>
      <c r="F1961" s="74"/>
      <c r="G1961" s="74"/>
    </row>
    <row r="1962" spans="1:7" s="71" customFormat="1" x14ac:dyDescent="0.2">
      <c r="A1962" s="74"/>
      <c r="B1962" s="74"/>
      <c r="C1962" s="74"/>
      <c r="D1962" s="74"/>
      <c r="E1962" s="74"/>
      <c r="F1962" s="74"/>
      <c r="G1962" s="74"/>
    </row>
    <row r="1963" spans="1:7" s="71" customFormat="1" x14ac:dyDescent="0.2">
      <c r="A1963" s="74"/>
      <c r="B1963" s="74"/>
      <c r="C1963" s="74"/>
      <c r="D1963" s="74"/>
      <c r="E1963" s="74"/>
      <c r="F1963" s="74"/>
      <c r="G1963" s="74"/>
    </row>
    <row r="1964" spans="1:7" s="71" customFormat="1" x14ac:dyDescent="0.2">
      <c r="A1964" s="74"/>
      <c r="B1964" s="74"/>
      <c r="C1964" s="74"/>
      <c r="D1964" s="74"/>
      <c r="E1964" s="74"/>
      <c r="F1964" s="74"/>
      <c r="G1964" s="74"/>
    </row>
    <row r="1965" spans="1:7" s="71" customFormat="1" x14ac:dyDescent="0.2">
      <c r="A1965" s="74"/>
      <c r="B1965" s="74"/>
      <c r="C1965" s="74"/>
      <c r="D1965" s="74"/>
      <c r="E1965" s="74"/>
      <c r="F1965" s="74"/>
      <c r="G1965" s="74"/>
    </row>
    <row r="1966" spans="1:7" s="71" customFormat="1" x14ac:dyDescent="0.2">
      <c r="A1966" s="74"/>
      <c r="B1966" s="74"/>
      <c r="C1966" s="74"/>
      <c r="D1966" s="74"/>
      <c r="E1966" s="74"/>
      <c r="F1966" s="74"/>
      <c r="G1966" s="74"/>
    </row>
    <row r="1967" spans="1:7" s="71" customFormat="1" x14ac:dyDescent="0.2">
      <c r="A1967" s="74"/>
      <c r="B1967" s="74"/>
      <c r="C1967" s="74"/>
      <c r="D1967" s="74"/>
      <c r="E1967" s="74"/>
      <c r="F1967" s="74"/>
      <c r="G1967" s="74"/>
    </row>
    <row r="1968" spans="1:7" s="71" customFormat="1" x14ac:dyDescent="0.2">
      <c r="A1968" s="74"/>
      <c r="B1968" s="74"/>
      <c r="C1968" s="74"/>
      <c r="D1968" s="74"/>
      <c r="E1968" s="74"/>
      <c r="F1968" s="74"/>
      <c r="G1968" s="74"/>
    </row>
    <row r="1969" spans="1:7" s="71" customFormat="1" x14ac:dyDescent="0.2">
      <c r="A1969" s="74"/>
      <c r="B1969" s="74"/>
      <c r="C1969" s="74"/>
      <c r="D1969" s="74"/>
      <c r="E1969" s="74"/>
      <c r="F1969" s="74"/>
      <c r="G1969" s="74"/>
    </row>
    <row r="1970" spans="1:7" s="71" customFormat="1" x14ac:dyDescent="0.2">
      <c r="A1970" s="74"/>
      <c r="B1970" s="74"/>
      <c r="C1970" s="74"/>
      <c r="D1970" s="74"/>
      <c r="E1970" s="74"/>
      <c r="F1970" s="74"/>
      <c r="G1970" s="74"/>
    </row>
    <row r="1971" spans="1:7" s="71" customFormat="1" x14ac:dyDescent="0.2">
      <c r="A1971" s="74"/>
      <c r="B1971" s="74"/>
      <c r="C1971" s="74"/>
      <c r="D1971" s="74"/>
      <c r="E1971" s="74"/>
      <c r="F1971" s="74"/>
      <c r="G1971" s="74"/>
    </row>
    <row r="1972" spans="1:7" s="71" customFormat="1" x14ac:dyDescent="0.2">
      <c r="A1972" s="74"/>
      <c r="B1972" s="74"/>
      <c r="C1972" s="74"/>
      <c r="D1972" s="74"/>
      <c r="E1972" s="74"/>
      <c r="F1972" s="74"/>
      <c r="G1972" s="74"/>
    </row>
    <row r="1973" spans="1:7" s="71" customFormat="1" x14ac:dyDescent="0.2">
      <c r="A1973" s="74"/>
      <c r="B1973" s="74"/>
      <c r="C1973" s="74"/>
      <c r="D1973" s="74"/>
      <c r="E1973" s="74"/>
      <c r="F1973" s="74"/>
      <c r="G1973" s="74"/>
    </row>
    <row r="1974" spans="1:7" s="71" customFormat="1" x14ac:dyDescent="0.2">
      <c r="A1974" s="74"/>
      <c r="B1974" s="74"/>
      <c r="C1974" s="74"/>
      <c r="D1974" s="74"/>
      <c r="E1974" s="74"/>
      <c r="F1974" s="74"/>
      <c r="G1974" s="74"/>
    </row>
    <row r="1975" spans="1:7" s="71" customFormat="1" x14ac:dyDescent="0.2">
      <c r="A1975" s="74"/>
      <c r="B1975" s="74"/>
      <c r="C1975" s="74"/>
      <c r="D1975" s="74"/>
      <c r="E1975" s="74"/>
      <c r="F1975" s="74"/>
      <c r="G1975" s="74"/>
    </row>
    <row r="1976" spans="1:7" s="71" customFormat="1" x14ac:dyDescent="0.2">
      <c r="A1976" s="74"/>
      <c r="B1976" s="74"/>
      <c r="C1976" s="74"/>
      <c r="D1976" s="74"/>
      <c r="E1976" s="74"/>
      <c r="F1976" s="74"/>
      <c r="G1976" s="74"/>
    </row>
    <row r="1977" spans="1:7" s="71" customFormat="1" x14ac:dyDescent="0.2">
      <c r="A1977" s="74"/>
      <c r="B1977" s="74"/>
      <c r="C1977" s="74"/>
      <c r="D1977" s="74"/>
      <c r="E1977" s="74"/>
      <c r="F1977" s="74"/>
      <c r="G1977" s="74"/>
    </row>
    <row r="1978" spans="1:7" s="71" customFormat="1" x14ac:dyDescent="0.2">
      <c r="A1978" s="74"/>
      <c r="B1978" s="74"/>
      <c r="C1978" s="74"/>
      <c r="D1978" s="74"/>
      <c r="E1978" s="74"/>
      <c r="F1978" s="74"/>
      <c r="G1978" s="74"/>
    </row>
    <row r="1979" spans="1:7" s="71" customFormat="1" x14ac:dyDescent="0.2">
      <c r="A1979" s="74"/>
      <c r="B1979" s="74"/>
      <c r="C1979" s="74"/>
      <c r="D1979" s="74"/>
      <c r="E1979" s="74"/>
      <c r="F1979" s="74"/>
      <c r="G1979" s="74"/>
    </row>
    <row r="1980" spans="1:7" s="71" customFormat="1" x14ac:dyDescent="0.2">
      <c r="A1980" s="74"/>
      <c r="B1980" s="74"/>
      <c r="C1980" s="74"/>
      <c r="D1980" s="74"/>
      <c r="E1980" s="74"/>
      <c r="F1980" s="74"/>
      <c r="G1980" s="74"/>
    </row>
    <row r="1981" spans="1:7" s="71" customFormat="1" x14ac:dyDescent="0.2">
      <c r="A1981" s="74"/>
      <c r="B1981" s="74"/>
      <c r="C1981" s="74"/>
      <c r="D1981" s="74"/>
      <c r="E1981" s="74"/>
      <c r="F1981" s="74"/>
      <c r="G1981" s="74"/>
    </row>
    <row r="1982" spans="1:7" s="71" customFormat="1" x14ac:dyDescent="0.2">
      <c r="A1982" s="74"/>
      <c r="B1982" s="74"/>
      <c r="C1982" s="74"/>
      <c r="D1982" s="74"/>
      <c r="E1982" s="74"/>
      <c r="F1982" s="74"/>
      <c r="G1982" s="74"/>
    </row>
    <row r="1983" spans="1:7" s="71" customFormat="1" x14ac:dyDescent="0.2">
      <c r="A1983" s="74"/>
      <c r="B1983" s="74"/>
      <c r="C1983" s="74"/>
      <c r="D1983" s="74"/>
      <c r="E1983" s="74"/>
      <c r="F1983" s="74"/>
      <c r="G1983" s="74"/>
    </row>
    <row r="1984" spans="1:7" s="71" customFormat="1" x14ac:dyDescent="0.2">
      <c r="A1984" s="74"/>
      <c r="B1984" s="74"/>
      <c r="C1984" s="74"/>
      <c r="D1984" s="74"/>
      <c r="E1984" s="74"/>
      <c r="F1984" s="74"/>
      <c r="G1984" s="74"/>
    </row>
    <row r="1985" spans="1:7" s="71" customFormat="1" x14ac:dyDescent="0.2">
      <c r="A1985" s="74"/>
      <c r="B1985" s="74"/>
      <c r="C1985" s="74"/>
      <c r="D1985" s="74"/>
      <c r="E1985" s="74"/>
      <c r="F1985" s="74"/>
      <c r="G1985" s="74"/>
    </row>
    <row r="1986" spans="1:7" s="71" customFormat="1" x14ac:dyDescent="0.2">
      <c r="A1986" s="74"/>
      <c r="B1986" s="74"/>
      <c r="C1986" s="74"/>
      <c r="D1986" s="74"/>
      <c r="E1986" s="74"/>
      <c r="F1986" s="74"/>
      <c r="G1986" s="74"/>
    </row>
    <row r="1987" spans="1:7" s="71" customFormat="1" x14ac:dyDescent="0.2">
      <c r="A1987" s="74"/>
      <c r="B1987" s="74"/>
      <c r="C1987" s="74"/>
      <c r="D1987" s="74"/>
      <c r="E1987" s="74"/>
      <c r="F1987" s="74"/>
      <c r="G1987" s="74"/>
    </row>
    <row r="1988" spans="1:7" s="71" customFormat="1" x14ac:dyDescent="0.2">
      <c r="A1988" s="74"/>
      <c r="B1988" s="74"/>
      <c r="C1988" s="74"/>
      <c r="D1988" s="74"/>
      <c r="E1988" s="74"/>
      <c r="F1988" s="74"/>
      <c r="G1988" s="74"/>
    </row>
    <row r="1989" spans="1:7" s="71" customFormat="1" x14ac:dyDescent="0.2">
      <c r="A1989" s="74"/>
      <c r="B1989" s="74"/>
      <c r="C1989" s="74"/>
      <c r="D1989" s="74"/>
      <c r="E1989" s="74"/>
      <c r="F1989" s="74"/>
      <c r="G1989" s="74"/>
    </row>
    <row r="1990" spans="1:7" s="71" customFormat="1" x14ac:dyDescent="0.2">
      <c r="A1990" s="74"/>
      <c r="B1990" s="74"/>
      <c r="C1990" s="74"/>
      <c r="D1990" s="74"/>
      <c r="E1990" s="74"/>
      <c r="F1990" s="74"/>
      <c r="G1990" s="74"/>
    </row>
    <row r="1991" spans="1:7" s="71" customFormat="1" x14ac:dyDescent="0.2">
      <c r="A1991" s="74"/>
      <c r="B1991" s="74"/>
      <c r="C1991" s="74"/>
      <c r="D1991" s="74"/>
      <c r="E1991" s="74"/>
      <c r="F1991" s="74"/>
      <c r="G1991" s="74"/>
    </row>
    <row r="1992" spans="1:7" s="71" customFormat="1" x14ac:dyDescent="0.2">
      <c r="A1992" s="74"/>
      <c r="B1992" s="74"/>
      <c r="C1992" s="74"/>
      <c r="D1992" s="74"/>
      <c r="E1992" s="74"/>
      <c r="F1992" s="74"/>
      <c r="G1992" s="74"/>
    </row>
    <row r="1993" spans="1:7" s="71" customFormat="1" x14ac:dyDescent="0.2">
      <c r="A1993" s="74"/>
      <c r="B1993" s="74"/>
      <c r="C1993" s="74"/>
      <c r="D1993" s="74"/>
      <c r="E1993" s="74"/>
      <c r="F1993" s="74"/>
      <c r="G1993" s="74"/>
    </row>
    <row r="1994" spans="1:7" s="71" customFormat="1" x14ac:dyDescent="0.2">
      <c r="A1994" s="74"/>
      <c r="B1994" s="74"/>
      <c r="C1994" s="74"/>
      <c r="D1994" s="74"/>
      <c r="E1994" s="74"/>
      <c r="F1994" s="74"/>
      <c r="G1994" s="74"/>
    </row>
    <row r="1995" spans="1:7" s="71" customFormat="1" x14ac:dyDescent="0.2">
      <c r="A1995" s="74"/>
      <c r="B1995" s="74"/>
      <c r="C1995" s="74"/>
      <c r="D1995" s="74"/>
      <c r="E1995" s="74"/>
      <c r="F1995" s="74"/>
      <c r="G1995" s="74"/>
    </row>
    <row r="1996" spans="1:7" s="71" customFormat="1" x14ac:dyDescent="0.2">
      <c r="A1996" s="74"/>
      <c r="B1996" s="74"/>
      <c r="C1996" s="74"/>
      <c r="D1996" s="74"/>
      <c r="E1996" s="74"/>
      <c r="F1996" s="74"/>
      <c r="G1996" s="74"/>
    </row>
    <row r="1997" spans="1:7" s="71" customFormat="1" x14ac:dyDescent="0.2">
      <c r="A1997" s="74"/>
      <c r="B1997" s="74"/>
      <c r="C1997" s="74"/>
      <c r="D1997" s="74"/>
      <c r="E1997" s="74"/>
      <c r="F1997" s="74"/>
      <c r="G1997" s="74"/>
    </row>
    <row r="1998" spans="1:7" s="71" customFormat="1" x14ac:dyDescent="0.2">
      <c r="A1998" s="74"/>
      <c r="B1998" s="74"/>
      <c r="C1998" s="74"/>
      <c r="D1998" s="74"/>
      <c r="E1998" s="74"/>
      <c r="F1998" s="74"/>
      <c r="G1998" s="74"/>
    </row>
    <row r="1999" spans="1:7" s="71" customFormat="1" x14ac:dyDescent="0.2">
      <c r="A1999" s="74"/>
      <c r="B1999" s="74"/>
      <c r="C1999" s="74"/>
      <c r="D1999" s="74"/>
      <c r="E1999" s="74"/>
      <c r="F1999" s="74"/>
      <c r="G1999" s="74"/>
    </row>
    <row r="2000" spans="1:7" s="71" customFormat="1" x14ac:dyDescent="0.2">
      <c r="A2000" s="74"/>
      <c r="B2000" s="74"/>
      <c r="C2000" s="74"/>
      <c r="D2000" s="74"/>
      <c r="E2000" s="74"/>
      <c r="F2000" s="74"/>
      <c r="G2000" s="74"/>
    </row>
    <row r="2001" spans="1:7" s="71" customFormat="1" x14ac:dyDescent="0.2">
      <c r="A2001" s="74"/>
      <c r="B2001" s="74"/>
      <c r="C2001" s="74"/>
      <c r="D2001" s="74"/>
      <c r="E2001" s="74"/>
      <c r="F2001" s="74"/>
      <c r="G2001" s="74"/>
    </row>
    <row r="2002" spans="1:7" s="71" customFormat="1" x14ac:dyDescent="0.2">
      <c r="A2002" s="74"/>
      <c r="B2002" s="74"/>
      <c r="C2002" s="74"/>
      <c r="D2002" s="74"/>
      <c r="E2002" s="74"/>
      <c r="F2002" s="74"/>
      <c r="G2002" s="74"/>
    </row>
    <row r="2003" spans="1:7" s="71" customFormat="1" x14ac:dyDescent="0.2">
      <c r="A2003" s="74"/>
      <c r="B2003" s="74"/>
      <c r="C2003" s="74"/>
      <c r="D2003" s="74"/>
      <c r="E2003" s="74"/>
      <c r="F2003" s="74"/>
      <c r="G2003" s="74"/>
    </row>
    <row r="2004" spans="1:7" s="71" customFormat="1" x14ac:dyDescent="0.2">
      <c r="A2004" s="74"/>
      <c r="B2004" s="74"/>
      <c r="C2004" s="74"/>
      <c r="D2004" s="74"/>
      <c r="E2004" s="74"/>
      <c r="F2004" s="74"/>
      <c r="G2004" s="74"/>
    </row>
    <row r="2005" spans="1:7" s="71" customFormat="1" x14ac:dyDescent="0.2">
      <c r="A2005" s="74"/>
      <c r="B2005" s="74"/>
      <c r="C2005" s="74"/>
      <c r="D2005" s="74"/>
      <c r="E2005" s="74"/>
      <c r="F2005" s="74"/>
      <c r="G2005" s="74"/>
    </row>
    <row r="2006" spans="1:7" s="71" customFormat="1" x14ac:dyDescent="0.2">
      <c r="A2006" s="74"/>
      <c r="B2006" s="74"/>
      <c r="C2006" s="74"/>
      <c r="D2006" s="74"/>
      <c r="E2006" s="74"/>
      <c r="F2006" s="74"/>
      <c r="G2006" s="74"/>
    </row>
    <row r="2007" spans="1:7" s="71" customFormat="1" x14ac:dyDescent="0.2">
      <c r="A2007" s="74"/>
      <c r="B2007" s="74"/>
      <c r="C2007" s="74"/>
      <c r="D2007" s="74"/>
      <c r="E2007" s="74"/>
      <c r="F2007" s="74"/>
      <c r="G2007" s="74"/>
    </row>
    <row r="2008" spans="1:7" s="71" customFormat="1" x14ac:dyDescent="0.2">
      <c r="A2008" s="74"/>
      <c r="B2008" s="74"/>
      <c r="C2008" s="74"/>
      <c r="D2008" s="74"/>
      <c r="E2008" s="74"/>
      <c r="F2008" s="74"/>
      <c r="G2008" s="74"/>
    </row>
    <row r="2009" spans="1:7" s="71" customFormat="1" x14ac:dyDescent="0.2">
      <c r="A2009" s="74"/>
      <c r="B2009" s="74"/>
      <c r="C2009" s="74"/>
      <c r="D2009" s="74"/>
      <c r="E2009" s="74"/>
      <c r="F2009" s="74"/>
      <c r="G2009" s="74"/>
    </row>
    <row r="2010" spans="1:7" s="71" customFormat="1" x14ac:dyDescent="0.2">
      <c r="A2010" s="74"/>
      <c r="B2010" s="74"/>
      <c r="C2010" s="74"/>
      <c r="D2010" s="74"/>
      <c r="E2010" s="74"/>
      <c r="F2010" s="74"/>
      <c r="G2010" s="74"/>
    </row>
    <row r="2011" spans="1:7" s="71" customFormat="1" x14ac:dyDescent="0.2">
      <c r="A2011" s="74"/>
      <c r="B2011" s="74"/>
      <c r="C2011" s="74"/>
      <c r="D2011" s="74"/>
      <c r="E2011" s="74"/>
      <c r="F2011" s="74"/>
      <c r="G2011" s="74"/>
    </row>
    <row r="2012" spans="1:7" s="71" customFormat="1" x14ac:dyDescent="0.2">
      <c r="A2012" s="74"/>
      <c r="B2012" s="74"/>
      <c r="C2012" s="74"/>
      <c r="D2012" s="74"/>
      <c r="E2012" s="74"/>
      <c r="F2012" s="74"/>
      <c r="G2012" s="74"/>
    </row>
    <row r="2013" spans="1:7" s="71" customFormat="1" x14ac:dyDescent="0.2">
      <c r="A2013" s="74"/>
      <c r="B2013" s="74"/>
      <c r="C2013" s="74"/>
      <c r="D2013" s="74"/>
      <c r="E2013" s="74"/>
      <c r="F2013" s="74"/>
      <c r="G2013" s="74"/>
    </row>
    <row r="2014" spans="1:7" s="71" customFormat="1" x14ac:dyDescent="0.2">
      <c r="A2014" s="74"/>
      <c r="B2014" s="74"/>
      <c r="C2014" s="74"/>
      <c r="D2014" s="74"/>
      <c r="E2014" s="74"/>
      <c r="F2014" s="74"/>
      <c r="G2014" s="74"/>
    </row>
    <row r="2015" spans="1:7" s="71" customFormat="1" x14ac:dyDescent="0.2">
      <c r="A2015" s="74"/>
      <c r="B2015" s="74"/>
      <c r="C2015" s="74"/>
      <c r="D2015" s="74"/>
      <c r="E2015" s="74"/>
      <c r="F2015" s="74"/>
      <c r="G2015" s="74"/>
    </row>
    <row r="2016" spans="1:7" s="71" customFormat="1" x14ac:dyDescent="0.2">
      <c r="A2016" s="74"/>
      <c r="B2016" s="74"/>
      <c r="C2016" s="74"/>
      <c r="D2016" s="74"/>
      <c r="E2016" s="74"/>
      <c r="F2016" s="74"/>
      <c r="G2016" s="74"/>
    </row>
    <row r="2017" spans="1:7" s="71" customFormat="1" x14ac:dyDescent="0.2">
      <c r="A2017" s="74"/>
      <c r="B2017" s="74"/>
      <c r="C2017" s="74"/>
      <c r="D2017" s="74"/>
      <c r="E2017" s="74"/>
      <c r="F2017" s="74"/>
      <c r="G2017" s="74"/>
    </row>
    <row r="2018" spans="1:7" s="71" customFormat="1" x14ac:dyDescent="0.2">
      <c r="A2018" s="74"/>
      <c r="B2018" s="74"/>
      <c r="C2018" s="74"/>
      <c r="D2018" s="74"/>
      <c r="E2018" s="74"/>
      <c r="F2018" s="74"/>
      <c r="G2018" s="74"/>
    </row>
    <row r="2019" spans="1:7" s="71" customFormat="1" x14ac:dyDescent="0.2">
      <c r="A2019" s="74"/>
      <c r="B2019" s="74"/>
      <c r="C2019" s="74"/>
      <c r="D2019" s="74"/>
      <c r="E2019" s="74"/>
      <c r="F2019" s="74"/>
      <c r="G2019" s="74"/>
    </row>
    <row r="2020" spans="1:7" s="71" customFormat="1" x14ac:dyDescent="0.2">
      <c r="A2020" s="74"/>
      <c r="B2020" s="74"/>
      <c r="C2020" s="74"/>
      <c r="D2020" s="74"/>
      <c r="E2020" s="74"/>
      <c r="F2020" s="74"/>
      <c r="G2020" s="74"/>
    </row>
    <row r="2021" spans="1:7" s="71" customFormat="1" x14ac:dyDescent="0.2">
      <c r="A2021" s="74"/>
      <c r="B2021" s="74"/>
      <c r="C2021" s="74"/>
      <c r="D2021" s="74"/>
      <c r="E2021" s="74"/>
      <c r="F2021" s="74"/>
      <c r="G2021" s="74"/>
    </row>
    <row r="2022" spans="1:7" s="71" customFormat="1" x14ac:dyDescent="0.2">
      <c r="A2022" s="74"/>
      <c r="B2022" s="74"/>
      <c r="C2022" s="74"/>
      <c r="D2022" s="74"/>
      <c r="E2022" s="74"/>
      <c r="F2022" s="74"/>
      <c r="G2022" s="74"/>
    </row>
    <row r="2023" spans="1:7" s="71" customFormat="1" x14ac:dyDescent="0.2">
      <c r="A2023" s="74"/>
      <c r="B2023" s="74"/>
      <c r="C2023" s="74"/>
      <c r="D2023" s="74"/>
      <c r="E2023" s="74"/>
      <c r="F2023" s="74"/>
      <c r="G2023" s="74"/>
    </row>
    <row r="2024" spans="1:7" s="71" customFormat="1" x14ac:dyDescent="0.2">
      <c r="A2024" s="74"/>
      <c r="B2024" s="74"/>
      <c r="C2024" s="74"/>
      <c r="D2024" s="74"/>
      <c r="E2024" s="74"/>
      <c r="F2024" s="74"/>
      <c r="G2024" s="74"/>
    </row>
    <row r="2025" spans="1:7" s="71" customFormat="1" x14ac:dyDescent="0.2">
      <c r="A2025" s="74"/>
      <c r="B2025" s="74"/>
      <c r="C2025" s="74"/>
      <c r="D2025" s="74"/>
      <c r="E2025" s="74"/>
      <c r="F2025" s="74"/>
      <c r="G2025" s="74"/>
    </row>
    <row r="2026" spans="1:7" s="71" customFormat="1" x14ac:dyDescent="0.2">
      <c r="A2026" s="74"/>
      <c r="B2026" s="74"/>
      <c r="C2026" s="74"/>
      <c r="D2026" s="74"/>
      <c r="E2026" s="74"/>
      <c r="F2026" s="74"/>
      <c r="G2026" s="74"/>
    </row>
    <row r="2027" spans="1:7" s="71" customFormat="1" x14ac:dyDescent="0.2">
      <c r="A2027" s="74"/>
      <c r="B2027" s="74"/>
      <c r="C2027" s="74"/>
      <c r="D2027" s="74"/>
      <c r="E2027" s="74"/>
      <c r="F2027" s="74"/>
      <c r="G2027" s="74"/>
    </row>
    <row r="2028" spans="1:7" s="71" customFormat="1" x14ac:dyDescent="0.2">
      <c r="A2028" s="74"/>
      <c r="B2028" s="74"/>
      <c r="C2028" s="74"/>
      <c r="D2028" s="74"/>
      <c r="E2028" s="74"/>
      <c r="F2028" s="74"/>
      <c r="G2028" s="74"/>
    </row>
    <row r="2029" spans="1:7" s="71" customFormat="1" x14ac:dyDescent="0.2">
      <c r="A2029" s="74"/>
      <c r="B2029" s="74"/>
      <c r="C2029" s="74"/>
      <c r="D2029" s="74"/>
      <c r="E2029" s="74"/>
      <c r="F2029" s="74"/>
      <c r="G2029" s="74"/>
    </row>
    <row r="2030" spans="1:7" s="71" customFormat="1" x14ac:dyDescent="0.2">
      <c r="A2030" s="74"/>
      <c r="B2030" s="74"/>
      <c r="C2030" s="74"/>
      <c r="D2030" s="74"/>
      <c r="E2030" s="74"/>
      <c r="F2030" s="74"/>
      <c r="G2030" s="74"/>
    </row>
    <row r="2031" spans="1:7" s="71" customFormat="1" x14ac:dyDescent="0.2">
      <c r="A2031" s="74"/>
      <c r="B2031" s="74"/>
      <c r="C2031" s="74"/>
      <c r="D2031" s="74"/>
      <c r="E2031" s="74"/>
      <c r="F2031" s="74"/>
      <c r="G2031" s="74"/>
    </row>
    <row r="2032" spans="1:7" s="71" customFormat="1" x14ac:dyDescent="0.2">
      <c r="A2032" s="74"/>
      <c r="B2032" s="74"/>
      <c r="C2032" s="74"/>
      <c r="D2032" s="74"/>
      <c r="E2032" s="74"/>
      <c r="F2032" s="74"/>
      <c r="G2032" s="74"/>
    </row>
    <row r="2033" spans="1:7" s="71" customFormat="1" x14ac:dyDescent="0.2">
      <c r="A2033" s="74"/>
      <c r="B2033" s="74"/>
      <c r="C2033" s="74"/>
      <c r="D2033" s="74"/>
      <c r="E2033" s="74"/>
      <c r="F2033" s="74"/>
      <c r="G2033" s="74"/>
    </row>
    <row r="2034" spans="1:7" s="71" customFormat="1" x14ac:dyDescent="0.2">
      <c r="A2034" s="74"/>
      <c r="B2034" s="74"/>
      <c r="C2034" s="74"/>
      <c r="D2034" s="74"/>
      <c r="E2034" s="74"/>
      <c r="F2034" s="74"/>
      <c r="G2034" s="74"/>
    </row>
    <row r="2035" spans="1:7" s="71" customFormat="1" x14ac:dyDescent="0.2">
      <c r="A2035" s="74"/>
      <c r="B2035" s="74"/>
      <c r="C2035" s="74"/>
      <c r="D2035" s="74"/>
      <c r="E2035" s="74"/>
      <c r="F2035" s="74"/>
      <c r="G2035" s="74"/>
    </row>
    <row r="2036" spans="1:7" s="71" customFormat="1" x14ac:dyDescent="0.2">
      <c r="A2036" s="74"/>
      <c r="B2036" s="74"/>
      <c r="C2036" s="74"/>
      <c r="D2036" s="74"/>
      <c r="E2036" s="74"/>
      <c r="F2036" s="74"/>
      <c r="G2036" s="74"/>
    </row>
    <row r="2037" spans="1:7" s="71" customFormat="1" x14ac:dyDescent="0.2">
      <c r="A2037" s="74"/>
      <c r="B2037" s="74"/>
      <c r="C2037" s="74"/>
      <c r="D2037" s="74"/>
      <c r="E2037" s="74"/>
      <c r="F2037" s="74"/>
      <c r="G2037" s="74"/>
    </row>
    <row r="2038" spans="1:7" s="71" customFormat="1" x14ac:dyDescent="0.2">
      <c r="A2038" s="74"/>
      <c r="B2038" s="74"/>
      <c r="C2038" s="74"/>
      <c r="D2038" s="74"/>
      <c r="E2038" s="74"/>
      <c r="F2038" s="74"/>
      <c r="G2038" s="74"/>
    </row>
    <row r="2039" spans="1:7" s="71" customFormat="1" x14ac:dyDescent="0.2">
      <c r="A2039" s="74"/>
      <c r="B2039" s="74"/>
      <c r="C2039" s="74"/>
      <c r="D2039" s="74"/>
      <c r="E2039" s="74"/>
      <c r="F2039" s="74"/>
      <c r="G2039" s="74"/>
    </row>
    <row r="2040" spans="1:7" s="71" customFormat="1" x14ac:dyDescent="0.2">
      <c r="A2040" s="74"/>
      <c r="B2040" s="74"/>
      <c r="C2040" s="74"/>
      <c r="D2040" s="74"/>
      <c r="E2040" s="74"/>
      <c r="F2040" s="74"/>
      <c r="G2040" s="74"/>
    </row>
    <row r="2041" spans="1:7" s="71" customFormat="1" x14ac:dyDescent="0.2">
      <c r="A2041" s="74"/>
      <c r="B2041" s="74"/>
      <c r="C2041" s="74"/>
      <c r="D2041" s="74"/>
      <c r="E2041" s="74"/>
      <c r="F2041" s="74"/>
      <c r="G2041" s="74"/>
    </row>
    <row r="2042" spans="1:7" s="71" customFormat="1" x14ac:dyDescent="0.2">
      <c r="A2042" s="74"/>
      <c r="B2042" s="74"/>
      <c r="C2042" s="74"/>
      <c r="D2042" s="74"/>
      <c r="E2042" s="74"/>
      <c r="F2042" s="74"/>
      <c r="G2042" s="74"/>
    </row>
    <row r="2043" spans="1:7" s="71" customFormat="1" x14ac:dyDescent="0.2">
      <c r="A2043" s="74"/>
      <c r="B2043" s="74"/>
      <c r="C2043" s="74"/>
      <c r="D2043" s="74"/>
      <c r="E2043" s="74"/>
      <c r="F2043" s="74"/>
      <c r="G2043" s="74"/>
    </row>
    <row r="2044" spans="1:7" s="71" customFormat="1" x14ac:dyDescent="0.2">
      <c r="A2044" s="74"/>
      <c r="B2044" s="74"/>
      <c r="C2044" s="74"/>
      <c r="D2044" s="74"/>
      <c r="E2044" s="74"/>
      <c r="F2044" s="74"/>
      <c r="G2044" s="74"/>
    </row>
    <row r="2045" spans="1:7" s="71" customFormat="1" x14ac:dyDescent="0.2">
      <c r="A2045" s="74"/>
      <c r="B2045" s="74"/>
      <c r="C2045" s="74"/>
      <c r="D2045" s="74"/>
      <c r="E2045" s="74"/>
      <c r="F2045" s="74"/>
      <c r="G2045" s="74"/>
    </row>
    <row r="2046" spans="1:7" s="71" customFormat="1" x14ac:dyDescent="0.2">
      <c r="A2046" s="74"/>
      <c r="B2046" s="74"/>
      <c r="C2046" s="74"/>
      <c r="D2046" s="74"/>
      <c r="E2046" s="74"/>
      <c r="F2046" s="74"/>
      <c r="G2046" s="74"/>
    </row>
    <row r="2047" spans="1:7" s="71" customFormat="1" x14ac:dyDescent="0.2">
      <c r="A2047" s="74"/>
      <c r="B2047" s="74"/>
      <c r="C2047" s="74"/>
      <c r="D2047" s="74"/>
      <c r="E2047" s="74"/>
      <c r="F2047" s="74"/>
      <c r="G2047" s="74"/>
    </row>
    <row r="2048" spans="1:7" s="71" customFormat="1" x14ac:dyDescent="0.2">
      <c r="A2048" s="74"/>
      <c r="B2048" s="74"/>
      <c r="C2048" s="74"/>
      <c r="D2048" s="74"/>
      <c r="E2048" s="74"/>
      <c r="F2048" s="74"/>
      <c r="G2048" s="74"/>
    </row>
    <row r="2049" spans="1:7" s="71" customFormat="1" x14ac:dyDescent="0.2">
      <c r="A2049" s="74"/>
      <c r="B2049" s="74"/>
      <c r="C2049" s="74"/>
      <c r="D2049" s="74"/>
      <c r="E2049" s="74"/>
      <c r="F2049" s="74"/>
      <c r="G2049" s="74"/>
    </row>
    <row r="2050" spans="1:7" s="71" customFormat="1" x14ac:dyDescent="0.2">
      <c r="A2050" s="74"/>
      <c r="B2050" s="74"/>
      <c r="C2050" s="74"/>
      <c r="D2050" s="74"/>
      <c r="E2050" s="74"/>
      <c r="F2050" s="74"/>
      <c r="G2050" s="74"/>
    </row>
    <row r="2051" spans="1:7" s="71" customFormat="1" x14ac:dyDescent="0.2">
      <c r="A2051" s="74"/>
      <c r="B2051" s="74"/>
      <c r="C2051" s="74"/>
      <c r="D2051" s="74"/>
      <c r="E2051" s="74"/>
      <c r="F2051" s="74"/>
      <c r="G2051" s="74"/>
    </row>
    <row r="2052" spans="1:7" s="71" customFormat="1" x14ac:dyDescent="0.2">
      <c r="A2052" s="74"/>
      <c r="B2052" s="74"/>
      <c r="C2052" s="74"/>
      <c r="D2052" s="74"/>
      <c r="E2052" s="74"/>
      <c r="F2052" s="74"/>
      <c r="G2052" s="74"/>
    </row>
    <row r="2053" spans="1:7" s="71" customFormat="1" x14ac:dyDescent="0.2">
      <c r="A2053" s="74"/>
      <c r="B2053" s="74"/>
      <c r="C2053" s="74"/>
      <c r="D2053" s="74"/>
      <c r="E2053" s="74"/>
      <c r="F2053" s="74"/>
      <c r="G2053" s="74"/>
    </row>
    <row r="2054" spans="1:7" s="71" customFormat="1" x14ac:dyDescent="0.2">
      <c r="A2054" s="74"/>
      <c r="B2054" s="74"/>
      <c r="C2054" s="74"/>
      <c r="D2054" s="74"/>
      <c r="E2054" s="74"/>
      <c r="F2054" s="74"/>
      <c r="G2054" s="74"/>
    </row>
    <row r="2055" spans="1:7" s="71" customFormat="1" x14ac:dyDescent="0.2">
      <c r="A2055" s="74"/>
      <c r="B2055" s="74"/>
      <c r="C2055" s="74"/>
      <c r="D2055" s="74"/>
      <c r="E2055" s="74"/>
      <c r="F2055" s="74"/>
      <c r="G2055" s="74"/>
    </row>
    <row r="2056" spans="1:7" s="71" customFormat="1" x14ac:dyDescent="0.2">
      <c r="A2056" s="74"/>
      <c r="B2056" s="74"/>
      <c r="C2056" s="74"/>
      <c r="D2056" s="74"/>
      <c r="E2056" s="74"/>
      <c r="F2056" s="74"/>
      <c r="G2056" s="74"/>
    </row>
    <row r="2057" spans="1:7" s="71" customFormat="1" x14ac:dyDescent="0.2">
      <c r="A2057" s="74"/>
      <c r="B2057" s="74"/>
      <c r="C2057" s="74"/>
      <c r="D2057" s="74"/>
      <c r="E2057" s="74"/>
      <c r="F2057" s="74"/>
      <c r="G2057" s="74"/>
    </row>
    <row r="2058" spans="1:7" s="71" customFormat="1" x14ac:dyDescent="0.2">
      <c r="A2058" s="74"/>
      <c r="B2058" s="74"/>
      <c r="C2058" s="74"/>
      <c r="D2058" s="74"/>
      <c r="E2058" s="74"/>
      <c r="F2058" s="74"/>
      <c r="G2058" s="74"/>
    </row>
    <row r="2059" spans="1:7" s="71" customFormat="1" x14ac:dyDescent="0.2">
      <c r="A2059" s="74"/>
      <c r="B2059" s="74"/>
      <c r="C2059" s="74"/>
      <c r="D2059" s="74"/>
      <c r="E2059" s="74"/>
      <c r="F2059" s="74"/>
      <c r="G2059" s="74"/>
    </row>
    <row r="2060" spans="1:7" s="71" customFormat="1" x14ac:dyDescent="0.2">
      <c r="A2060" s="74"/>
      <c r="B2060" s="74"/>
      <c r="C2060" s="74"/>
      <c r="D2060" s="74"/>
      <c r="E2060" s="74"/>
      <c r="F2060" s="74"/>
      <c r="G2060" s="74"/>
    </row>
    <row r="2061" spans="1:7" s="71" customFormat="1" x14ac:dyDescent="0.2">
      <c r="A2061" s="74"/>
      <c r="B2061" s="74"/>
      <c r="C2061" s="74"/>
      <c r="D2061" s="74"/>
      <c r="E2061" s="74"/>
      <c r="F2061" s="74"/>
      <c r="G2061" s="74"/>
    </row>
    <row r="2062" spans="1:7" s="71" customFormat="1" x14ac:dyDescent="0.2">
      <c r="A2062" s="74"/>
      <c r="B2062" s="74"/>
      <c r="C2062" s="74"/>
      <c r="D2062" s="74"/>
      <c r="E2062" s="74"/>
      <c r="F2062" s="74"/>
      <c r="G2062" s="74"/>
    </row>
    <row r="2063" spans="1:7" s="71" customFormat="1" x14ac:dyDescent="0.2">
      <c r="A2063" s="74"/>
      <c r="B2063" s="74"/>
      <c r="C2063" s="74"/>
      <c r="D2063" s="74"/>
      <c r="E2063" s="74"/>
      <c r="F2063" s="74"/>
      <c r="G2063" s="74"/>
    </row>
    <row r="2064" spans="1:7" s="71" customFormat="1" x14ac:dyDescent="0.2">
      <c r="A2064" s="74"/>
      <c r="B2064" s="74"/>
      <c r="C2064" s="74"/>
      <c r="D2064" s="74"/>
      <c r="E2064" s="74"/>
      <c r="F2064" s="74"/>
      <c r="G2064" s="74"/>
    </row>
    <row r="2065" spans="1:7" s="71" customFormat="1" x14ac:dyDescent="0.2">
      <c r="A2065" s="74"/>
      <c r="B2065" s="74"/>
      <c r="C2065" s="74"/>
      <c r="D2065" s="74"/>
      <c r="E2065" s="74"/>
      <c r="F2065" s="74"/>
      <c r="G2065" s="74"/>
    </row>
    <row r="2066" spans="1:7" s="71" customFormat="1" x14ac:dyDescent="0.2">
      <c r="A2066" s="74"/>
      <c r="B2066" s="74"/>
      <c r="C2066" s="74"/>
      <c r="D2066" s="74"/>
      <c r="E2066" s="74"/>
      <c r="F2066" s="74"/>
      <c r="G2066" s="74"/>
    </row>
    <row r="2067" spans="1:7" s="71" customFormat="1" x14ac:dyDescent="0.2">
      <c r="A2067" s="74"/>
      <c r="B2067" s="74"/>
      <c r="C2067" s="74"/>
      <c r="D2067" s="74"/>
      <c r="E2067" s="74"/>
      <c r="F2067" s="74"/>
      <c r="G2067" s="74"/>
    </row>
    <row r="2068" spans="1:7" s="71" customFormat="1" x14ac:dyDescent="0.2">
      <c r="A2068" s="74"/>
      <c r="B2068" s="74"/>
      <c r="C2068" s="74"/>
      <c r="D2068" s="74"/>
      <c r="E2068" s="74"/>
      <c r="F2068" s="74"/>
      <c r="G2068" s="74"/>
    </row>
    <row r="2069" spans="1:7" s="71" customFormat="1" x14ac:dyDescent="0.2"/>
    <row r="2070" spans="1:7" s="71" customFormat="1" x14ac:dyDescent="0.2"/>
    <row r="2071" spans="1:7" s="71" customFormat="1" x14ac:dyDescent="0.2"/>
    <row r="2072" spans="1:7" s="71" customFormat="1" x14ac:dyDescent="0.2"/>
    <row r="2073" spans="1:7" s="71" customFormat="1" x14ac:dyDescent="0.2"/>
    <row r="2074" spans="1:7" s="71" customFormat="1" x14ac:dyDescent="0.2"/>
    <row r="2075" spans="1:7" s="71" customFormat="1" x14ac:dyDescent="0.2"/>
    <row r="2076" spans="1:7" s="71" customFormat="1" x14ac:dyDescent="0.2"/>
    <row r="2077" spans="1:7" s="71" customFormat="1" x14ac:dyDescent="0.2"/>
    <row r="2078" spans="1:7" s="71" customFormat="1" x14ac:dyDescent="0.2"/>
    <row r="2079" spans="1:7" s="71" customFormat="1" x14ac:dyDescent="0.2"/>
    <row r="2080" spans="1:7" s="71" customFormat="1" x14ac:dyDescent="0.2"/>
    <row r="2081" s="71" customFormat="1" x14ac:dyDescent="0.2"/>
    <row r="2082" s="71" customFormat="1" x14ac:dyDescent="0.2"/>
    <row r="2083" s="71" customFormat="1" x14ac:dyDescent="0.2"/>
    <row r="2084" s="71" customFormat="1" x14ac:dyDescent="0.2"/>
    <row r="2085" s="71" customFormat="1" x14ac:dyDescent="0.2"/>
    <row r="2086" s="71" customFormat="1" x14ac:dyDescent="0.2"/>
    <row r="2087" s="71" customFormat="1" x14ac:dyDescent="0.2"/>
    <row r="2088" s="71" customFormat="1" x14ac:dyDescent="0.2"/>
    <row r="2089" s="71" customFormat="1" x14ac:dyDescent="0.2"/>
    <row r="2090" s="71" customFormat="1" x14ac:dyDescent="0.2"/>
    <row r="2091" s="71" customFormat="1" x14ac:dyDescent="0.2"/>
    <row r="2092" s="71" customFormat="1" x14ac:dyDescent="0.2"/>
    <row r="2093" s="71" customFormat="1" x14ac:dyDescent="0.2"/>
    <row r="2094" s="71" customFormat="1" x14ac:dyDescent="0.2"/>
    <row r="2095" s="71" customFormat="1" x14ac:dyDescent="0.2"/>
    <row r="2096" s="71" customFormat="1" x14ac:dyDescent="0.2"/>
    <row r="2097" s="71" customFormat="1" x14ac:dyDescent="0.2"/>
    <row r="2098" s="71" customFormat="1" x14ac:dyDescent="0.2"/>
    <row r="2099" s="71" customFormat="1" x14ac:dyDescent="0.2"/>
    <row r="2100" s="71" customFormat="1" x14ac:dyDescent="0.2"/>
    <row r="2101" s="71" customFormat="1" x14ac:dyDescent="0.2"/>
    <row r="2102" s="71" customFormat="1" x14ac:dyDescent="0.2"/>
    <row r="2103" s="71" customFormat="1" x14ac:dyDescent="0.2"/>
    <row r="2104" s="71" customFormat="1" x14ac:dyDescent="0.2"/>
    <row r="2105" s="71" customFormat="1" x14ac:dyDescent="0.2"/>
    <row r="2106" s="71" customFormat="1" x14ac:dyDescent="0.2"/>
    <row r="2107" s="71" customFormat="1" x14ac:dyDescent="0.2"/>
    <row r="2108" s="71" customFormat="1" x14ac:dyDescent="0.2"/>
    <row r="2109" s="71" customFormat="1" x14ac:dyDescent="0.2"/>
    <row r="2110" s="71" customFormat="1" x14ac:dyDescent="0.2"/>
    <row r="2111" s="71" customFormat="1" x14ac:dyDescent="0.2"/>
    <row r="2112" s="71" customFormat="1" x14ac:dyDescent="0.2"/>
    <row r="2113" s="71" customFormat="1" x14ac:dyDescent="0.2"/>
    <row r="2114" s="71" customFormat="1" x14ac:dyDescent="0.2"/>
    <row r="2115" s="71" customFormat="1" x14ac:dyDescent="0.2"/>
    <row r="2116" s="71" customFormat="1" x14ac:dyDescent="0.2"/>
    <row r="2117" s="71" customFormat="1" x14ac:dyDescent="0.2"/>
    <row r="2118" s="71" customFormat="1" x14ac:dyDescent="0.2"/>
    <row r="2119" s="71" customFormat="1" x14ac:dyDescent="0.2"/>
    <row r="2120" s="71" customFormat="1" x14ac:dyDescent="0.2"/>
    <row r="2121" s="71" customFormat="1" x14ac:dyDescent="0.2"/>
    <row r="2122" s="71" customFormat="1" x14ac:dyDescent="0.2"/>
    <row r="2123" s="71" customFormat="1" x14ac:dyDescent="0.2"/>
    <row r="2124" s="71" customFormat="1" x14ac:dyDescent="0.2"/>
    <row r="2125" s="71" customFormat="1" x14ac:dyDescent="0.2"/>
    <row r="2126" s="71" customFormat="1" x14ac:dyDescent="0.2"/>
    <row r="2127" s="71" customFormat="1" x14ac:dyDescent="0.2"/>
    <row r="2128" s="71" customFormat="1" x14ac:dyDescent="0.2"/>
    <row r="2129" s="71" customFormat="1" x14ac:dyDescent="0.2"/>
    <row r="2130" s="71" customFormat="1" x14ac:dyDescent="0.2"/>
    <row r="2131" s="71" customFormat="1" x14ac:dyDescent="0.2"/>
    <row r="2132" s="71" customFormat="1" x14ac:dyDescent="0.2"/>
    <row r="2133" s="71" customFormat="1" x14ac:dyDescent="0.2"/>
    <row r="2134" s="71" customFormat="1" x14ac:dyDescent="0.2"/>
    <row r="2135" s="71" customFormat="1" x14ac:dyDescent="0.2"/>
    <row r="2136" s="71" customFormat="1" x14ac:dyDescent="0.2"/>
    <row r="2137" s="71" customFormat="1" x14ac:dyDescent="0.2"/>
    <row r="2138" s="71" customFormat="1" x14ac:dyDescent="0.2"/>
    <row r="2139" s="71" customFormat="1" x14ac:dyDescent="0.2"/>
    <row r="2140" s="71" customFormat="1" x14ac:dyDescent="0.2"/>
    <row r="2141" s="71" customFormat="1" x14ac:dyDescent="0.2"/>
    <row r="2142" s="71" customFormat="1" x14ac:dyDescent="0.2"/>
    <row r="2143" s="71" customFormat="1" x14ac:dyDescent="0.2"/>
    <row r="2144" s="71" customFormat="1" x14ac:dyDescent="0.2"/>
    <row r="2145" s="71" customFormat="1" x14ac:dyDescent="0.2"/>
    <row r="2146" s="71" customFormat="1" x14ac:dyDescent="0.2"/>
    <row r="2147" s="71" customFormat="1" x14ac:dyDescent="0.2"/>
    <row r="2148" s="71" customFormat="1" x14ac:dyDescent="0.2"/>
    <row r="2149" s="71" customFormat="1" x14ac:dyDescent="0.2"/>
    <row r="2150" s="71" customFormat="1" x14ac:dyDescent="0.2"/>
    <row r="2151" s="71" customFormat="1" x14ac:dyDescent="0.2"/>
    <row r="2152" s="71" customFormat="1" x14ac:dyDescent="0.2"/>
    <row r="2153" s="71" customFormat="1" x14ac:dyDescent="0.2"/>
    <row r="2154" s="71" customFormat="1" x14ac:dyDescent="0.2"/>
    <row r="2155" s="71" customFormat="1" x14ac:dyDescent="0.2"/>
    <row r="2156" s="71" customFormat="1" x14ac:dyDescent="0.2"/>
    <row r="2157" s="71" customFormat="1" x14ac:dyDescent="0.2"/>
    <row r="2158" s="71" customFormat="1" x14ac:dyDescent="0.2"/>
    <row r="2159" s="71" customFormat="1" x14ac:dyDescent="0.2"/>
    <row r="2160" s="71" customFormat="1" x14ac:dyDescent="0.2"/>
    <row r="2161" s="71" customFormat="1" x14ac:dyDescent="0.2"/>
    <row r="2162" s="71" customFormat="1" x14ac:dyDescent="0.2"/>
    <row r="2163" s="71" customFormat="1" x14ac:dyDescent="0.2"/>
    <row r="2164" s="71" customFormat="1" x14ac:dyDescent="0.2"/>
    <row r="2165" s="71" customFormat="1" x14ac:dyDescent="0.2"/>
    <row r="2166" s="71" customFormat="1" x14ac:dyDescent="0.2"/>
    <row r="2167" s="71" customFormat="1" x14ac:dyDescent="0.2"/>
    <row r="2168" s="71" customFormat="1" x14ac:dyDescent="0.2"/>
    <row r="2169" s="71" customFormat="1" x14ac:dyDescent="0.2"/>
    <row r="2170" s="71" customFormat="1" x14ac:dyDescent="0.2"/>
    <row r="2171" s="71" customFormat="1" x14ac:dyDescent="0.2"/>
    <row r="2172" s="71" customFormat="1" x14ac:dyDescent="0.2"/>
    <row r="2173" s="71" customFormat="1" x14ac:dyDescent="0.2"/>
    <row r="2174" s="71" customFormat="1" x14ac:dyDescent="0.2"/>
    <row r="2175" s="71" customFormat="1" x14ac:dyDescent="0.2"/>
    <row r="2176" s="71" customFormat="1" x14ac:dyDescent="0.2"/>
    <row r="2177" s="71" customFormat="1" x14ac:dyDescent="0.2"/>
    <row r="2178" s="71" customFormat="1" x14ac:dyDescent="0.2"/>
    <row r="2179" s="71" customFormat="1" x14ac:dyDescent="0.2"/>
    <row r="2180" s="71" customFormat="1" x14ac:dyDescent="0.2"/>
    <row r="2181" s="71" customFormat="1" x14ac:dyDescent="0.2"/>
    <row r="2182" s="71" customFormat="1" x14ac:dyDescent="0.2"/>
    <row r="2183" s="71" customFormat="1" x14ac:dyDescent="0.2"/>
    <row r="2184" s="71" customFormat="1" x14ac:dyDescent="0.2"/>
    <row r="2185" s="71" customFormat="1" x14ac:dyDescent="0.2"/>
    <row r="2186" s="71" customFormat="1" x14ac:dyDescent="0.2"/>
    <row r="2187" s="71" customFormat="1" x14ac:dyDescent="0.2"/>
    <row r="2188" s="71" customFormat="1" x14ac:dyDescent="0.2"/>
    <row r="2189" s="71" customFormat="1" x14ac:dyDescent="0.2"/>
    <row r="2190" s="71" customFormat="1" x14ac:dyDescent="0.2"/>
    <row r="2191" s="71" customFormat="1" x14ac:dyDescent="0.2"/>
    <row r="2192" s="71" customFormat="1" x14ac:dyDescent="0.2"/>
    <row r="2193" s="71" customFormat="1" x14ac:dyDescent="0.2"/>
    <row r="2194" s="71" customFormat="1" x14ac:dyDescent="0.2"/>
    <row r="2195" s="71" customFormat="1" x14ac:dyDescent="0.2"/>
    <row r="2196" s="71" customFormat="1" x14ac:dyDescent="0.2"/>
    <row r="2197" s="71" customFormat="1" x14ac:dyDescent="0.2"/>
    <row r="2198" s="71" customFormat="1" x14ac:dyDescent="0.2"/>
    <row r="2199" s="71" customFormat="1" x14ac:dyDescent="0.2"/>
    <row r="2200" s="71" customFormat="1" x14ac:dyDescent="0.2"/>
    <row r="2201" s="71" customFormat="1" x14ac:dyDescent="0.2"/>
    <row r="2202" s="71" customFormat="1" x14ac:dyDescent="0.2"/>
    <row r="2203" s="71" customFormat="1" x14ac:dyDescent="0.2"/>
    <row r="2204" s="71" customFormat="1" x14ac:dyDescent="0.2"/>
    <row r="2205" s="71" customFormat="1" x14ac:dyDescent="0.2"/>
    <row r="2206" s="71" customFormat="1" x14ac:dyDescent="0.2"/>
    <row r="2207" s="71" customFormat="1" x14ac:dyDescent="0.2"/>
    <row r="2208" s="71" customFormat="1" x14ac:dyDescent="0.2"/>
    <row r="2209" s="71" customFormat="1" x14ac:dyDescent="0.2"/>
    <row r="2210" s="71" customFormat="1" x14ac:dyDescent="0.2"/>
    <row r="2211" s="71" customFormat="1" x14ac:dyDescent="0.2"/>
    <row r="2212" s="71" customFormat="1" x14ac:dyDescent="0.2"/>
    <row r="2213" s="71" customFormat="1" x14ac:dyDescent="0.2"/>
    <row r="2214" s="71" customFormat="1" x14ac:dyDescent="0.2"/>
    <row r="2215" s="71" customFormat="1" x14ac:dyDescent="0.2"/>
    <row r="2216" s="71" customFormat="1" x14ac:dyDescent="0.2"/>
    <row r="2217" s="71" customFormat="1" x14ac:dyDescent="0.2"/>
    <row r="2218" s="71" customFormat="1" x14ac:dyDescent="0.2"/>
    <row r="2219" s="71" customFormat="1" x14ac:dyDescent="0.2"/>
    <row r="2220" s="71" customFormat="1" x14ac:dyDescent="0.2"/>
    <row r="2221" s="71" customFormat="1" x14ac:dyDescent="0.2"/>
    <row r="2222" s="71" customFormat="1" x14ac:dyDescent="0.2"/>
    <row r="2223" s="71" customFormat="1" x14ac:dyDescent="0.2"/>
    <row r="2224" s="71" customFormat="1" x14ac:dyDescent="0.2"/>
    <row r="2225" s="71" customFormat="1" x14ac:dyDescent="0.2"/>
    <row r="2226" s="71" customFormat="1" x14ac:dyDescent="0.2"/>
    <row r="2227" s="71" customFormat="1" x14ac:dyDescent="0.2"/>
    <row r="2228" s="71" customFormat="1" x14ac:dyDescent="0.2"/>
    <row r="2229" s="71" customFormat="1" x14ac:dyDescent="0.2"/>
    <row r="2230" s="71" customFormat="1" x14ac:dyDescent="0.2"/>
    <row r="2231" s="71" customFormat="1" x14ac:dyDescent="0.2"/>
    <row r="2232" s="71" customFormat="1" x14ac:dyDescent="0.2"/>
    <row r="2233" s="71" customFormat="1" x14ac:dyDescent="0.2"/>
    <row r="2234" s="71" customFormat="1" x14ac:dyDescent="0.2"/>
    <row r="2235" s="71" customFormat="1" x14ac:dyDescent="0.2"/>
    <row r="2236" s="71" customFormat="1" x14ac:dyDescent="0.2"/>
    <row r="2237" s="71" customFormat="1" x14ac:dyDescent="0.2"/>
    <row r="2238" s="71" customFormat="1" x14ac:dyDescent="0.2"/>
    <row r="2239" s="71" customFormat="1" x14ac:dyDescent="0.2"/>
    <row r="2240" s="71" customFormat="1" x14ac:dyDescent="0.2"/>
    <row r="2241" s="71" customFormat="1" x14ac:dyDescent="0.2"/>
    <row r="2242" s="71" customFormat="1" x14ac:dyDescent="0.2"/>
    <row r="2243" s="71" customFormat="1" x14ac:dyDescent="0.2"/>
    <row r="2244" s="71" customFormat="1" x14ac:dyDescent="0.2"/>
    <row r="2245" s="71" customFormat="1" x14ac:dyDescent="0.2"/>
    <row r="2246" s="71" customFormat="1" x14ac:dyDescent="0.2"/>
    <row r="2247" s="71" customFormat="1" x14ac:dyDescent="0.2"/>
    <row r="2248" s="71" customFormat="1" x14ac:dyDescent="0.2"/>
    <row r="2249" s="71" customFormat="1" x14ac:dyDescent="0.2"/>
    <row r="2250" s="71" customFormat="1" x14ac:dyDescent="0.2"/>
    <row r="2251" s="71" customFormat="1" x14ac:dyDescent="0.2"/>
    <row r="2252" s="71" customFormat="1" x14ac:dyDescent="0.2"/>
    <row r="2253" s="71" customFormat="1" x14ac:dyDescent="0.2"/>
    <row r="2254" s="71" customFormat="1" x14ac:dyDescent="0.2"/>
    <row r="2255" s="71" customFormat="1" x14ac:dyDescent="0.2"/>
    <row r="2256" s="71" customFormat="1" x14ac:dyDescent="0.2"/>
    <row r="2257" spans="27:60" s="71" customFormat="1" x14ac:dyDescent="0.2"/>
    <row r="2258" spans="27:60" s="71" customFormat="1" x14ac:dyDescent="0.2"/>
    <row r="2259" spans="27:60" s="71" customFormat="1" x14ac:dyDescent="0.2"/>
    <row r="2260" spans="27:60" s="71" customFormat="1" x14ac:dyDescent="0.2"/>
    <row r="2261" spans="27:60" s="71" customFormat="1" x14ac:dyDescent="0.2"/>
    <row r="2262" spans="27:60" s="71" customFormat="1" x14ac:dyDescent="0.2"/>
    <row r="2263" spans="27:60" s="71" customFormat="1" x14ac:dyDescent="0.2"/>
    <row r="2264" spans="27:60" s="71" customFormat="1" x14ac:dyDescent="0.2">
      <c r="AA2264" s="74"/>
      <c r="AB2264" s="74"/>
      <c r="AC2264" s="74"/>
      <c r="AD2264" s="74"/>
      <c r="AE2264" s="74"/>
      <c r="AF2264" s="74"/>
      <c r="AG2264" s="74"/>
      <c r="AH2264" s="74"/>
      <c r="AI2264" s="74"/>
      <c r="BA2264" s="74"/>
      <c r="BB2264" s="74"/>
      <c r="BC2264" s="74"/>
      <c r="BD2264" s="74"/>
      <c r="BE2264" s="74"/>
      <c r="BF2264" s="74"/>
      <c r="BG2264" s="74"/>
      <c r="BH2264" s="74"/>
    </row>
  </sheetData>
  <sheetProtection algorithmName="SHA-512" hashValue="Hpy7Hm6Ff6o1Sy5/IVqSnYiWRveHNQ8yc2DgT6DoFvdyVbLLtXz0yiRzMZ9G2mY0wrktwyfq6RtM372iLleWJg==" saltValue="i5+11UQIeelBZYN69uRRuw==" spinCount="100000" sheet="1" objects="1" scenarios="1"/>
  <phoneticPr fontId="12" type="noConversion"/>
  <printOptions horizontalCentered="1" verticalCentered="1" headings="1" gridLines="1"/>
  <pageMargins left="0.5" right="0.5" top="0.5" bottom="0.5" header="0" footer="0"/>
  <pageSetup scale="1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0357B-6422-4BD1-8A96-B4B0857D13C2}">
  <sheetPr>
    <pageSetUpPr fitToPage="1"/>
  </sheetPr>
  <dimension ref="A1:BQ2264"/>
  <sheetViews>
    <sheetView topLeftCell="A9" workbookViewId="0">
      <selection activeCell="B22" sqref="B22"/>
    </sheetView>
  </sheetViews>
  <sheetFormatPr defaultRowHeight="12.75" x14ac:dyDescent="0.2"/>
  <cols>
    <col min="1" max="1" width="13.5703125" style="3" customWidth="1"/>
    <col min="2" max="2" width="15.85546875" style="3" bestFit="1" customWidth="1"/>
    <col min="3" max="3" width="12.140625" style="3" customWidth="1"/>
    <col min="4" max="5" width="15.85546875" style="3" bestFit="1" customWidth="1"/>
    <col min="6" max="6" width="14.5703125" style="3" customWidth="1"/>
    <col min="7" max="7" width="15.85546875" style="3" customWidth="1"/>
    <col min="8" max="8" width="12.5703125" style="3" customWidth="1"/>
    <col min="9" max="9" width="15" style="3" customWidth="1"/>
    <col min="10" max="10" width="9.140625" style="3"/>
    <col min="11" max="12" width="15.85546875" style="3" bestFit="1" customWidth="1"/>
    <col min="13" max="13" width="10.140625" style="3" bestFit="1" customWidth="1"/>
    <col min="14" max="16" width="9.140625" style="3"/>
    <col min="17" max="17" width="15.85546875" style="3" bestFit="1" customWidth="1"/>
    <col min="18" max="16384" width="9.140625" style="3"/>
  </cols>
  <sheetData>
    <row r="1" spans="1:9" customFormat="1" ht="20.25" x14ac:dyDescent="0.3">
      <c r="A1" s="48" t="s">
        <v>0</v>
      </c>
      <c r="H1" s="49"/>
    </row>
    <row r="2" spans="1:9" customFormat="1" x14ac:dyDescent="0.2">
      <c r="H2" s="2"/>
    </row>
    <row r="3" spans="1:9" customFormat="1" x14ac:dyDescent="0.2">
      <c r="H3" s="2"/>
      <c r="I3" s="2"/>
    </row>
    <row r="4" spans="1:9" customFormat="1" x14ac:dyDescent="0.2"/>
    <row r="5" spans="1:9" customFormat="1" x14ac:dyDescent="0.2"/>
    <row r="6" spans="1:9" customFormat="1" x14ac:dyDescent="0.2"/>
    <row r="7" spans="1:9" customFormat="1" ht="12.75" customHeight="1" x14ac:dyDescent="0.2"/>
    <row r="8" spans="1:9" customFormat="1" ht="12.75" customHeight="1" x14ac:dyDescent="0.2"/>
    <row r="9" spans="1:9" customFormat="1" ht="12.75" customHeight="1" x14ac:dyDescent="0.2"/>
    <row r="10" spans="1:9" customFormat="1" ht="12.75" customHeight="1" x14ac:dyDescent="0.2"/>
    <row r="11" spans="1:9" customFormat="1" x14ac:dyDescent="0.2"/>
    <row r="12" spans="1:9" customFormat="1" x14ac:dyDescent="0.2"/>
    <row r="13" spans="1:9" customFormat="1" x14ac:dyDescent="0.2"/>
    <row r="14" spans="1:9" customFormat="1" x14ac:dyDescent="0.2"/>
    <row r="15" spans="1:9" customFormat="1" x14ac:dyDescent="0.2"/>
    <row r="16" spans="1:9" customFormat="1" x14ac:dyDescent="0.2"/>
    <row r="17" spans="1:13" customFormat="1" x14ac:dyDescent="0.2"/>
    <row r="18" spans="1:13" customFormat="1" x14ac:dyDescent="0.2"/>
    <row r="19" spans="1:13" customFormat="1" x14ac:dyDescent="0.2"/>
    <row r="20" spans="1:13" customFormat="1" x14ac:dyDescent="0.2">
      <c r="F20" s="3"/>
      <c r="G20" s="8" t="s">
        <v>1</v>
      </c>
      <c r="I20" s="8" t="s">
        <v>2</v>
      </c>
      <c r="K20" s="8"/>
      <c r="L20" s="8"/>
      <c r="M20" s="8"/>
    </row>
    <row r="21" spans="1:13" customFormat="1" x14ac:dyDescent="0.2">
      <c r="B21" s="8" t="s">
        <v>3</v>
      </c>
      <c r="C21" s="8" t="s">
        <v>4</v>
      </c>
      <c r="D21" s="8" t="s">
        <v>5</v>
      </c>
      <c r="E21" s="8"/>
      <c r="F21" s="8"/>
      <c r="G21" s="8" t="s">
        <v>6</v>
      </c>
      <c r="H21" s="3"/>
      <c r="I21" s="8" t="s">
        <v>6</v>
      </c>
      <c r="J21" s="2"/>
      <c r="K21" s="8"/>
      <c r="L21" s="8"/>
      <c r="M21" s="8"/>
    </row>
    <row r="22" spans="1:13" customFormat="1" x14ac:dyDescent="0.2">
      <c r="B22" s="67">
        <v>45848</v>
      </c>
      <c r="C22" s="5">
        <f>YEAR(B22)</f>
        <v>2025</v>
      </c>
      <c r="D22" s="6">
        <f>MONTH(B22)</f>
        <v>7</v>
      </c>
      <c r="E22" s="6"/>
      <c r="F22" s="3"/>
      <c r="G22" s="68" cm="1">
        <f t="array" ref="G22">_xll.GetPrice("FP-LBR-1185","Actual","AssessmentDate",_SPECIFICvarPubDate-5)</f>
        <v>45840.654768518521</v>
      </c>
      <c r="H22" s="69"/>
      <c r="I22" s="68" cm="1">
        <f t="array" ref="I22">_xll.GetPrice("FP-LBR-1185","Actual","AssessmentDate",IF(_xll.GetPrice("FP-LBR-1185","Actual","PreliminaryPrice",EDATE(_SPECIFICvarPubDate,-12)),_xll.GetPrice("FP-LBR-1185","Actual","AssessmentDate",EDATE(_SPECIFICvarPubDate,-12))-1,_xll.GetPrice("FP-LBR-1185","Actual","AssessmentDate",EDATE(_SPECIFICvarPubDate,-12))))</f>
        <v>45475.650150462963</v>
      </c>
      <c r="J22" s="2"/>
      <c r="K22" s="65"/>
      <c r="L22" s="65"/>
      <c r="M22" s="66"/>
    </row>
    <row r="23" spans="1:13" customFormat="1" x14ac:dyDescent="0.2">
      <c r="A23" s="2"/>
      <c r="B23" s="4"/>
      <c r="C23" s="5"/>
      <c r="D23" s="6"/>
      <c r="E23" s="6"/>
      <c r="F23" s="6"/>
      <c r="G23" s="2"/>
      <c r="H23" s="2"/>
      <c r="I23" s="2"/>
    </row>
    <row r="24" spans="1:13" customFormat="1" x14ac:dyDescent="0.2">
      <c r="A24" s="2"/>
      <c r="B24" s="4"/>
      <c r="C24" s="5"/>
      <c r="D24" s="6"/>
      <c r="E24" s="6"/>
      <c r="F24" s="6"/>
      <c r="G24" s="2"/>
      <c r="H24" s="2"/>
      <c r="I24" s="2"/>
    </row>
    <row r="25" spans="1:13" customFormat="1" x14ac:dyDescent="0.2">
      <c r="A25" s="2"/>
      <c r="B25" s="2"/>
      <c r="C25" s="2"/>
      <c r="D25" s="2"/>
      <c r="E25" s="2"/>
      <c r="F25" s="2"/>
      <c r="G25" s="2"/>
      <c r="H25" s="2"/>
      <c r="I25" s="2"/>
    </row>
    <row r="26" spans="1:13" customFormat="1" x14ac:dyDescent="0.2">
      <c r="A26" s="2"/>
      <c r="B26" s="64"/>
      <c r="C26" s="2"/>
      <c r="D26" s="2"/>
      <c r="E26" s="2"/>
      <c r="F26" s="2"/>
      <c r="G26" s="2"/>
      <c r="H26" s="2"/>
      <c r="I26" s="2"/>
    </row>
    <row r="27" spans="1:13" customFormat="1" x14ac:dyDescent="0.2">
      <c r="A27" s="2"/>
      <c r="B27" s="2"/>
      <c r="C27" s="2"/>
      <c r="D27" s="2"/>
      <c r="E27" s="2"/>
      <c r="F27" s="2"/>
      <c r="G27" s="2"/>
      <c r="H27" s="2"/>
      <c r="I27" s="2"/>
    </row>
    <row r="28" spans="1:13" customFormat="1" x14ac:dyDescent="0.2">
      <c r="A28" s="2"/>
      <c r="B28" s="2"/>
      <c r="C28" s="2"/>
      <c r="D28" s="2"/>
      <c r="E28" s="2"/>
      <c r="F28" s="2"/>
      <c r="G28" s="2"/>
      <c r="H28" s="2"/>
      <c r="I28" s="2"/>
    </row>
    <row r="29" spans="1:13" customFormat="1" x14ac:dyDescent="0.2">
      <c r="A29" s="2"/>
      <c r="B29" s="2"/>
      <c r="C29" s="2"/>
      <c r="D29" s="2"/>
      <c r="E29" s="2"/>
      <c r="F29" s="2"/>
      <c r="G29" s="2"/>
      <c r="H29" s="2"/>
      <c r="I29" s="2"/>
    </row>
    <row r="30" spans="1:13" customFormat="1" x14ac:dyDescent="0.2">
      <c r="A30" s="2"/>
      <c r="B30" s="2"/>
      <c r="C30" s="2"/>
      <c r="D30" s="2"/>
      <c r="E30" s="2"/>
      <c r="F30" s="2"/>
      <c r="G30" s="2"/>
      <c r="H30" s="2"/>
      <c r="I30" s="2"/>
    </row>
    <row r="31" spans="1:13" customFormat="1" x14ac:dyDescent="0.2">
      <c r="A31" s="2"/>
      <c r="B31" s="2"/>
      <c r="C31" s="2"/>
      <c r="D31" s="2"/>
      <c r="E31" s="2"/>
      <c r="F31" s="2"/>
      <c r="G31" s="2"/>
      <c r="H31" s="2"/>
      <c r="I31" s="2"/>
    </row>
    <row r="32" spans="1:13" customFormat="1" x14ac:dyDescent="0.2">
      <c r="A32" s="2"/>
      <c r="B32" s="2"/>
      <c r="C32" s="2"/>
      <c r="D32" s="2"/>
      <c r="E32" s="2"/>
      <c r="F32" s="2"/>
      <c r="G32" s="2"/>
      <c r="H32" s="2"/>
      <c r="I32" s="2"/>
    </row>
    <row r="33" spans="1:9" customFormat="1" x14ac:dyDescent="0.2">
      <c r="A33" s="2"/>
      <c r="B33" s="2"/>
      <c r="C33" s="2"/>
      <c r="D33" s="2"/>
      <c r="E33" s="2"/>
      <c r="F33" s="2"/>
      <c r="G33" s="2"/>
      <c r="H33" s="2"/>
      <c r="I33" s="2"/>
    </row>
    <row r="34" spans="1:9" customFormat="1" x14ac:dyDescent="0.2">
      <c r="A34" s="2"/>
      <c r="B34" s="2"/>
      <c r="C34" s="2"/>
      <c r="D34" s="2"/>
      <c r="E34" s="2"/>
      <c r="F34" s="2"/>
      <c r="G34" s="2"/>
      <c r="H34" s="2"/>
      <c r="I34" s="2"/>
    </row>
    <row r="35" spans="1:9" customFormat="1" x14ac:dyDescent="0.2">
      <c r="A35" s="2"/>
      <c r="B35" s="2"/>
      <c r="C35" s="2"/>
      <c r="D35" s="2"/>
      <c r="E35" s="2"/>
      <c r="F35" s="2"/>
      <c r="G35" s="2"/>
      <c r="H35" s="2"/>
      <c r="I35" s="2"/>
    </row>
    <row r="36" spans="1:9" customFormat="1" x14ac:dyDescent="0.2">
      <c r="A36" s="2"/>
      <c r="B36" s="2"/>
      <c r="C36" s="2"/>
      <c r="D36" s="2"/>
      <c r="E36" s="2"/>
      <c r="F36" s="2"/>
      <c r="G36" s="2"/>
      <c r="H36" s="2"/>
      <c r="I36" s="2"/>
    </row>
    <row r="37" spans="1:9" customFormat="1" x14ac:dyDescent="0.2">
      <c r="A37" s="2"/>
      <c r="B37" s="2"/>
      <c r="C37" s="2"/>
      <c r="D37" s="2"/>
      <c r="E37" s="2"/>
      <c r="F37" s="2"/>
      <c r="G37" s="2"/>
      <c r="H37" s="2"/>
      <c r="I37" s="2"/>
    </row>
    <row r="38" spans="1:9" customFormat="1" x14ac:dyDescent="0.2">
      <c r="A38" s="2"/>
      <c r="B38" s="2"/>
      <c r="C38" s="2"/>
      <c r="D38" s="2"/>
      <c r="E38" s="2"/>
      <c r="F38" s="2"/>
      <c r="G38" s="2"/>
      <c r="H38" s="2"/>
      <c r="I38" s="2"/>
    </row>
    <row r="39" spans="1:9" customFormat="1" x14ac:dyDescent="0.2">
      <c r="A39" s="2"/>
      <c r="B39" s="2"/>
      <c r="C39" s="2"/>
      <c r="D39" s="2"/>
      <c r="E39" s="2"/>
      <c r="F39" s="2"/>
      <c r="G39" s="2"/>
      <c r="H39" s="2"/>
      <c r="I39" s="2"/>
    </row>
    <row r="40" spans="1:9" customFormat="1" x14ac:dyDescent="0.2">
      <c r="A40" s="2"/>
      <c r="B40" s="2"/>
      <c r="C40" s="2"/>
      <c r="D40" s="2"/>
      <c r="E40" s="2"/>
      <c r="F40" s="2"/>
      <c r="G40" s="2"/>
      <c r="H40" s="2"/>
      <c r="I40" s="2"/>
    </row>
    <row r="41" spans="1:9" customFormat="1" x14ac:dyDescent="0.2">
      <c r="A41" s="2"/>
      <c r="B41" s="2"/>
      <c r="C41" s="2"/>
      <c r="D41" s="2"/>
      <c r="E41" s="2"/>
      <c r="F41" s="2"/>
      <c r="G41" s="2"/>
      <c r="H41" s="2"/>
      <c r="I41" s="2"/>
    </row>
    <row r="42" spans="1:9" customFormat="1" x14ac:dyDescent="0.2">
      <c r="A42" s="2"/>
      <c r="B42" s="2"/>
      <c r="C42" s="2"/>
      <c r="D42" s="2"/>
      <c r="E42" s="2"/>
      <c r="F42" s="2"/>
      <c r="G42" s="2"/>
      <c r="H42" s="2"/>
      <c r="I42" s="2"/>
    </row>
    <row r="43" spans="1:9" customFormat="1" x14ac:dyDescent="0.2">
      <c r="A43" s="2"/>
      <c r="B43" s="2"/>
      <c r="C43" s="2"/>
      <c r="D43" s="2"/>
      <c r="E43" s="2"/>
      <c r="F43" s="2"/>
      <c r="G43" s="2"/>
      <c r="H43" s="2"/>
      <c r="I43" s="2"/>
    </row>
    <row r="44" spans="1:9" customFormat="1" x14ac:dyDescent="0.2">
      <c r="A44" s="2"/>
      <c r="B44" s="2"/>
      <c r="C44" s="2"/>
      <c r="D44" s="2"/>
      <c r="E44" s="2"/>
      <c r="F44" s="2"/>
      <c r="G44" s="2"/>
      <c r="H44" s="2"/>
      <c r="I44" s="2"/>
    </row>
    <row r="45" spans="1:9" customFormat="1" x14ac:dyDescent="0.2">
      <c r="A45" s="2"/>
      <c r="B45" s="2"/>
      <c r="C45" s="2"/>
      <c r="D45" s="2"/>
      <c r="E45" s="2"/>
      <c r="F45" s="2"/>
      <c r="G45" s="2"/>
      <c r="H45" s="2"/>
      <c r="I45" s="2"/>
    </row>
    <row r="46" spans="1:9" customFormat="1" x14ac:dyDescent="0.2">
      <c r="A46" s="2"/>
      <c r="B46" s="2"/>
      <c r="C46" s="2"/>
      <c r="D46" s="2"/>
      <c r="E46" s="2"/>
      <c r="F46" s="2"/>
      <c r="G46" s="2"/>
      <c r="H46" s="2"/>
      <c r="I46" s="2"/>
    </row>
    <row r="47" spans="1:9" customFormat="1" x14ac:dyDescent="0.2">
      <c r="A47" s="2"/>
      <c r="B47" s="2"/>
      <c r="C47" s="2"/>
      <c r="D47" s="2"/>
      <c r="E47" s="2"/>
      <c r="F47" s="2"/>
      <c r="G47" s="2"/>
      <c r="H47" s="2"/>
      <c r="I47" s="2"/>
    </row>
    <row r="48" spans="1:9" customFormat="1" x14ac:dyDescent="0.2">
      <c r="A48" s="2"/>
      <c r="B48" s="2"/>
      <c r="C48" s="2"/>
      <c r="D48" s="2"/>
      <c r="E48" s="2"/>
      <c r="F48" s="2"/>
      <c r="G48" s="2"/>
      <c r="H48" s="2"/>
      <c r="I48" s="2"/>
    </row>
    <row r="49" spans="1:26" customFormat="1" x14ac:dyDescent="0.2">
      <c r="A49" s="2"/>
      <c r="B49" s="2"/>
      <c r="C49" s="2"/>
      <c r="D49" s="2"/>
      <c r="E49" s="2"/>
      <c r="F49" s="2"/>
      <c r="G49" s="2"/>
      <c r="H49" s="2"/>
      <c r="I49" s="2"/>
    </row>
    <row r="50" spans="1:26" customFormat="1" x14ac:dyDescent="0.2">
      <c r="A50" s="2"/>
      <c r="B50" s="2"/>
      <c r="C50" s="2"/>
      <c r="D50" s="2"/>
      <c r="E50" s="2"/>
      <c r="F50" s="2"/>
      <c r="G50" s="2"/>
      <c r="H50" s="2"/>
      <c r="I50" s="2"/>
    </row>
    <row r="51" spans="1:26" customForma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customForma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customForma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customForma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customForma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customForma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customForma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customForma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customForma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customForma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customForma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customForma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customForma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customForma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customForma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customForma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customForma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customForma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customForma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customForma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customForma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customForma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customForma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customForma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customForma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customForma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customForma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customForma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customForma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customForma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customForma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customForma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customFormat="1" x14ac:dyDescent="0.2">
      <c r="A83" s="2"/>
      <c r="B83" s="2"/>
      <c r="C83" s="2"/>
      <c r="D83" s="2"/>
      <c r="E83" s="2"/>
      <c r="F83" s="2"/>
      <c r="G83" s="2"/>
      <c r="H83" s="2"/>
      <c r="I83" s="2"/>
      <c r="J83" s="31"/>
      <c r="K83" s="2"/>
      <c r="L83" s="2"/>
      <c r="M83" s="2"/>
      <c r="N83" s="2"/>
      <c r="O83" s="2"/>
      <c r="P83" s="2"/>
      <c r="Q83" s="2"/>
      <c r="R83" s="2"/>
      <c r="S83" s="2"/>
      <c r="T83" s="2"/>
      <c r="U83" s="2"/>
      <c r="V83" s="2"/>
      <c r="W83" s="2"/>
      <c r="X83" s="2"/>
      <c r="Y83" s="2"/>
      <c r="Z83" s="2"/>
    </row>
    <row r="84" spans="1:26" customForma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customForma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customForma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customForma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customForma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customForma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customForma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customForma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customForma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customForma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customForma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customForma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customForma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69" customForma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69" customForma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69" customForma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69" customFormat="1" x14ac:dyDescent="0.2">
      <c r="A100" s="50"/>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69" customFormat="1" ht="15.75" x14ac:dyDescent="0.25">
      <c r="A101" s="32">
        <f>_SPECIFICvarPubDate</f>
        <v>45848</v>
      </c>
      <c r="B101" s="11" t="str">
        <f>$A$1</f>
        <v>RANDOM LENGTHS LUMBER REPORT</v>
      </c>
      <c r="C101" s="12"/>
      <c r="D101" s="12"/>
      <c r="E101" s="12"/>
      <c r="F101" s="12"/>
      <c r="G101" s="33"/>
      <c r="H101" s="10" t="s">
        <v>7</v>
      </c>
      <c r="J101" s="12"/>
      <c r="K101" s="12"/>
      <c r="L101" s="12"/>
      <c r="M101" s="2"/>
      <c r="N101" s="12"/>
      <c r="P101" s="2"/>
      <c r="Q101" s="2"/>
      <c r="R101" s="13"/>
      <c r="S101" s="14"/>
      <c r="T101" s="2"/>
      <c r="U101" s="2"/>
      <c r="V101" s="2"/>
      <c r="W101" s="2"/>
      <c r="X101" s="2"/>
      <c r="Y101" s="2"/>
      <c r="Z101" s="2"/>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51"/>
      <c r="BB101" s="51"/>
      <c r="BC101" s="3"/>
      <c r="BD101" s="3"/>
      <c r="BE101" s="3"/>
      <c r="BF101" s="3"/>
      <c r="BG101" s="3"/>
      <c r="BH101" s="3"/>
      <c r="BI101" s="3"/>
      <c r="BJ101" s="3"/>
      <c r="BK101" s="3"/>
      <c r="BL101" s="3"/>
      <c r="BM101" s="3"/>
      <c r="BN101" s="3"/>
      <c r="BO101" s="3"/>
      <c r="BP101" s="3"/>
      <c r="BQ101" s="3"/>
    </row>
    <row r="102" spans="1:69" customFormat="1" ht="15.75" x14ac:dyDescent="0.25">
      <c r="A102" s="1"/>
      <c r="B102" s="11"/>
      <c r="C102" s="2"/>
      <c r="D102" s="2"/>
      <c r="E102" s="2"/>
      <c r="F102" s="2"/>
      <c r="G102" s="2"/>
      <c r="H102" s="2"/>
      <c r="I102" s="12"/>
      <c r="J102" s="12"/>
      <c r="K102" s="12"/>
      <c r="L102" s="12"/>
      <c r="M102" s="2"/>
      <c r="N102" s="12"/>
      <c r="P102" s="2"/>
      <c r="Q102" s="2"/>
      <c r="S102" s="14"/>
      <c r="T102" s="2"/>
      <c r="U102" s="2"/>
      <c r="V102" s="2"/>
      <c r="W102" s="2"/>
      <c r="X102" s="2"/>
      <c r="Y102" s="2"/>
      <c r="Z102" s="2"/>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51"/>
      <c r="BB102" s="51"/>
      <c r="BC102" s="3"/>
      <c r="BD102" s="3"/>
      <c r="BE102" s="3"/>
      <c r="BF102" s="3"/>
      <c r="BG102" s="3"/>
      <c r="BH102" s="3"/>
      <c r="BI102" s="3"/>
      <c r="BJ102" s="3"/>
      <c r="BK102" s="3"/>
      <c r="BL102" s="3"/>
      <c r="BM102" s="3"/>
      <c r="BN102" s="3"/>
      <c r="BO102" s="3"/>
      <c r="BP102" s="3"/>
      <c r="BQ102" s="3"/>
    </row>
    <row r="103" spans="1:69" customFormat="1" ht="14.25" x14ac:dyDescent="0.2">
      <c r="H103" s="2"/>
      <c r="I103" s="12"/>
      <c r="J103" s="12"/>
      <c r="K103" s="12"/>
      <c r="L103" s="12"/>
      <c r="M103" s="2"/>
      <c r="N103" s="12"/>
      <c r="P103" s="2"/>
      <c r="Q103" s="2"/>
      <c r="R103" s="13"/>
      <c r="S103" s="14"/>
      <c r="T103" s="2"/>
      <c r="U103" s="2"/>
      <c r="V103" s="2"/>
      <c r="W103" s="2"/>
      <c r="X103" s="2"/>
      <c r="Y103" s="2"/>
      <c r="Z103" s="2"/>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Q103" s="3"/>
    </row>
    <row r="104" spans="1:69" customForma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Q104" s="52"/>
    </row>
    <row r="105" spans="1:69" customFormat="1" ht="15.75" x14ac:dyDescent="0.25">
      <c r="A105" s="16" t="s">
        <v>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Q105" s="53"/>
    </row>
    <row r="106" spans="1:69" customFormat="1" x14ac:dyDescent="0.2">
      <c r="A106" s="17" t="s">
        <v>9</v>
      </c>
      <c r="B106" s="2"/>
      <c r="C106" s="2"/>
      <c r="D106" s="2"/>
      <c r="E106" s="2"/>
      <c r="F106" s="2"/>
      <c r="G106" s="2"/>
      <c r="H106" s="2"/>
      <c r="I106" s="2"/>
      <c r="J106" s="2"/>
      <c r="L106" s="18" t="s">
        <v>10</v>
      </c>
      <c r="M106" s="2"/>
      <c r="N106" s="2"/>
      <c r="O106" s="2"/>
      <c r="P106" s="2"/>
      <c r="Q106" s="2"/>
      <c r="T106" s="2"/>
      <c r="U106" s="2"/>
      <c r="V106" s="2"/>
      <c r="W106" s="2"/>
      <c r="X106" s="2"/>
      <c r="Y106" s="2"/>
      <c r="Z106" s="2"/>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Q106" s="53"/>
    </row>
    <row r="107" spans="1:69" customFormat="1" x14ac:dyDescent="0.2">
      <c r="A107" s="2"/>
      <c r="B107" s="19" t="s">
        <v>11</v>
      </c>
      <c r="C107" s="20" t="s">
        <v>12</v>
      </c>
      <c r="D107" s="21"/>
      <c r="E107" s="22" t="s">
        <v>13</v>
      </c>
      <c r="F107" s="62" t="s">
        <v>14</v>
      </c>
      <c r="G107" s="62"/>
      <c r="I107" s="20" t="s">
        <v>15</v>
      </c>
      <c r="J107" s="20"/>
      <c r="K107" s="21"/>
      <c r="L107" s="19" t="s">
        <v>16</v>
      </c>
      <c r="M107" s="15"/>
      <c r="N107" s="15"/>
      <c r="O107" s="22" t="s">
        <v>17</v>
      </c>
      <c r="P107" s="22"/>
      <c r="Q107" s="15"/>
      <c r="T107" s="2"/>
      <c r="U107" s="2"/>
      <c r="V107" s="2"/>
      <c r="W107" s="2"/>
      <c r="X107" s="2"/>
      <c r="Y107" s="2"/>
      <c r="Z107" s="2"/>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Q107" s="53"/>
    </row>
    <row r="108" spans="1:69" customFormat="1" x14ac:dyDescent="0.2">
      <c r="A108" s="23" t="s">
        <v>18</v>
      </c>
      <c r="B108" s="22" t="s">
        <v>19</v>
      </c>
      <c r="C108" s="22" t="s">
        <v>20</v>
      </c>
      <c r="D108" s="19" t="s">
        <v>21</v>
      </c>
      <c r="E108" s="22" t="s">
        <v>22</v>
      </c>
      <c r="F108" s="22" t="s">
        <v>23</v>
      </c>
      <c r="G108" s="19" t="s">
        <v>24</v>
      </c>
      <c r="H108" s="19" t="s">
        <v>25</v>
      </c>
      <c r="I108" s="22" t="s">
        <v>26</v>
      </c>
      <c r="J108" s="22" t="s">
        <v>27</v>
      </c>
      <c r="K108" s="22" t="s">
        <v>28</v>
      </c>
      <c r="L108" s="19" t="s">
        <v>29</v>
      </c>
      <c r="M108" s="22" t="s">
        <v>30</v>
      </c>
      <c r="N108" s="22" t="s">
        <v>31</v>
      </c>
      <c r="O108" s="22" t="s">
        <v>32</v>
      </c>
      <c r="P108" s="22" t="s">
        <v>33</v>
      </c>
      <c r="Q108" s="22" t="s">
        <v>34</v>
      </c>
      <c r="R108" s="22" t="s">
        <v>35</v>
      </c>
      <c r="T108" s="2"/>
      <c r="U108" s="2"/>
      <c r="V108" s="2"/>
      <c r="W108" s="2"/>
      <c r="X108" s="2"/>
      <c r="Y108" s="2"/>
      <c r="Z108" s="2"/>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Q108" s="53"/>
    </row>
    <row r="109" spans="1:69" customFormat="1" x14ac:dyDescent="0.2">
      <c r="A109" s="24" t="s">
        <v>36</v>
      </c>
      <c r="B109" s="25" t="s">
        <v>37</v>
      </c>
      <c r="C109" s="7">
        <f t="array" ref="C109">_xll.GetPrice("FP-LBR-0241","Actual","Low",_SPECIFICvarPubDate)</f>
        <v>502</v>
      </c>
      <c r="D109" s="25" t="s">
        <v>37</v>
      </c>
      <c r="E109" s="25" t="s">
        <v>37</v>
      </c>
      <c r="F109" s="7">
        <f t="array" ref="F109">_xll.GetPrice("FP-LBR-0228","Actual","Low",_SPECIFICvarPubDate)</f>
        <v>515</v>
      </c>
      <c r="G109" s="58" t="s">
        <v>37</v>
      </c>
      <c r="H109" s="25" t="s">
        <v>37</v>
      </c>
      <c r="I109" s="25" t="s">
        <v>37</v>
      </c>
      <c r="J109" s="25" t="s">
        <v>37</v>
      </c>
      <c r="K109" s="25" t="s">
        <v>37</v>
      </c>
      <c r="L109" s="25" t="s">
        <v>37</v>
      </c>
      <c r="M109" s="25" t="s">
        <v>37</v>
      </c>
      <c r="N109" s="25" t="s">
        <v>37</v>
      </c>
      <c r="O109" s="25" t="s">
        <v>37</v>
      </c>
      <c r="P109" s="25" t="s">
        <v>37</v>
      </c>
      <c r="Q109" s="25" t="s">
        <v>37</v>
      </c>
      <c r="R109" s="25" t="s">
        <v>37</v>
      </c>
      <c r="V109" s="2"/>
      <c r="W109" s="2"/>
      <c r="X109" s="2"/>
      <c r="Y109" s="2"/>
      <c r="Z109" s="2"/>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Q109" s="53"/>
    </row>
    <row r="110" spans="1:69" customFormat="1" x14ac:dyDescent="0.2">
      <c r="A110" s="24" t="s">
        <v>38</v>
      </c>
      <c r="B110" s="7">
        <f t="array" ref="B110">_xll.GetPrice("FP-LBR-0149","Actual","Low",_SPECIFICvarPubDate)</f>
        <v>510</v>
      </c>
      <c r="C110" s="7">
        <f t="array" ref="C110">_xll.GetPrice("FP-LBR-0242","Actual","Low",_SPECIFICvarPubDate)</f>
        <v>520</v>
      </c>
      <c r="D110" s="7">
        <f t="array" ref="D110">_xll.GetPrice("FP-LBR-0258","Actual","Low",_SPECIFICvarPubDate)</f>
        <v>525</v>
      </c>
      <c r="E110" s="63">
        <f t="array" ref="E110">_xll.GetPrice("FP-LBR-0162","Actual","Low",_SPECIFICvarPubDate)</f>
        <v>540</v>
      </c>
      <c r="F110" s="7">
        <f t="array" ref="F110">_xll.GetPrice("FP-LBR-0229","Actual","Low",_SPECIFICvarPubDate)</f>
        <v>534</v>
      </c>
      <c r="G110" s="7">
        <f t="array" ref="G110">_xll.GetPrice("FP-LBR-0268","Actual","Low",_SPECIFICvarPubDate)</f>
        <v>495</v>
      </c>
      <c r="H110" s="7">
        <f t="array" ref="H110">_xll.GetPrice("FP-LBR-0254","Actual","Low",_SPECIFICvarPubDate)</f>
        <v>520</v>
      </c>
      <c r="I110" s="7">
        <f t="array" ref="I110">_xll.GetPrice("FP-LBR-0304","Actual","Low",_SPECIFICvarPubDate)</f>
        <v>354</v>
      </c>
      <c r="J110" s="7">
        <f t="array" ref="J110">_xll.GetPrice("FP-LBR-1996","Actual","Low",_SPECIFICvarPubDate)</f>
        <v>335</v>
      </c>
      <c r="K110" s="7">
        <f t="array" ref="K110">_xll.GetPrice("FP-LBR-1980","Actual","Low",_SPECIFICvarPubDate)</f>
        <v>385</v>
      </c>
      <c r="L110" s="63">
        <f t="array" ref="L110">_xll.GetPrice("FP-LBR-0403","Actual","Low",_SPECIFICvarPubDate)</f>
        <v>498</v>
      </c>
      <c r="M110" s="7">
        <f t="array" ref="M110">_xll.GetPrice("FP-LBR-0515","Actual","Low",_SPECIFICvarPubDate)</f>
        <v>610</v>
      </c>
      <c r="N110" s="7">
        <f t="array" ref="N110">_xll.GetPrice("FP-LBR-0525","Actual","Low",_SPECIFICvarPubDate)</f>
        <v>633</v>
      </c>
      <c r="O110" s="7">
        <f t="array" ref="O110">_xll.GetPrice("FP-LBR-1212","Actual","Low",_SPECIFICvarPubDate)</f>
        <v>580</v>
      </c>
      <c r="P110" s="7">
        <f t="array" ref="P110">_xll.GetPrice("FP-LBR-1218","Actual","Low",_SPECIFICvarPubDate)</f>
        <v>605</v>
      </c>
      <c r="Q110" s="7">
        <f t="array" ref="Q110">_xll.GetPrice("FP-LBR-1224","Actual","Low",_SPECIFICvarPubDate)</f>
        <v>670</v>
      </c>
      <c r="R110" s="7">
        <f t="array" ref="R110">_xll.GetPrice("FP-LBR-1230","Actual","Low",_SPECIFICvarPubDate)</f>
        <v>645</v>
      </c>
      <c r="V110" s="2"/>
      <c r="W110" s="2"/>
      <c r="X110" s="2"/>
      <c r="Y110" s="2"/>
      <c r="Z110" s="2"/>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Q110" s="53"/>
    </row>
    <row r="111" spans="1:69" customFormat="1" x14ac:dyDescent="0.2">
      <c r="A111" s="24" t="s">
        <v>39</v>
      </c>
      <c r="B111" s="7">
        <f t="array" ref="B111">_xll.GetPrice("FP-LBR-0150","Actual","Low",_SPECIFICvarPubDate)</f>
        <v>460</v>
      </c>
      <c r="C111" s="7">
        <f t="array" ref="C111">_xll.GetPrice("FP-LBR-0243","Actual","Low",_SPECIFICvarPubDate)</f>
        <v>465</v>
      </c>
      <c r="D111" s="7">
        <f t="array" ref="D111">_xll.GetPrice("FP-LBR-0259","Actual","Low",_SPECIFICvarPubDate)</f>
        <v>465</v>
      </c>
      <c r="E111" s="7">
        <f t="array" ref="E111">_xll.GetPrice("FP-LBR-0163","Actual","Low",_SPECIFICvarPubDate)</f>
        <v>490</v>
      </c>
      <c r="F111" s="7">
        <f t="array" ref="F111">_xll.GetPrice("FP-LBR-0230","Actual","Low",_SPECIFICvarPubDate)</f>
        <v>500</v>
      </c>
      <c r="G111" s="7">
        <f t="array" ref="G111">_xll.GetPrice("FP-LBR-0269","Actual","Low",_SPECIFICvarPubDate)</f>
        <v>445</v>
      </c>
      <c r="H111" s="7">
        <f t="array" ref="H111">_xll.GetPrice("FP-LBR-0255","Actual","Low",_SPECIFICvarPubDate)</f>
        <v>480</v>
      </c>
      <c r="I111" s="7">
        <f t="array" ref="I111">_xll.GetPrice("FP-LBR-0305","Actual","Low",_SPECIFICvarPubDate)</f>
        <v>299</v>
      </c>
      <c r="J111" s="7">
        <f t="array" ref="J111">_xll.GetPrice("FP-LBR-1997","Actual","Low",_SPECIFICvarPubDate)</f>
        <v>295</v>
      </c>
      <c r="K111" s="7">
        <f t="array" ref="K111">_xll.GetPrice("FP-LBR-1981","Actual","Low",_SPECIFICvarPubDate)</f>
        <v>313</v>
      </c>
      <c r="L111" s="63">
        <f t="array" ref="L111">_xll.GetPrice("FP-LBR-0404","Actual","Low",_SPECIFICvarPubDate)</f>
        <v>400</v>
      </c>
      <c r="M111" s="7">
        <f t="array" ref="M111">_xll.GetPrice("FP-LBR-0516","Actual","Low",_SPECIFICvarPubDate)</f>
        <v>516</v>
      </c>
      <c r="N111" s="7">
        <f t="array" ref="N111">_xll.GetPrice("FP-LBR-0526","Actual","Low",_SPECIFICvarPubDate)</f>
        <v>540</v>
      </c>
      <c r="O111" s="7">
        <f t="array" ref="O111">_xll.GetPrice("FP-LBR-1213","Actual","Low",_SPECIFICvarPubDate)</f>
        <v>515</v>
      </c>
      <c r="P111" s="7">
        <f t="array" ref="P111">_xll.GetPrice("FP-LBR-1219","Actual","Low",_SPECIFICvarPubDate)</f>
        <v>510</v>
      </c>
      <c r="Q111" s="7">
        <f t="array" ref="Q111">_xll.GetPrice("FP-LBR-1225","Actual","Low",_SPECIFICvarPubDate)</f>
        <v>610</v>
      </c>
      <c r="R111" s="7">
        <f t="array" ref="R111">_xll.GetPrice("FP-LBR-1231","Actual","Low",_SPECIFICvarPubDate)</f>
        <v>590</v>
      </c>
      <c r="T111" s="2"/>
      <c r="U111" s="2"/>
      <c r="V111" s="2"/>
      <c r="W111" s="2"/>
      <c r="X111" s="2"/>
      <c r="Y111" s="2"/>
      <c r="Z111" s="2"/>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Q111" s="53"/>
    </row>
    <row r="112" spans="1:69" customFormat="1" x14ac:dyDescent="0.2">
      <c r="A112" s="24" t="s">
        <v>40</v>
      </c>
      <c r="B112" s="7">
        <f t="array" ref="B112">_xll.GetPrice("FP-LBR-0151","Actual","Low",_SPECIFICvarPubDate)</f>
        <v>395</v>
      </c>
      <c r="C112" s="7">
        <f t="array" ref="C112">_xll.GetPrice("FP-LBR-0244","Actual","Low",_SPECIFICvarPubDate)</f>
        <v>420</v>
      </c>
      <c r="D112" s="7">
        <f t="array" ref="D112">_xll.GetPrice("FP-LBR-0260","Actual","Low",_SPECIFICvarPubDate)</f>
        <v>405</v>
      </c>
      <c r="E112" s="7">
        <f t="array" ref="E112">_xll.GetPrice("FP-LBR-0164","Actual","Low",_SPECIFICvarPubDate)</f>
        <v>480</v>
      </c>
      <c r="F112" s="7">
        <f t="array" ref="F112">_xll.GetPrice("FP-LBR-0231","Actual","Low",_SPECIFICvarPubDate)</f>
        <v>495</v>
      </c>
      <c r="G112" s="7">
        <f t="array" ref="G112">_xll.GetPrice("FP-LBR-0270","Actual","Low",_SPECIFICvarPubDate)</f>
        <v>430</v>
      </c>
      <c r="H112" s="25" t="s">
        <v>37</v>
      </c>
      <c r="I112" s="7">
        <f t="array" ref="I112">_xll.GetPrice("FP-LBR-0306","Actual","Low",_SPECIFICvarPubDate)</f>
        <v>315</v>
      </c>
      <c r="J112" s="7">
        <f t="array" ref="J112">_xll.GetPrice("FP-LBR-1998","Actual","Low",_SPECIFICvarPubDate)</f>
        <v>290</v>
      </c>
      <c r="K112" s="7">
        <f t="array" ref="K112">_xll.GetPrice("FP-LBR-1982","Actual","Low",_SPECIFICvarPubDate)</f>
        <v>313</v>
      </c>
      <c r="L112" s="63">
        <f t="array" ref="L112">_xll.GetPrice("FP-LBR-0405","Actual","Low",_SPECIFICvarPubDate)</f>
        <v>388</v>
      </c>
      <c r="M112" s="7">
        <f t="array" ref="M112">_xll.GetPrice("FP-LBR-0517","Actual","Low",_SPECIFICvarPubDate)</f>
        <v>500</v>
      </c>
      <c r="N112" s="7">
        <f t="array" ref="N112">_xll.GetPrice("FP-LBR-0527","Actual","Low",_SPECIFICvarPubDate)</f>
        <v>523</v>
      </c>
      <c r="O112" s="7">
        <f t="array" ref="O112">_xll.GetPrice("FP-LBR-1214","Actual","Low",_SPECIFICvarPubDate)</f>
        <v>495</v>
      </c>
      <c r="P112" s="7">
        <f t="array" ref="P112">_xll.GetPrice("FP-LBR-1220","Actual","Low",_SPECIFICvarPubDate)</f>
        <v>505</v>
      </c>
      <c r="Q112" s="7">
        <f t="array" ref="Q112">_xll.GetPrice("FP-LBR-1226","Actual","Low",_SPECIFICvarPubDate)</f>
        <v>600</v>
      </c>
      <c r="R112" s="7">
        <f t="array" ref="R112">_xll.GetPrice("FP-LBR-1232","Actual","Low",_SPECIFICvarPubDate)</f>
        <v>590</v>
      </c>
      <c r="T112" s="2"/>
      <c r="U112" s="2"/>
      <c r="V112" s="2"/>
      <c r="W112" s="2"/>
      <c r="X112" s="2"/>
      <c r="Y112" s="2"/>
      <c r="Z112" s="2"/>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Q112" s="53"/>
    </row>
    <row r="113" spans="1:69" customFormat="1" x14ac:dyDescent="0.2">
      <c r="A113" s="24" t="s">
        <v>41</v>
      </c>
      <c r="B113" s="7">
        <f t="array" ref="B113">_xll.GetPrice("FP-LBR-0152","Actual","Low",_SPECIFICvarPubDate)</f>
        <v>400</v>
      </c>
      <c r="C113" s="7">
        <f t="array" ref="C113">_xll.GetPrice("FP-LBR-0245","Actual","Low",_SPECIFICvarPubDate)</f>
        <v>430</v>
      </c>
      <c r="D113" s="7">
        <f t="array" ref="D113">_xll.GetPrice("FP-LBR-0261","Actual","Low",_SPECIFICvarPubDate)</f>
        <v>425</v>
      </c>
      <c r="E113" s="7">
        <f t="array" ref="E113">_xll.GetPrice("FP-LBR-0165","Actual","Low",_SPECIFICvarPubDate)</f>
        <v>640</v>
      </c>
      <c r="F113" s="7">
        <f t="array" ref="F113">_xll.GetPrice("FP-LBR-0232","Actual","Low",_SPECIFICvarPubDate)</f>
        <v>638</v>
      </c>
      <c r="G113" s="7">
        <f t="array" ref="G113">_xll.GetPrice("FP-LBR-0271","Actual","Low",_SPECIFICvarPubDate)</f>
        <v>622</v>
      </c>
      <c r="H113" s="25" t="s">
        <v>37</v>
      </c>
      <c r="I113" s="7">
        <f t="array" ref="I113">_xll.GetPrice("FP-LBR-0307","Actual","Low",_SPECIFICvarPubDate)</f>
        <v>289</v>
      </c>
      <c r="J113" s="7">
        <f t="array" ref="J113">_xll.GetPrice("FP-LBR-1999","Actual","Low",_SPECIFICvarPubDate)</f>
        <v>285</v>
      </c>
      <c r="K113" s="7">
        <f t="array" ref="K113">_xll.GetPrice("FP-LBR-1983","Actual","Low",_SPECIFICvarPubDate)</f>
        <v>340</v>
      </c>
      <c r="L113" s="63">
        <f t="array" ref="L113">_xll.GetPrice("FP-LBR-0406","Actual","Low",_SPECIFICvarPubDate)</f>
        <v>443</v>
      </c>
      <c r="M113" s="7">
        <f t="array" ref="M113">_xll.GetPrice("FP-LBR-0518","Actual","Low",_SPECIFICvarPubDate)</f>
        <v>569</v>
      </c>
      <c r="N113" s="7">
        <f t="array" ref="N113">_xll.GetPrice("FP-LBR-0528","Actual","Low",_SPECIFICvarPubDate)</f>
        <v>593</v>
      </c>
      <c r="O113" s="7">
        <f t="array" ref="O113">_xll.GetPrice("FP-LBR-1215","Actual","Low",_SPECIFICvarPubDate)</f>
        <v>575</v>
      </c>
      <c r="P113" s="7">
        <f t="array" ref="P113">_xll.GetPrice("FP-LBR-1221","Actual","Low",_SPECIFICvarPubDate)</f>
        <v>590</v>
      </c>
      <c r="Q113" s="7">
        <f t="array" ref="Q113">_xll.GetPrice("FP-LBR-1227","Actual","Low",_SPECIFICvarPubDate)</f>
        <v>730</v>
      </c>
      <c r="R113" s="7">
        <f t="array" ref="R113">_xll.GetPrice("FP-LBR-1233","Actual","Low",_SPECIFICvarPubDate)</f>
        <v>745</v>
      </c>
      <c r="T113" s="2"/>
      <c r="U113" s="2"/>
      <c r="V113" s="2"/>
      <c r="W113" s="2"/>
      <c r="X113" s="2"/>
      <c r="Y113" s="2"/>
      <c r="Z113" s="2"/>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Q113" s="53"/>
    </row>
    <row r="114" spans="1:69" customFormat="1" x14ac:dyDescent="0.2">
      <c r="A114" s="24" t="s">
        <v>42</v>
      </c>
      <c r="B114" s="7">
        <f t="array" ref="B114">_xll.GetPrice("FP-LBR-0153","Actual","Low",_SPECIFICvarPubDate)</f>
        <v>405</v>
      </c>
      <c r="C114" s="7">
        <f t="array" ref="C114">_xll.GetPrice("FP-LBR-0246","Actual","Low",_SPECIFICvarPubDate)</f>
        <v>410</v>
      </c>
      <c r="D114" s="7">
        <f t="array" ref="D114">_xll.GetPrice("FP-LBR-0262","Actual","Low",_SPECIFICvarPubDate)</f>
        <v>420</v>
      </c>
      <c r="E114" s="7">
        <f t="array" ref="E114">_xll.GetPrice("FP-LBR-0166","Actual","Low",_SPECIFICvarPubDate)</f>
        <v>560</v>
      </c>
      <c r="F114" s="7">
        <f t="array" ref="F114">_xll.GetPrice("FP-LBR-0233","Actual","Low",_SPECIFICvarPubDate)</f>
        <v>565</v>
      </c>
      <c r="G114" s="7">
        <f t="array" ref="G114">_xll.GetPrice("FP-LBR-0272","Actual","Low",_SPECIFICvarPubDate)</f>
        <v>610</v>
      </c>
      <c r="H114" s="25" t="s">
        <v>37</v>
      </c>
      <c r="I114" s="7">
        <f t="array" ref="I114">_xll.GetPrice("FP-LBR-0308","Actual","Low",_SPECIFICvarPubDate)</f>
        <v>339</v>
      </c>
      <c r="J114" s="7">
        <f t="array" ref="J114">_xll.GetPrice("FP-LBR-2000","Actual","Low",_SPECIFICvarPubDate)</f>
        <v>335</v>
      </c>
      <c r="K114" s="7">
        <f t="array" ref="K114">_xll.GetPrice("FP-LBR-1984","Actual","Low",_SPECIFICvarPubDate)</f>
        <v>350</v>
      </c>
      <c r="L114" s="63">
        <f t="array" ref="L114">_xll.GetPrice("FP-LBR-0407","Actual","Low",_SPECIFICvarPubDate)</f>
        <v>585</v>
      </c>
      <c r="M114" s="7">
        <f t="array" ref="M114">_xll.GetPrice("FP-LBR-0519","Actual","Low",_SPECIFICvarPubDate)</f>
        <v>717</v>
      </c>
      <c r="N114" s="7">
        <f t="array" ref="N114">_xll.GetPrice("FP-LBR-0529","Actual","Low",_SPECIFICvarPubDate)</f>
        <v>739</v>
      </c>
      <c r="O114" s="25" t="s">
        <v>37</v>
      </c>
      <c r="P114" s="25" t="s">
        <v>37</v>
      </c>
      <c r="Q114" s="25" t="s">
        <v>37</v>
      </c>
      <c r="R114" s="25" t="s">
        <v>37</v>
      </c>
      <c r="T114" s="2"/>
      <c r="U114" s="2"/>
      <c r="V114" s="2"/>
      <c r="W114" s="2"/>
      <c r="X114" s="2"/>
      <c r="Y114" s="2"/>
      <c r="Z114" s="2"/>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Q114" s="53"/>
    </row>
    <row r="115" spans="1:69" customFormat="1" x14ac:dyDescent="0.2">
      <c r="A115" s="24" t="s">
        <v>43</v>
      </c>
      <c r="B115" s="7">
        <f t="array" ref="B115">_xll.GetPrice("FP-LBR-0154","Actual","Low",_SPECIFICvarPubDate)</f>
        <v>320</v>
      </c>
      <c r="C115" s="7">
        <f t="array" ref="C115">_xll.GetPrice("FP-LBR-0247","Actual","Low",_SPECIFICvarPubDate)</f>
        <v>340</v>
      </c>
      <c r="D115" s="7">
        <f t="array" ref="D115">_xll.GetPrice("FP-LBR-0263","Actual","Low",_SPECIFICvarPubDate)</f>
        <v>340</v>
      </c>
      <c r="E115" s="7">
        <f t="array" ref="E115">_xll.GetPrice("FP-LBR-0167","Actual","Low",_SPECIFICvarPubDate)</f>
        <v>340</v>
      </c>
      <c r="F115" s="7">
        <f t="array" ref="F115">_xll.GetPrice("FP-LBR-0234","Actual","Low",_SPECIFICvarPubDate)</f>
        <v>345</v>
      </c>
      <c r="G115" s="58" t="s">
        <v>37</v>
      </c>
      <c r="H115" s="7">
        <f t="array" ref="H115">_xll.GetPrice("FP-LBR-0256","Actual","Low",_SPECIFICvarPubDate)</f>
        <v>385</v>
      </c>
      <c r="I115" s="7">
        <f t="array" ref="I115">_xll.GetPrice("FP-LBR-0309","Actual","Low",_SPECIFICvarPubDate)</f>
        <v>302</v>
      </c>
      <c r="J115" s="7">
        <f t="array" ref="J115">_xll.GetPrice("FP-LBR-2006","Actual","Low",_SPECIFICvarPubDate)</f>
        <v>275</v>
      </c>
      <c r="K115" s="7">
        <f t="array" ref="K115">_xll.GetPrice("FP-LBR-1986","Actual","Low",_SPECIFICvarPubDate)</f>
        <v>310</v>
      </c>
      <c r="L115" s="63">
        <f t="array" ref="L115">_xll.GetPrice("FP-LBR-0408","Actual","Low",_SPECIFICvarPubDate)</f>
        <v>330</v>
      </c>
      <c r="M115" s="7">
        <f t="array" ref="M115">_xll.GetPrice("FP-LBR-0520","Actual","Low",_SPECIFICvarPubDate)</f>
        <v>442</v>
      </c>
      <c r="N115" s="7">
        <f t="array" ref="N115">_xll.GetPrice("FP-LBR-0530","Actual","Low",_SPECIFICvarPubDate)</f>
        <v>465</v>
      </c>
      <c r="O115" s="7">
        <f t="array" ref="O115">_xll.GetPrice("FP-LBR-1216","Actual","Low",_SPECIFICvarPubDate)</f>
        <v>405</v>
      </c>
      <c r="P115" s="7">
        <f t="array" ref="P115">_xll.GetPrice("FP-LBR-1222","Actual","Low",_SPECIFICvarPubDate)</f>
        <v>405</v>
      </c>
      <c r="Q115" s="7">
        <f t="array" ref="Q115">_xll.GetPrice("FP-LBR-1228","Actual","Low",_SPECIFICvarPubDate)</f>
        <v>455</v>
      </c>
      <c r="R115" s="7">
        <f t="array" ref="R115">_xll.GetPrice("FP-LBR-1234","Actual","Low",_SPECIFICvarPubDate)</f>
        <v>445</v>
      </c>
      <c r="U115" s="2"/>
      <c r="V115" s="2"/>
      <c r="W115" s="2"/>
      <c r="X115" s="2"/>
      <c r="Y115" s="2"/>
      <c r="Z115" s="2"/>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Q115" s="53"/>
    </row>
    <row r="116" spans="1:69" customFormat="1" x14ac:dyDescent="0.2">
      <c r="A116" s="24" t="s">
        <v>44</v>
      </c>
      <c r="B116" s="7">
        <f t="array" ref="B116">_xll.GetPrice("FP-LBR-0155","Actual","Low",_SPECIFICvarPubDate)</f>
        <v>215</v>
      </c>
      <c r="C116" s="7">
        <f t="array" ref="C116">_xll.GetPrice("FP-LBR-0248","Actual","Low",_SPECIFICvarPubDate)</f>
        <v>285</v>
      </c>
      <c r="D116" s="7">
        <f t="array" ref="D116">_xll.GetPrice("FP-LBR-0264","Actual","Low",_SPECIFICvarPubDate)</f>
        <v>265</v>
      </c>
      <c r="E116" s="7">
        <f t="array" ref="E116">_xll.GetPrice("FP-LBR-0168","Actual","Low",_SPECIFICvarPubDate)</f>
        <v>300</v>
      </c>
      <c r="F116" s="7">
        <f t="array" ref="F116">_xll.GetPrice("FP-LBR-0235","Actual","Low",_SPECIFICvarPubDate)</f>
        <v>285</v>
      </c>
      <c r="G116" s="58" t="s">
        <v>37</v>
      </c>
      <c r="H116" s="7">
        <f t="array" ref="H116">_xll.GetPrice("FP-LBR-0257","Actual","Low",_SPECIFICvarPubDate)</f>
        <v>275</v>
      </c>
      <c r="I116" s="7">
        <f t="array" ref="I116">_xll.GetPrice("FP-LBR-0310","Actual","Low",_SPECIFICvarPubDate)</f>
        <v>216</v>
      </c>
      <c r="J116" s="7">
        <f t="array" ref="J116">_xll.GetPrice("FP-LBR-2007","Actual","Low",_SPECIFICvarPubDate)</f>
        <v>210</v>
      </c>
      <c r="K116" s="7">
        <f t="array" ref="K116">_xll.GetPrice("FP-LBR-1987","Actual","Low",_SPECIFICvarPubDate)</f>
        <v>225</v>
      </c>
      <c r="L116" s="63">
        <f t="array" ref="L116">_xll.GetPrice("FP-LBR-0409","Actual","Low",_SPECIFICvarPubDate)</f>
        <v>240</v>
      </c>
      <c r="M116" s="7">
        <f t="array" ref="M116">_xll.GetPrice("FP-LBR-0521","Actual","Low",_SPECIFICvarPubDate)</f>
        <v>356</v>
      </c>
      <c r="N116" s="7">
        <f t="array" ref="N116">_xll.GetPrice("FP-LBR-0531","Actual","Low",_SPECIFICvarPubDate)</f>
        <v>380</v>
      </c>
      <c r="O116" s="7">
        <f t="array" ref="O116">_xll.GetPrice("FP-LBR-1217","Actual","Low",_SPECIFICvarPubDate)</f>
        <v>335</v>
      </c>
      <c r="P116" s="7">
        <f t="array" ref="P116">_xll.GetPrice("FP-LBR-1223","Actual","Low",_SPECIFICvarPubDate)</f>
        <v>360</v>
      </c>
      <c r="Q116" s="7">
        <f t="array" ref="Q116">_xll.GetPrice("FP-LBR-1229","Actual","Low",_SPECIFICvarPubDate)</f>
        <v>425</v>
      </c>
      <c r="R116" s="7">
        <f t="array" ref="R116">_xll.GetPrice("FP-LBR-1235","Actual","Low",_SPECIFICvarPubDate)</f>
        <v>410</v>
      </c>
      <c r="T116" s="2"/>
      <c r="V116" s="2"/>
      <c r="W116" s="2"/>
      <c r="X116" s="2"/>
      <c r="Y116" s="2"/>
      <c r="Z116" s="2"/>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Q116" s="53"/>
    </row>
    <row r="117" spans="1:69" customFormat="1" x14ac:dyDescent="0.2">
      <c r="A117" s="24" t="s">
        <v>40</v>
      </c>
      <c r="B117" s="7">
        <f t="array" ref="B117">_xll.GetPrice("FP-LBR-0156","Actual","Low",_SPECIFICvarPubDate)</f>
        <v>160</v>
      </c>
      <c r="C117" s="7">
        <f t="array" ref="C117">_xll.GetPrice("FP-LBR-0249","Actual","Low",_SPECIFICvarPubDate)</f>
        <v>205</v>
      </c>
      <c r="D117" s="7">
        <f t="array" ref="D117">_xll.GetPrice("FP-LBR-0265","Actual","Low",_SPECIFICvarPubDate)</f>
        <v>215</v>
      </c>
      <c r="E117" s="7">
        <f t="array" ref="E117">_xll.GetPrice("FP-LBR-0169","Actual","Low",_SPECIFICvarPubDate)</f>
        <v>205</v>
      </c>
      <c r="F117" s="7">
        <f t="array" ref="F117">_xll.GetPrice("FP-LBR-0236","Actual","Low",_SPECIFICvarPubDate)</f>
        <v>205</v>
      </c>
      <c r="G117" s="58" t="s">
        <v>37</v>
      </c>
      <c r="H117" s="25" t="s">
        <v>37</v>
      </c>
      <c r="I117" s="7">
        <f t="array" ref="I117">_xll.GetPrice("FP-LBR-0311","Actual","Low",_SPECIFICvarPubDate)</f>
        <v>225</v>
      </c>
      <c r="J117" s="7">
        <f t="array" ref="J117">_xll.GetPrice("FP-LBR-2008","Actual","Low",_SPECIFICvarPubDate)</f>
        <v>240</v>
      </c>
      <c r="K117" s="7">
        <f t="array" ref="K117">_xll.GetPrice("FP-LBR-1988","Actual","Low",_SPECIFICvarPubDate)</f>
        <v>240</v>
      </c>
      <c r="L117" s="63">
        <f t="array" ref="L117">_xll.GetPrice("FP-LBR-0410","Actual","Low",_SPECIFICvarPubDate)</f>
        <v>260</v>
      </c>
      <c r="M117" s="7">
        <f t="array" ref="M117">_xll.GetPrice("FP-LBR-0522","Actual","Low",_SPECIFICvarPubDate)</f>
        <v>372</v>
      </c>
      <c r="N117" s="7">
        <f t="array" ref="N117">_xll.GetPrice("FP-LBR-0532","Actual","Low",_SPECIFICvarPubDate)</f>
        <v>395</v>
      </c>
      <c r="O117" s="25" t="s">
        <v>37</v>
      </c>
      <c r="P117" s="25" t="s">
        <v>37</v>
      </c>
      <c r="Q117" s="25" t="s">
        <v>37</v>
      </c>
      <c r="R117" s="25" t="s">
        <v>37</v>
      </c>
      <c r="T117" s="2"/>
      <c r="U117" s="2"/>
      <c r="V117" s="2"/>
      <c r="W117" s="2"/>
      <c r="X117" s="2"/>
      <c r="Y117" s="2"/>
      <c r="Z117" s="2"/>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Q117" s="53"/>
    </row>
    <row r="118" spans="1:69" customFormat="1" x14ac:dyDescent="0.2">
      <c r="A118" s="24" t="s">
        <v>41</v>
      </c>
      <c r="B118" s="7">
        <f t="array" ref="B118">_xll.GetPrice("FP-LBR-0157","Actual","Low",_SPECIFICvarPubDate)</f>
        <v>160</v>
      </c>
      <c r="C118" s="7">
        <f t="array" ref="C118">_xll.GetPrice("FP-LBR-0250","Actual","Low",_SPECIFICvarPubDate)</f>
        <v>205</v>
      </c>
      <c r="D118" s="7">
        <f t="array" ref="D118">_xll.GetPrice("FP-LBR-0266","Actual","Low",_SPECIFICvarPubDate)</f>
        <v>215</v>
      </c>
      <c r="E118" s="7">
        <f t="array" ref="E118">_xll.GetPrice("FP-LBR-0170","Actual","Low",_SPECIFICvarPubDate)</f>
        <v>205</v>
      </c>
      <c r="F118" s="7">
        <f t="array" ref="F118">_xll.GetPrice("FP-LBR-0237","Actual","Low",_SPECIFICvarPubDate)</f>
        <v>205</v>
      </c>
      <c r="G118" s="58" t="s">
        <v>37</v>
      </c>
      <c r="H118" s="25" t="s">
        <v>37</v>
      </c>
      <c r="I118" s="7">
        <f t="array" ref="I118">_xll.GetPrice("FP-LBR-0312","Actual","Low",_SPECIFICvarPubDate)</f>
        <v>215</v>
      </c>
      <c r="J118" s="7">
        <f t="array" ref="J118">_xll.GetPrice("FP-LBR-2009","Actual","Low",_SPECIFICvarPubDate)</f>
        <v>235</v>
      </c>
      <c r="K118" s="7">
        <f t="array" ref="K118">_xll.GetPrice("FP-LBR-1989","Actual","Low",_SPECIFICvarPubDate)</f>
        <v>250</v>
      </c>
      <c r="L118" s="63">
        <f t="array" ref="L118">_xll.GetPrice("FP-LBR-0411","Actual","Low",_SPECIFICvarPubDate)</f>
        <v>265</v>
      </c>
      <c r="M118" s="7">
        <f t="array" ref="M118">_xll.GetPrice("FP-LBR-0523","Actual","Low",_SPECIFICvarPubDate)</f>
        <v>391</v>
      </c>
      <c r="N118" s="7">
        <f t="array" ref="N118">_xll.GetPrice("FP-LBR-0533","Actual","Low",_SPECIFICvarPubDate)</f>
        <v>415</v>
      </c>
      <c r="O118" s="25" t="s">
        <v>37</v>
      </c>
      <c r="P118" s="25" t="s">
        <v>37</v>
      </c>
      <c r="Q118" s="25" t="s">
        <v>37</v>
      </c>
      <c r="R118" s="25" t="s">
        <v>37</v>
      </c>
      <c r="T118" s="2"/>
      <c r="U118" s="2"/>
      <c r="V118" s="2"/>
      <c r="W118" s="2"/>
      <c r="X118" s="2"/>
      <c r="Y118" s="2"/>
      <c r="Z118" s="2"/>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Q118" s="53"/>
    </row>
    <row r="119" spans="1:69" customFormat="1" x14ac:dyDescent="0.2">
      <c r="A119" s="24" t="s">
        <v>42</v>
      </c>
      <c r="B119" s="7">
        <f t="array" ref="B119">_xll.GetPrice("FP-LBR-0158","Actual","Low",_SPECIFICvarPubDate)</f>
        <v>165</v>
      </c>
      <c r="C119" s="7">
        <f t="array" ref="C119">_xll.GetPrice("FP-LBR-0251","Actual","Low",_SPECIFICvarPubDate)</f>
        <v>205</v>
      </c>
      <c r="D119" s="7">
        <f t="array" ref="D119">_xll.GetPrice("FP-LBR-0267","Actual","Low",_SPECIFICvarPubDate)</f>
        <v>215</v>
      </c>
      <c r="E119" s="7">
        <f t="array" ref="E119">_xll.GetPrice("FP-LBR-0171","Actual","Low",_SPECIFICvarPubDate)</f>
        <v>215</v>
      </c>
      <c r="F119" s="7">
        <f t="array" ref="F119">_xll.GetPrice("FP-LBR-0238","Actual","Low",_SPECIFICvarPubDate)</f>
        <v>205</v>
      </c>
      <c r="G119" s="58" t="s">
        <v>37</v>
      </c>
      <c r="H119" s="25" t="s">
        <v>37</v>
      </c>
      <c r="I119" s="7">
        <f t="array" ref="I119">_xll.GetPrice("FP-LBR-0313","Actual","Low",_SPECIFICvarPubDate)</f>
        <v>240</v>
      </c>
      <c r="J119" s="7">
        <f t="array" ref="J119">_xll.GetPrice("FP-LBR-2010","Actual","Low",_SPECIFICvarPubDate)</f>
        <v>255</v>
      </c>
      <c r="K119" s="7">
        <f t="array" ref="K119">_xll.GetPrice("FP-LBR-1990","Actual","Low",_SPECIFICvarPubDate)</f>
        <v>265</v>
      </c>
      <c r="L119" s="63">
        <f t="array" ref="L119">_xll.GetPrice("FP-LBR-0412","Actual","Low",_SPECIFICvarPubDate)</f>
        <v>260</v>
      </c>
      <c r="M119" s="7">
        <f t="array" ref="M119">_xll.GetPrice("FP-LBR-0524","Actual","Low",_SPECIFICvarPubDate)</f>
        <v>392</v>
      </c>
      <c r="N119" s="7">
        <f t="array" ref="N119">_xll.GetPrice("FP-LBR-0534","Actual","Low",_SPECIFICvarPubDate)</f>
        <v>414</v>
      </c>
      <c r="O119" s="25" t="s">
        <v>37</v>
      </c>
      <c r="P119" s="25" t="s">
        <v>37</v>
      </c>
      <c r="Q119" s="25" t="s">
        <v>37</v>
      </c>
      <c r="R119" s="25" t="s">
        <v>37</v>
      </c>
      <c r="T119" s="2"/>
      <c r="U119" s="2"/>
      <c r="V119" s="2"/>
      <c r="W119" s="2"/>
      <c r="X119" s="2"/>
      <c r="Y119" s="2"/>
      <c r="Z119" s="2"/>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Q119" s="53"/>
    </row>
    <row r="120" spans="1:69" customFormat="1" x14ac:dyDescent="0.2">
      <c r="A120" s="26" t="s">
        <v>45</v>
      </c>
      <c r="D120" s="7">
        <f t="array" ref="D120">_xll.GetPrice("FP-LBR-0901","Actual","Low",_SPECIFICvarPubDate)</f>
        <v>10</v>
      </c>
      <c r="E120" s="7">
        <f t="array" ref="E120">_xll.GetPrice("FP-LBR-0901","Actual","High",_SPECIFICvarPubDate)</f>
        <v>15</v>
      </c>
      <c r="T120" s="2"/>
      <c r="U120" s="2"/>
      <c r="V120" s="2"/>
      <c r="W120" s="2"/>
      <c r="X120" s="2"/>
      <c r="Y120" s="2"/>
      <c r="Z120" s="2"/>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Q120" s="53"/>
    </row>
    <row r="121" spans="1:69" customFormat="1" x14ac:dyDescent="0.2">
      <c r="A121" s="29" t="s">
        <v>46</v>
      </c>
      <c r="D121" s="7">
        <f t="array" ref="D121">_xll.GetPrice("FP-LBR-0432","Actual","Low",_SPECIFICvarPubDate)</f>
        <v>855</v>
      </c>
      <c r="S121" s="2"/>
      <c r="T121" s="2"/>
      <c r="U121" s="2"/>
      <c r="V121" s="2"/>
      <c r="W121" s="2"/>
      <c r="X121" s="2"/>
      <c r="Y121" s="2"/>
      <c r="Z121" s="2"/>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O121" s="53"/>
      <c r="BP121" s="53"/>
      <c r="BQ121" s="53"/>
    </row>
    <row r="122" spans="1:69" customFormat="1" x14ac:dyDescent="0.2">
      <c r="A122" s="111" t="s">
        <v>357</v>
      </c>
      <c r="D122" s="7" cm="1">
        <f t="array" ref="D122">_xll.GetPrice("FP-LBR-2237","Actual","Low",_SPECIFICvarPubDate)</f>
        <v>665</v>
      </c>
      <c r="S122" s="2"/>
      <c r="T122" s="2"/>
      <c r="U122" s="2"/>
      <c r="V122" s="2"/>
      <c r="W122" s="2"/>
      <c r="X122" s="2"/>
      <c r="Y122" s="2"/>
      <c r="Z122" s="2"/>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O122" s="53"/>
      <c r="BP122" s="53"/>
      <c r="BQ122" s="53"/>
    </row>
    <row r="123" spans="1:69" customFormat="1" x14ac:dyDescent="0.2">
      <c r="A123" s="111" t="s">
        <v>358</v>
      </c>
      <c r="D123" s="7" t="str" cm="1">
        <f t="array" ref="D123">_xll.GetPrice("FP-LBR-2250","Actual","Low",_SPECIFICvarPubDate)</f>
        <v>#N/A No price available for Actual</v>
      </c>
      <c r="R123" s="2"/>
      <c r="S123" s="2"/>
      <c r="T123" s="2"/>
      <c r="U123" s="2"/>
      <c r="V123" s="2"/>
      <c r="W123" s="2"/>
      <c r="X123" s="2"/>
      <c r="Y123" s="2"/>
      <c r="Z123" s="2"/>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O123" s="53"/>
      <c r="BP123" s="53"/>
      <c r="BQ123" s="53"/>
    </row>
    <row r="124" spans="1:69" customFormat="1" x14ac:dyDescent="0.2">
      <c r="R124" s="2"/>
      <c r="S124" s="2"/>
      <c r="T124" s="2"/>
      <c r="U124" s="2"/>
      <c r="V124" s="2"/>
      <c r="W124" s="2"/>
      <c r="X124" s="2"/>
      <c r="Y124" s="2"/>
      <c r="Z124" s="2"/>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O124" s="53"/>
      <c r="BP124" s="53"/>
      <c r="BQ124" s="53"/>
    </row>
    <row r="125" spans="1:69" customFormat="1" x14ac:dyDescent="0.2">
      <c r="A125" s="17" t="s">
        <v>47</v>
      </c>
      <c r="B125" s="2"/>
      <c r="C125" s="2"/>
      <c r="D125" s="2"/>
      <c r="E125" s="2"/>
      <c r="F125" s="2"/>
      <c r="G125" s="2"/>
      <c r="H125" s="17" t="s">
        <v>48</v>
      </c>
      <c r="I125" s="15"/>
      <c r="J125" s="15"/>
      <c r="K125" s="15"/>
      <c r="L125" s="15"/>
      <c r="P125" s="2"/>
      <c r="R125" s="2"/>
      <c r="S125" s="2"/>
      <c r="T125" s="2"/>
      <c r="U125" s="2"/>
      <c r="V125" s="2"/>
      <c r="W125" s="2"/>
      <c r="X125" s="2"/>
      <c r="Y125" s="2"/>
      <c r="Z125" s="2"/>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O125" s="53"/>
      <c r="BP125" s="53"/>
      <c r="BQ125" s="53"/>
    </row>
    <row r="126" spans="1:69" customFormat="1" x14ac:dyDescent="0.2">
      <c r="A126" s="2"/>
      <c r="B126" s="19" t="s">
        <v>49</v>
      </c>
      <c r="C126" s="2"/>
      <c r="D126" s="2"/>
      <c r="E126" s="19" t="s">
        <v>16</v>
      </c>
      <c r="H126" s="15"/>
      <c r="I126" s="20" t="s">
        <v>50</v>
      </c>
      <c r="J126" s="21"/>
      <c r="K126" s="20" t="s">
        <v>51</v>
      </c>
      <c r="L126" s="21"/>
      <c r="N126" s="22" t="s">
        <v>52</v>
      </c>
      <c r="O126" s="3"/>
      <c r="R126" s="2"/>
      <c r="S126" s="2"/>
      <c r="T126" s="2"/>
      <c r="U126" s="2"/>
      <c r="V126" s="2"/>
      <c r="W126" s="2"/>
      <c r="X126" s="2"/>
      <c r="Y126" s="2"/>
      <c r="Z126" s="2"/>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O126" s="53"/>
      <c r="BP126" s="53"/>
      <c r="BQ126" s="53"/>
    </row>
    <row r="127" spans="1:69" customFormat="1" x14ac:dyDescent="0.2">
      <c r="A127" s="23" t="s">
        <v>18</v>
      </c>
      <c r="B127" s="19" t="s">
        <v>53</v>
      </c>
      <c r="C127" s="19" t="s">
        <v>21</v>
      </c>
      <c r="D127" s="19" t="s">
        <v>54</v>
      </c>
      <c r="E127" s="19" t="s">
        <v>55</v>
      </c>
      <c r="H127" s="24" t="s">
        <v>56</v>
      </c>
      <c r="I127" s="19" t="s">
        <v>57</v>
      </c>
      <c r="J127" s="19" t="s">
        <v>58</v>
      </c>
      <c r="K127" s="19" t="s">
        <v>59</v>
      </c>
      <c r="L127" s="19" t="s">
        <v>60</v>
      </c>
      <c r="N127" s="3"/>
      <c r="O127" s="22" t="s">
        <v>20</v>
      </c>
      <c r="R127" s="2"/>
      <c r="S127" s="2"/>
      <c r="T127" s="2"/>
      <c r="U127" s="2"/>
      <c r="V127" s="2"/>
      <c r="W127" s="2"/>
      <c r="X127" s="2"/>
      <c r="Y127" s="2"/>
      <c r="Z127" s="2"/>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O127" s="53"/>
      <c r="BP127" s="53"/>
      <c r="BQ127" s="53"/>
    </row>
    <row r="128" spans="1:69" customFormat="1" x14ac:dyDescent="0.2">
      <c r="A128" s="24" t="s">
        <v>36</v>
      </c>
      <c r="B128" s="7">
        <f t="array" ref="B128">_xll.GetPrice("FP-LBR-1317","Actual","Low",_SPECIFICvarPubDate)</f>
        <v>445</v>
      </c>
      <c r="C128" s="7">
        <f t="array" ref="C128">_xll.GetPrice("FP-LBR-1323","Actual","Low",_SPECIFICvarPubDate)</f>
        <v>455</v>
      </c>
      <c r="D128" s="7">
        <f t="array" ref="D128">_xll.GetPrice("FP-LBR-1206","Actual","Low",_SPECIFICvarPubDate)</f>
        <v>610</v>
      </c>
      <c r="E128" s="7">
        <f t="array" ref="E128">_xll.GetPrice("FP-LBR-1824","Actual","Low",_SPECIFICvarPubDate)</f>
        <v>1390</v>
      </c>
      <c r="H128" s="24" t="s">
        <v>61</v>
      </c>
      <c r="I128" s="7">
        <f t="array" ref="I128">_xll.GetPrice("FP-LBR-0424","Actual","Low",_SPECIFICvarPubDate)</f>
        <v>690</v>
      </c>
      <c r="J128" s="7">
        <f t="array" ref="J128">_xll.GetPrice("FP-LBR-0428","Actual","Low",_SPECIFICvarPubDate)</f>
        <v>715</v>
      </c>
      <c r="K128" s="7">
        <f t="array" ref="K128">_xll.GetPrice("FP-LBR-1236","Actual","Low",_SPECIFICvarPubDate)</f>
        <v>625</v>
      </c>
      <c r="L128" s="7">
        <f t="array" ref="L128">_xll.GetPrice("FP-LBR-1239","Actual","Low",_SPECIFICvarPubDate)</f>
        <v>625</v>
      </c>
      <c r="N128" s="24" t="s">
        <v>62</v>
      </c>
      <c r="O128" s="7">
        <f t="array" ref="O128">_xll.GetPrice("FP-LBR-0274","Actual","Low",_SPECIFICvarPubDate)</f>
        <v>630</v>
      </c>
      <c r="R128" s="2"/>
      <c r="S128" s="2"/>
      <c r="T128" s="2"/>
      <c r="U128" s="2"/>
      <c r="V128" s="2"/>
      <c r="W128" s="2"/>
      <c r="X128" s="2"/>
      <c r="Y128" s="2"/>
      <c r="Z128" s="2"/>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O128" s="53"/>
      <c r="BP128" s="53"/>
      <c r="BQ128" s="53"/>
    </row>
    <row r="129" spans="1:69" customFormat="1" x14ac:dyDescent="0.2">
      <c r="A129" s="24" t="s">
        <v>38</v>
      </c>
      <c r="B129" s="7">
        <f t="array" ref="B129">_xll.GetPrice("FP-LBR-1318","Actual","Low",_SPECIFICvarPubDate)</f>
        <v>460</v>
      </c>
      <c r="C129" s="7">
        <f t="array" ref="C129">_xll.GetPrice("FP-LBR-1324","Actual","Low",_SPECIFICvarPubDate)</f>
        <v>505</v>
      </c>
      <c r="D129" s="7">
        <f t="array" ref="D129">_xll.GetPrice("FP-LBR-1207","Actual","Low",_SPECIFICvarPubDate)</f>
        <v>625</v>
      </c>
      <c r="E129" s="25" t="s">
        <v>37</v>
      </c>
      <c r="H129" s="24" t="s">
        <v>63</v>
      </c>
      <c r="I129" s="7">
        <f t="array" ref="I129">_xll.GetPrice("FP-LBR-0425","Actual","Low",_SPECIFICvarPubDate)</f>
        <v>665</v>
      </c>
      <c r="J129" s="7">
        <f t="array" ref="J129">_xll.GetPrice("FP-LBR-0429","Actual","Low",_SPECIFICvarPubDate)</f>
        <v>690</v>
      </c>
      <c r="K129" s="7">
        <f t="array" ref="K129">_xll.GetPrice("FP-LBR-1237","Actual","Low",_SPECIFICvarPubDate)</f>
        <v>595</v>
      </c>
      <c r="L129" s="7">
        <f t="array" ref="L129">_xll.GetPrice("FP-LBR-1240","Actual","Low",_SPECIFICvarPubDate)</f>
        <v>615</v>
      </c>
      <c r="N129" s="24" t="s">
        <v>64</v>
      </c>
      <c r="O129" s="7">
        <f t="array" ref="O129">_xll.GetPrice("FP-LBR-0273","Actual","Low",_SPECIFICvarPubDate)</f>
        <v>590</v>
      </c>
      <c r="R129" s="2"/>
      <c r="S129" s="2"/>
      <c r="T129" s="2"/>
      <c r="V129" s="2"/>
      <c r="W129" s="2"/>
      <c r="X129" s="2"/>
      <c r="Y129" s="2"/>
      <c r="Z129" s="2"/>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O129" s="53"/>
      <c r="BP129" s="53"/>
      <c r="BQ129" s="53"/>
    </row>
    <row r="130" spans="1:69" customFormat="1" x14ac:dyDescent="0.2">
      <c r="A130" s="24" t="s">
        <v>65</v>
      </c>
      <c r="B130" s="7">
        <f t="array" ref="B130">_xll.GetPrice("FP-LBR-1319","Actual","Low",_SPECIFICvarPubDate)</f>
        <v>395</v>
      </c>
      <c r="C130" s="7">
        <f t="array" ref="C130">_xll.GetPrice("FP-LBR-1325","Actual","Low",_SPECIFICvarPubDate)</f>
        <v>455</v>
      </c>
      <c r="D130" s="7">
        <f t="array" ref="D130">_xll.GetPrice("FP-LBR-1208","Actual","Low",_SPECIFICvarPubDate)</f>
        <v>570</v>
      </c>
      <c r="E130" s="7">
        <f t="array" ref="E130">_xll.GetPrice("FP-LBR-1825","Actual","Low",_SPECIFICvarPubDate)</f>
        <v>1435</v>
      </c>
      <c r="H130" s="24" t="s">
        <v>66</v>
      </c>
      <c r="I130" s="7">
        <f t="array" ref="I130">_xll.GetPrice("FP-LBR-0426","Actual","Low",_SPECIFICvarPubDate)</f>
        <v>620</v>
      </c>
      <c r="J130" s="7">
        <f t="array" ref="J130">_xll.GetPrice("FP-LBR-0430","Actual","Low",_SPECIFICvarPubDate)</f>
        <v>645</v>
      </c>
      <c r="K130" s="25" t="s">
        <v>37</v>
      </c>
      <c r="L130" s="25" t="s">
        <v>37</v>
      </c>
      <c r="N130" s="24" t="s">
        <v>67</v>
      </c>
      <c r="O130" s="7">
        <f t="array" ref="O130">_xll.GetPrice("FP-LBR-0276","Actual","Low",_SPECIFICvarPubDate)</f>
        <v>640</v>
      </c>
      <c r="R130" s="2"/>
      <c r="S130" s="2"/>
      <c r="T130" s="2"/>
      <c r="V130" s="2"/>
      <c r="W130" s="2"/>
      <c r="X130" s="2"/>
      <c r="Y130" s="2"/>
      <c r="Z130" s="2"/>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O130" s="53"/>
      <c r="BP130" s="53"/>
      <c r="BQ130" s="53"/>
    </row>
    <row r="131" spans="1:69" customFormat="1" x14ac:dyDescent="0.2">
      <c r="A131" s="24" t="s">
        <v>40</v>
      </c>
      <c r="B131" s="7">
        <f t="array" ref="B131">_xll.GetPrice("FP-LBR-1320","Actual","Low",_SPECIFICvarPubDate)</f>
        <v>410</v>
      </c>
      <c r="C131" s="7">
        <f t="array" ref="C131">_xll.GetPrice("FP-LBR-1326","Actual","Low",_SPECIFICvarPubDate)</f>
        <v>460</v>
      </c>
      <c r="D131" s="7">
        <f t="array" ref="D131">_xll.GetPrice("FP-LBR-1209","Actual","Low",_SPECIFICvarPubDate)</f>
        <v>585</v>
      </c>
      <c r="E131" s="7">
        <f t="array" ref="E131">_xll.GetPrice("FP-LBR-1826","Actual","Low",_SPECIFICvarPubDate)</f>
        <v>2165</v>
      </c>
      <c r="H131" s="24" t="s">
        <v>68</v>
      </c>
      <c r="I131" s="7">
        <f t="array" ref="I131">_xll.GetPrice("FP-LBR-0427","Actual","Low",_SPECIFICvarPubDate)</f>
        <v>540</v>
      </c>
      <c r="J131" s="7">
        <f t="array" ref="J131">_xll.GetPrice("FP-LBR-0431","Actual","Low",_SPECIFICvarPubDate)</f>
        <v>565</v>
      </c>
      <c r="K131" s="7">
        <f t="array" ref="K131">_xll.GetPrice("FP-LBR-1238","Actual","Low",_SPECIFICvarPubDate)</f>
        <v>535</v>
      </c>
      <c r="L131" s="7">
        <f t="array" ref="L131">_xll.GetPrice("FP-LBR-1241","Actual","Low",_SPECIFICvarPubDate)</f>
        <v>530</v>
      </c>
      <c r="N131" s="24" t="s">
        <v>69</v>
      </c>
      <c r="O131" s="7">
        <f t="array" ref="O131">_xll.GetPrice("FP-LBR-0275","Actual","Low",_SPECIFICvarPubDate)</f>
        <v>515</v>
      </c>
      <c r="R131" s="2"/>
      <c r="S131" s="2"/>
      <c r="T131" s="2"/>
      <c r="U131" s="2"/>
      <c r="V131" s="2"/>
      <c r="W131" s="2"/>
      <c r="X131" s="2"/>
      <c r="Y131" s="2"/>
      <c r="Z131" s="2"/>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O131" s="53"/>
      <c r="BP131" s="53"/>
      <c r="BQ131" s="53"/>
    </row>
    <row r="132" spans="1:69" customFormat="1" x14ac:dyDescent="0.2">
      <c r="A132" s="24" t="s">
        <v>41</v>
      </c>
      <c r="B132" s="7">
        <f t="array" ref="B132">_xll.GetPrice("FP-LBR-1321","Actual","Low",_SPECIFICvarPubDate)</f>
        <v>570</v>
      </c>
      <c r="C132" s="7">
        <f t="array" ref="C132">_xll.GetPrice("FP-LBR-1327","Actual","Low",_SPECIFICvarPubDate)</f>
        <v>585</v>
      </c>
      <c r="D132" s="7">
        <f t="array" ref="D132">_xll.GetPrice("FP-LBR-1210","Actual","Low",_SPECIFICvarPubDate)</f>
        <v>730</v>
      </c>
      <c r="E132" s="7">
        <f t="array" ref="E132">_xll.GetPrice("FP-LBR-1827","Actual","Low",_SPECIFICvarPubDate)</f>
        <v>2175</v>
      </c>
      <c r="Q132" s="19"/>
      <c r="R132" s="2"/>
      <c r="S132" s="2"/>
      <c r="T132" s="2"/>
      <c r="U132" s="2"/>
      <c r="V132" s="2"/>
      <c r="W132" s="2"/>
      <c r="X132" s="2"/>
      <c r="Y132" s="2"/>
      <c r="Z132" s="2"/>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O132" s="53"/>
      <c r="BP132" s="53"/>
      <c r="BQ132" s="53"/>
    </row>
    <row r="133" spans="1:69" customFormat="1" x14ac:dyDescent="0.2">
      <c r="A133" s="24" t="s">
        <v>42</v>
      </c>
      <c r="B133" s="7">
        <f t="array" ref="B133">_xll.GetPrice("FP-LBR-1322","Actual","Low",_SPECIFICvarPubDate)</f>
        <v>505</v>
      </c>
      <c r="C133" s="7">
        <f t="array" ref="C133">_xll.GetPrice("FP-LBR-1328","Actual","Low",_SPECIFICvarPubDate)</f>
        <v>530</v>
      </c>
      <c r="D133" s="7">
        <f t="array" ref="D133">_xll.GetPrice("FP-LBR-1211","Actual","Low",_SPECIFICvarPubDate)</f>
        <v>665</v>
      </c>
      <c r="E133" s="7">
        <f t="array" ref="E133">_xll.GetPrice("FP-LBR-1828","Actual","Low",_SPECIFICvarPubDate)</f>
        <v>2410</v>
      </c>
      <c r="H133" s="15" t="s">
        <v>70</v>
      </c>
      <c r="I133" s="15"/>
      <c r="J133" s="15"/>
      <c r="K133" s="3"/>
      <c r="L133" s="2"/>
      <c r="N133" s="28" t="s">
        <v>71</v>
      </c>
      <c r="O133" s="19" t="s">
        <v>72</v>
      </c>
      <c r="P133" s="22"/>
      <c r="Q133" s="19" t="s">
        <v>73</v>
      </c>
      <c r="R133" s="2"/>
      <c r="S133" s="2"/>
      <c r="T133" s="2"/>
      <c r="V133" s="2"/>
      <c r="W133" s="2"/>
      <c r="X133" s="2"/>
      <c r="Y133" s="2"/>
      <c r="Z133" s="2"/>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O133" s="53"/>
      <c r="BP133" s="53"/>
      <c r="BQ133" s="53"/>
    </row>
    <row r="134" spans="1:69" customFormat="1" x14ac:dyDescent="0.2">
      <c r="A134" s="24" t="s">
        <v>74</v>
      </c>
      <c r="B134" s="7">
        <f t="array" ref="B134">_xll.GetPrice("FP-LBR-1329","Actual","Low",_SPECIFICvarPubDate)</f>
        <v>275</v>
      </c>
      <c r="C134" s="25" t="s">
        <v>37</v>
      </c>
      <c r="D134" s="25" t="s">
        <v>37</v>
      </c>
      <c r="E134" s="7">
        <f t="array" ref="E134">_xll.GetPrice("FP-LBR-1829","Actual","Low",_SPECIFICvarPubDate)</f>
        <v>975</v>
      </c>
      <c r="H134" s="3"/>
      <c r="I134" s="22" t="s">
        <v>26</v>
      </c>
      <c r="J134" s="22" t="s">
        <v>75</v>
      </c>
      <c r="K134" s="22" t="s">
        <v>28</v>
      </c>
      <c r="L134" s="2"/>
      <c r="N134" s="19" t="s">
        <v>76</v>
      </c>
      <c r="O134" s="19" t="s">
        <v>76</v>
      </c>
      <c r="P134" s="22" t="s">
        <v>52</v>
      </c>
      <c r="Q134" s="22" t="s">
        <v>20</v>
      </c>
      <c r="R134" s="2"/>
      <c r="S134" s="2"/>
      <c r="T134" s="2"/>
      <c r="U134" s="2"/>
      <c r="V134" s="2"/>
      <c r="W134" s="2"/>
      <c r="X134" s="2"/>
      <c r="Y134" s="2"/>
      <c r="Z134" s="2"/>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O134" s="53"/>
      <c r="BP134" s="53"/>
      <c r="BQ134" s="53"/>
    </row>
    <row r="135" spans="1:69" customFormat="1" x14ac:dyDescent="0.2">
      <c r="A135" s="24" t="s">
        <v>44</v>
      </c>
      <c r="B135" s="7">
        <f t="array" ref="B135">_xll.GetPrice("FP-LBR-1330","Actual","Low",_SPECIFICvarPubDate)</f>
        <v>225</v>
      </c>
      <c r="C135" s="25" t="s">
        <v>37</v>
      </c>
      <c r="D135" s="25" t="s">
        <v>37</v>
      </c>
      <c r="E135" s="7">
        <f t="array" ref="E135">_xll.GetPrice("FP-LBR-1830","Actual","Low",_SPECIFICvarPubDate)</f>
        <v>1010</v>
      </c>
      <c r="H135" s="24" t="s">
        <v>77</v>
      </c>
      <c r="I135" s="7">
        <f t="array" ref="I135">_xll.GetPrice("FP-LBR-0314","Actual","Low",_SPECIFICvarPubDate)</f>
        <v>401</v>
      </c>
      <c r="J135" s="7">
        <f t="array" ref="J135">_xll.GetPrice("FP-LBR-2001","Actual","Low",_SPECIFICvarPubDate)</f>
        <v>405</v>
      </c>
      <c r="K135" s="7">
        <f t="array" ref="K135">_xll.GetPrice("FP-LBR-1985","Actual","Low",_SPECIFICvarPubDate)</f>
        <v>420</v>
      </c>
      <c r="M135" s="22" t="s">
        <v>78</v>
      </c>
      <c r="N135" s="7">
        <f t="array" ref="N135">_xll.GetPrice("FP-LBR-1316","Actual","Low",_SPECIFICvarPubDate)</f>
        <v>510</v>
      </c>
      <c r="O135" s="7">
        <f t="array" ref="O135">_xll.GetPrice("FP-LBR-0161","Actual","Low",_SPECIFICvarPubDate)</f>
        <v>600</v>
      </c>
      <c r="P135" s="7">
        <f t="array" ref="P135">_xll.GetPrice("FP-LBR-0277","Actual","Low",_SPECIFICvarPubDate)</f>
        <v>615</v>
      </c>
      <c r="Q135" s="25" t="s">
        <v>37</v>
      </c>
      <c r="R135" s="3"/>
      <c r="S135" s="2"/>
      <c r="T135" s="2"/>
      <c r="U135" s="2"/>
      <c r="V135" s="2"/>
      <c r="W135" s="2"/>
      <c r="X135" s="2"/>
      <c r="Y135" s="2"/>
      <c r="Z135" s="2"/>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O135" s="53"/>
      <c r="BP135" s="53"/>
      <c r="BQ135" s="53"/>
    </row>
    <row r="136" spans="1:69" customFormat="1" x14ac:dyDescent="0.2">
      <c r="A136" s="24" t="s">
        <v>40</v>
      </c>
      <c r="B136" s="7">
        <f t="array" ref="B136">_xll.GetPrice("FP-LBR-1331","Actual","Low",_SPECIFICvarPubDate)</f>
        <v>175</v>
      </c>
      <c r="C136" s="25" t="s">
        <v>37</v>
      </c>
      <c r="E136" s="25" t="s">
        <v>37</v>
      </c>
      <c r="H136" s="24" t="s">
        <v>39</v>
      </c>
      <c r="I136" s="7">
        <f t="array" ref="I136">_xll.GetPrice("FP-LBR-0315","Actual","Low",_SPECIFICvarPubDate)</f>
        <v>335</v>
      </c>
      <c r="J136" s="7">
        <f t="array" ref="J136">_xll.GetPrice("FP-LBR-2002","Actual","Low",_SPECIFICvarPubDate)</f>
        <v>335</v>
      </c>
      <c r="K136" s="25" t="s">
        <v>37</v>
      </c>
      <c r="M136" s="22" t="s">
        <v>79</v>
      </c>
      <c r="N136" s="25" t="s">
        <v>37</v>
      </c>
      <c r="O136" s="25" t="s">
        <v>37</v>
      </c>
      <c r="P136" s="25" t="s">
        <v>37</v>
      </c>
      <c r="Q136" s="7">
        <f t="array" ref="Q136">_xll.GetPrice("FP-LBR-0282","Actual","Low",_SPECIFICvarPubDate)</f>
        <v>585</v>
      </c>
      <c r="S136" s="2"/>
      <c r="T136" s="2"/>
      <c r="V136" s="2"/>
      <c r="W136" s="2"/>
      <c r="X136" s="2"/>
      <c r="Y136" s="2"/>
      <c r="Z136" s="2"/>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O136" s="53"/>
      <c r="BP136" s="53"/>
      <c r="BQ136" s="53"/>
    </row>
    <row r="137" spans="1:69" customFormat="1" x14ac:dyDescent="0.2">
      <c r="A137" s="24" t="s">
        <v>41</v>
      </c>
      <c r="B137" s="7">
        <f t="array" ref="B137">_xll.GetPrice("FP-LBR-1332","Actual","Low",_SPECIFICvarPubDate)</f>
        <v>175</v>
      </c>
      <c r="C137" s="25" t="s">
        <v>37</v>
      </c>
      <c r="D137" s="25" t="s">
        <v>37</v>
      </c>
      <c r="E137" s="25" t="s">
        <v>37</v>
      </c>
      <c r="H137" s="24" t="s">
        <v>40</v>
      </c>
      <c r="I137" s="7">
        <f t="array" ref="I137">_xll.GetPrice("FP-LBR-0316","Actual","Low",_SPECIFICvarPubDate)</f>
        <v>337</v>
      </c>
      <c r="J137" s="7">
        <f t="array" ref="J137">_xll.GetPrice("FP-LBR-2003","Actual","Low",_SPECIFICvarPubDate)</f>
        <v>340</v>
      </c>
      <c r="K137" s="25" t="s">
        <v>37</v>
      </c>
      <c r="M137" s="22" t="s">
        <v>80</v>
      </c>
      <c r="N137" s="58" t="s">
        <v>37</v>
      </c>
      <c r="O137" s="25" t="s">
        <v>37</v>
      </c>
      <c r="P137" s="7">
        <f t="array" ref="P137">_xll.GetPrice("FP-LBR-0278","Actual","Low",_SPECIFICvarPubDate)</f>
        <v>660</v>
      </c>
      <c r="Q137" s="7">
        <f t="array" ref="Q137">_xll.GetPrice("FP-LBR-0283","Actual","Low",_SPECIFICvarPubDate)</f>
        <v>595</v>
      </c>
      <c r="R137" s="3"/>
      <c r="S137" s="3"/>
      <c r="T137" s="2"/>
      <c r="V137" s="2"/>
      <c r="W137" s="2"/>
      <c r="X137" s="2"/>
      <c r="Y137" s="2"/>
      <c r="Z137" s="2"/>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O137" s="53"/>
      <c r="BP137" s="53"/>
      <c r="BQ137" s="53"/>
    </row>
    <row r="138" spans="1:69" customFormat="1" x14ac:dyDescent="0.2">
      <c r="A138" s="24" t="s">
        <v>42</v>
      </c>
      <c r="B138" s="7">
        <f t="array" ref="B138">_xll.GetPrice("FP-LBR-1333","Actual","Low",_SPECIFICvarPubDate)</f>
        <v>175</v>
      </c>
      <c r="C138" s="25" t="s">
        <v>37</v>
      </c>
      <c r="D138" s="25" t="s">
        <v>37</v>
      </c>
      <c r="E138" s="25" t="s">
        <v>37</v>
      </c>
      <c r="H138" s="24" t="s">
        <v>41</v>
      </c>
      <c r="I138" s="7">
        <f t="array" ref="I138">_xll.GetPrice("FP-LBR-0317","Actual","Low",_SPECIFICvarPubDate)</f>
        <v>390</v>
      </c>
      <c r="J138" s="7">
        <f t="array" ref="J138">_xll.GetPrice("FP-LBR-2004","Actual","Low",_SPECIFICvarPubDate)</f>
        <v>400</v>
      </c>
      <c r="K138" s="25" t="s">
        <v>37</v>
      </c>
      <c r="M138" s="22" t="s">
        <v>81</v>
      </c>
      <c r="N138" s="25" t="s">
        <v>37</v>
      </c>
      <c r="O138" s="25" t="s">
        <v>37</v>
      </c>
      <c r="P138" s="7">
        <f t="array" ref="P138">_xll.GetPrice("FP-LBR-0279","Actual","Low",_SPECIFICvarPubDate)</f>
        <v>790</v>
      </c>
      <c r="Q138" s="7">
        <f t="array" ref="Q138">_xll.GetPrice("FP-LBR-0284","Actual","Low",_SPECIFICvarPubDate)</f>
        <v>630</v>
      </c>
      <c r="R138" s="3"/>
      <c r="S138" s="3"/>
      <c r="T138" s="2"/>
      <c r="V138" s="2"/>
      <c r="W138" s="2"/>
      <c r="X138" s="2"/>
      <c r="Y138" s="2"/>
      <c r="Z138" s="2"/>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O138" s="53"/>
      <c r="BP138" s="53"/>
      <c r="BQ138" s="53"/>
    </row>
    <row r="139" spans="1:69" customFormat="1" x14ac:dyDescent="0.2">
      <c r="A139" s="26" t="s">
        <v>82</v>
      </c>
      <c r="C139" s="7">
        <f t="array" ref="C139">_xll.GetPrice("FP-LBR-1203","Actual","Low",_SPECIFICvarPubDate)</f>
        <v>60</v>
      </c>
      <c r="H139" s="24" t="s">
        <v>42</v>
      </c>
      <c r="I139" s="7">
        <f t="array" ref="I139">_xll.GetPrice("FP-LBR-0318","Actual","Low",_SPECIFICvarPubDate)</f>
        <v>394</v>
      </c>
      <c r="J139" s="7">
        <f t="array" ref="J139">_xll.GetPrice("FP-LBR-2005","Actual","Low",_SPECIFICvarPubDate)</f>
        <v>415</v>
      </c>
      <c r="K139" s="25" t="s">
        <v>37</v>
      </c>
      <c r="M139" s="22" t="s">
        <v>83</v>
      </c>
      <c r="N139" s="25" t="s">
        <v>37</v>
      </c>
      <c r="O139" s="25" t="s">
        <v>37</v>
      </c>
      <c r="P139" s="7">
        <f t="array" ref="P139">_xll.GetPrice("FP-LBR-0280","Actual","Low",_SPECIFICvarPubDate)</f>
        <v>790</v>
      </c>
      <c r="Q139" s="7">
        <f t="array" ref="Q139">_xll.GetPrice("FP-LBR-0285","Actual","Low",_SPECIFICvarPubDate)</f>
        <v>555</v>
      </c>
      <c r="R139" s="3"/>
      <c r="S139" s="2"/>
      <c r="T139" s="2"/>
      <c r="U139" s="2"/>
      <c r="V139" s="2"/>
      <c r="W139" s="2"/>
      <c r="X139" s="2"/>
      <c r="Y139" s="2"/>
      <c r="Z139" s="2"/>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O139" s="53"/>
      <c r="BP139" s="53"/>
      <c r="BQ139" s="53"/>
    </row>
    <row r="140" spans="1:69" customFormat="1" x14ac:dyDescent="0.2">
      <c r="F140" s="2"/>
      <c r="G140" s="2"/>
      <c r="H140" s="2"/>
      <c r="I140" s="2"/>
      <c r="J140" s="2"/>
      <c r="M140" s="22" t="s">
        <v>84</v>
      </c>
      <c r="N140" s="25" t="s">
        <v>37</v>
      </c>
      <c r="O140" s="25" t="s">
        <v>37</v>
      </c>
      <c r="P140" s="7">
        <f t="array" ref="P140">_xll.GetPrice("FP-LBR-0281","Actual","Low",_SPECIFICvarPubDate)</f>
        <v>795</v>
      </c>
      <c r="Q140" s="7">
        <f t="array" ref="Q140">_xll.GetPrice("FP-LBR-0286","Actual","Low",_SPECIFICvarPubDate)</f>
        <v>565</v>
      </c>
      <c r="R140" s="3"/>
      <c r="S140" s="2"/>
      <c r="T140" s="2"/>
      <c r="U140" s="2"/>
      <c r="V140" s="2"/>
      <c r="W140" s="2"/>
      <c r="X140" s="2"/>
      <c r="Y140" s="2"/>
      <c r="Z140" s="2"/>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O140" s="53"/>
      <c r="BP140" s="53"/>
      <c r="BQ140" s="53"/>
    </row>
    <row r="141" spans="1:69" customFormat="1" x14ac:dyDescent="0.2">
      <c r="F141" s="2"/>
      <c r="G141" s="2"/>
      <c r="H141" s="3"/>
      <c r="I141" s="3"/>
      <c r="J141" s="3"/>
      <c r="K141" s="3"/>
      <c r="R141" s="3"/>
      <c r="S141" s="2"/>
      <c r="T141" s="2"/>
      <c r="U141" s="2"/>
      <c r="V141" s="2"/>
      <c r="W141" s="2"/>
      <c r="X141" s="2"/>
      <c r="Y141" s="2"/>
      <c r="Z141" s="2"/>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O141" s="53"/>
      <c r="BP141" s="53"/>
      <c r="BQ141" s="53"/>
    </row>
    <row r="142" spans="1:69" customFormat="1" x14ac:dyDescent="0.2">
      <c r="F142" s="3"/>
      <c r="G142" s="3"/>
      <c r="H142" s="3"/>
      <c r="I142" s="3"/>
      <c r="J142" s="3"/>
      <c r="K142" s="3"/>
      <c r="P142" s="17" t="s">
        <v>85</v>
      </c>
      <c r="Q142" s="2"/>
      <c r="R142" s="3"/>
      <c r="S142" s="2"/>
      <c r="T142" s="2"/>
      <c r="U142" s="2"/>
      <c r="V142" s="2"/>
      <c r="W142" s="2"/>
      <c r="X142" s="2"/>
      <c r="Y142" s="2"/>
      <c r="Z142" s="2"/>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Q142" s="53"/>
    </row>
    <row r="143" spans="1:69" customFormat="1" x14ac:dyDescent="0.2">
      <c r="A143" s="17" t="s">
        <v>86</v>
      </c>
      <c r="H143" s="18" t="s">
        <v>10</v>
      </c>
      <c r="I143" s="2"/>
      <c r="J143" s="2"/>
      <c r="K143" s="2"/>
      <c r="L143" s="2"/>
      <c r="M143" s="2"/>
      <c r="Q143" s="19" t="s">
        <v>87</v>
      </c>
      <c r="R143" s="2"/>
      <c r="S143" s="2"/>
      <c r="T143" s="2"/>
      <c r="U143" s="2"/>
      <c r="V143" s="2"/>
      <c r="W143" s="2"/>
      <c r="X143" s="2"/>
      <c r="Y143" s="2"/>
      <c r="Z143" s="2"/>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O143" s="53"/>
      <c r="BP143" s="53"/>
      <c r="BQ143" s="53"/>
    </row>
    <row r="144" spans="1:69" customFormat="1" x14ac:dyDescent="0.2">
      <c r="B144" s="19" t="s">
        <v>11</v>
      </c>
      <c r="C144" s="22" t="s">
        <v>23</v>
      </c>
      <c r="D144" s="22" t="s">
        <v>13</v>
      </c>
      <c r="E144" s="22" t="s">
        <v>88</v>
      </c>
      <c r="F144" s="22"/>
      <c r="G144" s="22" t="s">
        <v>89</v>
      </c>
      <c r="H144" s="19" t="s">
        <v>16</v>
      </c>
      <c r="I144" s="15"/>
      <c r="J144" s="15"/>
      <c r="K144" s="22" t="s">
        <v>17</v>
      </c>
      <c r="L144" s="22"/>
      <c r="M144" s="15"/>
      <c r="P144" s="23" t="s">
        <v>90</v>
      </c>
      <c r="Q144" s="19" t="s">
        <v>53</v>
      </c>
      <c r="R144" s="21"/>
      <c r="S144" s="2"/>
      <c r="T144" s="2"/>
      <c r="U144" s="2"/>
      <c r="V144" s="2"/>
      <c r="W144" s="2"/>
      <c r="X144" s="2"/>
      <c r="Y144" s="2"/>
      <c r="Z144" s="2"/>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O144" s="53"/>
      <c r="BP144" s="53"/>
      <c r="BQ144" s="53"/>
    </row>
    <row r="145" spans="1:69" customFormat="1" x14ac:dyDescent="0.2">
      <c r="B145" s="22" t="s">
        <v>19</v>
      </c>
      <c r="C145" s="22" t="s">
        <v>19</v>
      </c>
      <c r="D145" s="22" t="s">
        <v>22</v>
      </c>
      <c r="E145" s="22" t="s">
        <v>91</v>
      </c>
      <c r="F145" s="22" t="s">
        <v>92</v>
      </c>
      <c r="G145" s="22" t="s">
        <v>93</v>
      </c>
      <c r="H145" s="19" t="s">
        <v>29</v>
      </c>
      <c r="I145" s="22" t="s">
        <v>30</v>
      </c>
      <c r="J145" s="22" t="s">
        <v>31</v>
      </c>
      <c r="K145" s="22" t="s">
        <v>32</v>
      </c>
      <c r="L145" s="22" t="s">
        <v>33</v>
      </c>
      <c r="M145" s="22" t="s">
        <v>34</v>
      </c>
      <c r="N145" s="19" t="s">
        <v>35</v>
      </c>
      <c r="P145" s="22" t="s">
        <v>94</v>
      </c>
      <c r="Q145" s="7">
        <f t="array" ref="Q145">_xll.GetPrice("FP-LBR-1393","Actual","Low",_SPECIFICvarPubDate)</f>
        <v>355</v>
      </c>
      <c r="R145" s="3"/>
      <c r="S145" s="2"/>
      <c r="T145" s="2"/>
      <c r="U145" s="2"/>
      <c r="V145" s="2"/>
      <c r="W145" s="2"/>
      <c r="X145" s="2"/>
      <c r="Y145" s="2"/>
      <c r="Z145" s="2"/>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M145" s="53"/>
      <c r="BN145" s="53"/>
      <c r="BO145" s="53"/>
      <c r="BP145" s="53"/>
      <c r="BQ145" s="53"/>
    </row>
    <row r="146" spans="1:69" customFormat="1" x14ac:dyDescent="0.2">
      <c r="A146" s="24" t="s">
        <v>95</v>
      </c>
      <c r="B146" s="25" t="s">
        <v>37</v>
      </c>
      <c r="C146" s="25" t="s">
        <v>37</v>
      </c>
      <c r="D146" s="25" t="s">
        <v>37</v>
      </c>
      <c r="E146" s="25" t="s">
        <v>37</v>
      </c>
      <c r="F146" s="25" t="s">
        <v>37</v>
      </c>
      <c r="G146" s="25" t="s">
        <v>37</v>
      </c>
      <c r="H146" s="63">
        <f t="array" ref="H146">_xll.GetPrice("FP-LBR-0413","Actual","Low",_SPECIFICvarPubDate)</f>
        <v>425</v>
      </c>
      <c r="I146" s="7">
        <f t="array" ref="I146">_xll.GetPrice("FP-LBR-0535","Actual","Low",_SPECIFICvarPubDate)</f>
        <v>537</v>
      </c>
      <c r="J146" s="7">
        <f t="array" ref="J146">_xll.GetPrice("FP-LBR-0545","Actual","Low",_SPECIFICvarPubDate)</f>
        <v>560</v>
      </c>
      <c r="K146" s="7">
        <f t="array" ref="K146">_xll.GetPrice("FP-LBR-1242","Actual","Low",_SPECIFICvarPubDate)</f>
        <v>500</v>
      </c>
      <c r="L146" s="7">
        <f t="array" ref="L146">_xll.GetPrice("FP-LBR-1252","Actual","Low",_SPECIFICvarPubDate)</f>
        <v>505</v>
      </c>
      <c r="M146" s="7">
        <f t="array" ref="M146">_xll.GetPrice("FP-LBR-1262","Actual","Low",_SPECIFICvarPubDate)</f>
        <v>580</v>
      </c>
      <c r="N146" s="7">
        <f t="array" ref="N146">_xll.GetPrice("FP-LBR-1268","Actual","Low",_SPECIFICvarPubDate)</f>
        <v>575</v>
      </c>
      <c r="P146" s="22" t="s">
        <v>96</v>
      </c>
      <c r="Q146" s="7">
        <f t="array" ref="Q146">_xll.GetPrice("FP-LBR-1394","Actual","Low",_SPECIFICvarPubDate)</f>
        <v>415</v>
      </c>
      <c r="R146" s="3"/>
      <c r="S146" s="2"/>
      <c r="T146" s="2"/>
      <c r="U146" s="2"/>
      <c r="V146" s="2"/>
      <c r="W146" s="2"/>
      <c r="X146" s="2"/>
      <c r="Y146" s="2"/>
      <c r="Z146" s="2"/>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M146" s="53"/>
      <c r="BN146" s="53"/>
      <c r="BO146" s="53"/>
      <c r="BP146" s="53"/>
      <c r="BQ146" s="53"/>
    </row>
    <row r="147" spans="1:69" customFormat="1" x14ac:dyDescent="0.2">
      <c r="A147" s="24" t="s">
        <v>97</v>
      </c>
      <c r="B147" s="25" t="s">
        <v>37</v>
      </c>
      <c r="C147" s="25" t="s">
        <v>37</v>
      </c>
      <c r="D147" s="25" t="s">
        <v>37</v>
      </c>
      <c r="E147" s="25" t="s">
        <v>37</v>
      </c>
      <c r="F147" s="25" t="s">
        <v>37</v>
      </c>
      <c r="G147" s="25" t="s">
        <v>37</v>
      </c>
      <c r="H147" s="25" t="s">
        <v>37</v>
      </c>
      <c r="I147" s="25" t="s">
        <v>37</v>
      </c>
      <c r="J147" s="25" t="s">
        <v>37</v>
      </c>
      <c r="K147" s="7">
        <f t="array" ref="K147">_xll.GetPrice("FP-LBR-1243","Actual","Low",_SPECIFICvarPubDate)</f>
        <v>420</v>
      </c>
      <c r="L147" s="7">
        <f t="array" ref="L147">_xll.GetPrice("FP-LBR-1253","Actual","Low",_SPECIFICvarPubDate)</f>
        <v>420</v>
      </c>
      <c r="M147" s="25" t="s">
        <v>37</v>
      </c>
      <c r="N147" s="25" t="s">
        <v>37</v>
      </c>
      <c r="P147" s="22" t="s">
        <v>98</v>
      </c>
      <c r="Q147" s="7">
        <f t="array" ref="Q147">_xll.GetPrice("FP-LBR-1395","Actual","Low",_SPECIFICvarPubDate)</f>
        <v>390</v>
      </c>
      <c r="R147" s="3"/>
      <c r="S147" s="2"/>
      <c r="T147" s="2"/>
      <c r="U147" s="2"/>
      <c r="V147" s="2"/>
      <c r="W147" s="2"/>
      <c r="X147" s="2"/>
      <c r="Y147" s="2"/>
      <c r="Z147" s="2"/>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M147" s="53"/>
      <c r="BN147" s="53"/>
      <c r="BO147" s="53"/>
      <c r="BP147" s="53"/>
      <c r="BQ147" s="53"/>
    </row>
    <row r="148" spans="1:69" customFormat="1" x14ac:dyDescent="0.2">
      <c r="A148" s="24" t="s">
        <v>99</v>
      </c>
      <c r="B148" s="25" t="s">
        <v>37</v>
      </c>
      <c r="C148" s="58" t="s">
        <v>37</v>
      </c>
      <c r="D148" s="58" t="s">
        <v>37</v>
      </c>
      <c r="E148" s="58" t="s">
        <v>37</v>
      </c>
      <c r="F148" s="58" t="s">
        <v>37</v>
      </c>
      <c r="G148" s="7">
        <f t="array" ref="G148">_xll.GetPrice("FP-LBR-0319","Actual","Low",_SPECIFICvarPubDate)</f>
        <v>385</v>
      </c>
      <c r="H148" s="63">
        <f t="array" ref="H148">_xll.GetPrice("FP-LBR-0414","Actual","Low",_SPECIFICvarPubDate)</f>
        <v>370</v>
      </c>
      <c r="I148" s="7">
        <f t="array" ref="I148">_xll.GetPrice("FP-LBR-0536","Actual","Low",_SPECIFICvarPubDate)</f>
        <v>482</v>
      </c>
      <c r="J148" s="7">
        <f t="array" ref="J148">_xll.GetPrice("FP-LBR-0546","Actual","Low",_SPECIFICvarPubDate)</f>
        <v>505</v>
      </c>
      <c r="K148" s="7">
        <f t="array" ref="K148">_xll.GetPrice("FP-LBR-1244","Actual","Low",_SPECIFICvarPubDate)</f>
        <v>510</v>
      </c>
      <c r="L148" s="7">
        <f t="array" ref="L148">_xll.GetPrice("FP-LBR-1254","Actual","Low",_SPECIFICvarPubDate)</f>
        <v>515</v>
      </c>
      <c r="M148" s="7">
        <f t="array" ref="M148">_xll.GetPrice("FP-LBR-1263","Actual","Low",_SPECIFICvarPubDate)</f>
        <v>595</v>
      </c>
      <c r="N148" s="7">
        <f t="array" ref="N148">_xll.GetPrice("FP-LBR-1269","Actual","Low",_SPECIFICvarPubDate)</f>
        <v>580</v>
      </c>
      <c r="P148" s="22" t="s">
        <v>100</v>
      </c>
      <c r="Q148" s="7">
        <f t="array" ref="Q148">_xll.GetPrice("FP-LBR-1396","Actual","Low",_SPECIFICvarPubDate)</f>
        <v>330</v>
      </c>
      <c r="S148" s="2"/>
      <c r="T148" s="2"/>
      <c r="U148" s="2"/>
      <c r="V148" s="2"/>
      <c r="W148" s="2"/>
      <c r="X148" s="2"/>
      <c r="Y148" s="2"/>
      <c r="Z148" s="2"/>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M148" s="53"/>
      <c r="BN148" s="53"/>
      <c r="BO148" s="53"/>
      <c r="BP148" s="53"/>
      <c r="BQ148" s="53"/>
    </row>
    <row r="149" spans="1:69" customFormat="1" x14ac:dyDescent="0.2">
      <c r="A149" s="24" t="s">
        <v>101</v>
      </c>
      <c r="B149" s="7">
        <f t="array" ref="B149">_xll.GetPrice("FP-LBR-0172","Actual","Low",_SPECIFICvarPubDate)</f>
        <v>415</v>
      </c>
      <c r="C149" s="7">
        <f t="array" ref="C149">_xll.GetPrice("FP-LBR-0291","Actual","Low",_SPECIFICvarPubDate)</f>
        <v>400</v>
      </c>
      <c r="D149" s="7">
        <f t="array" ref="D149">_xll.GetPrice("FP-LBR-0178","Actual","Low",_SPECIFICvarPubDate)</f>
        <v>425</v>
      </c>
      <c r="E149" s="7">
        <f t="array" ref="E149">_xll.GetPrice("FP-LBR-0287","Actual","Low",_SPECIFICvarPubDate)</f>
        <v>413</v>
      </c>
      <c r="F149" s="7">
        <f t="array" ref="F149">_xll.GetPrice("FP-LBR-0296","Actual","Low",_SPECIFICvarPubDate)</f>
        <v>410</v>
      </c>
      <c r="G149" s="58" t="s">
        <v>37</v>
      </c>
      <c r="H149" s="7">
        <f t="array" ref="H149">_xll.GetPrice("FP-LBR-0415","Actual","Low",_SPECIFICvarPubDate)</f>
        <v>395</v>
      </c>
      <c r="I149" s="7">
        <f t="array" ref="I149">_xll.GetPrice("FP-LBR-0537","Actual","Low",_SPECIFICvarPubDate)</f>
        <v>507</v>
      </c>
      <c r="J149" s="58" t="s">
        <v>37</v>
      </c>
      <c r="K149" s="58" t="s">
        <v>37</v>
      </c>
      <c r="L149" s="58" t="s">
        <v>37</v>
      </c>
      <c r="M149" s="58" t="s">
        <v>37</v>
      </c>
      <c r="N149" s="58" t="s">
        <v>37</v>
      </c>
      <c r="P149" s="22" t="s">
        <v>102</v>
      </c>
      <c r="Q149" s="7">
        <f t="array" ref="Q149">_xll.GetPrice("FP-LBR-1397","Actual","Low",_SPECIFICvarPubDate)</f>
        <v>420</v>
      </c>
      <c r="S149" s="2"/>
      <c r="T149" s="2"/>
      <c r="U149" s="2"/>
      <c r="V149" s="2"/>
      <c r="W149" s="2"/>
      <c r="X149" s="2"/>
      <c r="Y149" s="2"/>
      <c r="Z149" s="2"/>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M149" s="53"/>
      <c r="BN149" s="53"/>
      <c r="BO149" s="53"/>
      <c r="BP149" s="53"/>
      <c r="BQ149" s="53"/>
    </row>
    <row r="150" spans="1:69" customFormat="1" x14ac:dyDescent="0.2">
      <c r="A150" s="27" t="s">
        <v>103</v>
      </c>
      <c r="B150" s="58" t="s">
        <v>37</v>
      </c>
      <c r="C150" s="7">
        <f t="array" ref="C150">_xll.GetPrice("FP-LBR-0295","Actual","Low",_SPECIFICvarPubDate)</f>
        <v>540</v>
      </c>
      <c r="D150" s="7">
        <f t="array" ref="D150">_xll.GetPrice("FP-LBR-0179","Actual","Low",_SPECIFICvarPubDate)</f>
        <v>525</v>
      </c>
      <c r="E150" s="58" t="s">
        <v>37</v>
      </c>
      <c r="F150" s="58" t="s">
        <v>37</v>
      </c>
      <c r="G150" s="58" t="s">
        <v>37</v>
      </c>
      <c r="H150" s="7">
        <f t="array" ref="H150">_xll.GetPrice("FP-LBR-0416","Actual","Low",_SPECIFICvarPubDate)</f>
        <v>465</v>
      </c>
      <c r="I150" s="7">
        <f t="array" ref="I150">_xll.GetPrice("FP-LBR-0538","Actual","Low",_SPECIFICvarPubDate)</f>
        <v>577</v>
      </c>
      <c r="J150" s="7">
        <f t="array" ref="J150">_xll.GetPrice("FP-LBR-0547","Actual","Low",_SPECIFICvarPubDate)</f>
        <v>600</v>
      </c>
      <c r="K150" s="58" t="s">
        <v>37</v>
      </c>
      <c r="L150" s="58" t="s">
        <v>37</v>
      </c>
      <c r="M150" s="58" t="s">
        <v>37</v>
      </c>
      <c r="N150" s="58" t="s">
        <v>37</v>
      </c>
      <c r="P150" s="22" t="s">
        <v>104</v>
      </c>
      <c r="Q150" s="7">
        <f t="array" ref="Q150">_xll.GetPrice("FP-LBR-1398","Actual","Low",_SPECIFICvarPubDate)</f>
        <v>420</v>
      </c>
      <c r="S150" s="2"/>
      <c r="T150" s="2"/>
      <c r="U150" s="2"/>
      <c r="V150" s="2"/>
      <c r="W150" s="2"/>
      <c r="X150" s="2"/>
      <c r="Y150" s="2"/>
      <c r="Z150" s="2"/>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M150" s="53"/>
      <c r="BN150" s="53"/>
      <c r="BO150" s="53"/>
      <c r="BP150" s="53"/>
      <c r="BQ150" s="53"/>
    </row>
    <row r="151" spans="1:69" customFormat="1" x14ac:dyDescent="0.2">
      <c r="A151" s="24" t="s">
        <v>105</v>
      </c>
      <c r="B151" s="58" t="s">
        <v>37</v>
      </c>
      <c r="C151" s="58" t="s">
        <v>37</v>
      </c>
      <c r="D151" s="58" t="s">
        <v>37</v>
      </c>
      <c r="E151" s="58" t="s">
        <v>37</v>
      </c>
      <c r="F151" s="58" t="s">
        <v>37</v>
      </c>
      <c r="G151" s="25" t="s">
        <v>37</v>
      </c>
      <c r="H151" s="63">
        <f t="array" ref="H151">_xll.GetPrice("FP-LBR-0417","Actual","Low",_SPECIFICvarPubDate)</f>
        <v>455</v>
      </c>
      <c r="I151" s="7">
        <f t="array" ref="I151">_xll.GetPrice("FP-LBR-0539","Actual","Low",_SPECIFICvarPubDate)</f>
        <v>567</v>
      </c>
      <c r="J151" s="7">
        <f t="array" ref="J151">_xll.GetPrice("FP-LBR-0548","Actual","Low",_SPECIFICvarPubDate)</f>
        <v>590</v>
      </c>
      <c r="K151" s="7">
        <f t="array" ref="K151">_xll.GetPrice("FP-LBR-1245","Actual","Low",_SPECIFICvarPubDate)</f>
        <v>550</v>
      </c>
      <c r="L151" s="7">
        <f t="array" ref="L151">_xll.GetPrice("FP-LBR-1255","Actual","Low",_SPECIFICvarPubDate)</f>
        <v>565</v>
      </c>
      <c r="M151" s="7">
        <f t="array" ref="M151">_xll.GetPrice("FP-LBR-1264","Actual","Low",_SPECIFICvarPubDate)</f>
        <v>625</v>
      </c>
      <c r="N151" s="7">
        <f t="array" ref="N151">_xll.GetPrice("FP-LBR-1270","Actual","Low",_SPECIFICvarPubDate)</f>
        <v>630</v>
      </c>
      <c r="S151" s="2"/>
      <c r="T151" s="2"/>
      <c r="U151" s="2"/>
      <c r="V151" s="2"/>
      <c r="W151" s="2"/>
      <c r="X151" s="2"/>
      <c r="Y151" s="2"/>
      <c r="Z151" s="2"/>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M151" s="53"/>
      <c r="BN151" s="53"/>
      <c r="BO151" s="53"/>
      <c r="BP151" s="53"/>
      <c r="BQ151" s="53"/>
    </row>
    <row r="152" spans="1:69" customFormat="1" x14ac:dyDescent="0.2">
      <c r="A152" s="27" t="s">
        <v>106</v>
      </c>
      <c r="B152" s="7">
        <f t="array" ref="B152">_xll.GetPrice("FP-LBR-0173","Actual","Low",_SPECIFICvarPubDate)</f>
        <v>475</v>
      </c>
      <c r="C152" s="7">
        <f t="array" ref="C152">_xll.GetPrice("FP-LBR-0292","Actual","Low",_SPECIFICvarPubDate)</f>
        <v>485</v>
      </c>
      <c r="D152" s="7">
        <f t="array" ref="D152">_xll.GetPrice("FP-LBR-0180","Actual","Low",_SPECIFICvarPubDate)</f>
        <v>485</v>
      </c>
      <c r="E152" s="7">
        <f t="array" ref="E152">_xll.GetPrice("FP-LBR-0288","Actual","Low",_SPECIFICvarPubDate)</f>
        <v>488</v>
      </c>
      <c r="F152" s="7">
        <f t="array" ref="F152">_xll.GetPrice("FP-LBR-0297","Actual","Low",_SPECIFICvarPubDate)</f>
        <v>490</v>
      </c>
      <c r="G152" s="58" t="s">
        <v>37</v>
      </c>
      <c r="H152" s="63">
        <f t="array" ref="H152">_xll.GetPrice("FP-LBR-0418","Actual","Low",_SPECIFICvarPubDate)</f>
        <v>510</v>
      </c>
      <c r="I152" s="7">
        <f t="array" ref="I152">_xll.GetPrice("FP-LBR-0540","Actual","Low",_SPECIFICvarPubDate)</f>
        <v>622</v>
      </c>
      <c r="J152" s="58" t="s">
        <v>37</v>
      </c>
      <c r="K152" s="7">
        <f t="array" ref="K152">_xll.GetPrice("FP-LBR-1246","Actual","Low",_SPECIFICvarPubDate)</f>
        <v>565</v>
      </c>
      <c r="L152" s="7">
        <f t="array" ref="L152">_xll.GetPrice("FP-LBR-1256","Actual","Low",_SPECIFICvarPubDate)</f>
        <v>575</v>
      </c>
      <c r="M152" s="58" t="s">
        <v>37</v>
      </c>
      <c r="N152" s="58" t="s">
        <v>37</v>
      </c>
      <c r="P152" s="17" t="s">
        <v>107</v>
      </c>
      <c r="Q152" s="2"/>
      <c r="S152" s="2"/>
      <c r="T152" s="2"/>
      <c r="U152" s="2"/>
      <c r="V152" s="2"/>
      <c r="W152" s="2"/>
      <c r="X152" s="2"/>
      <c r="Y152" s="2"/>
      <c r="Z152" s="2"/>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M152" s="53"/>
      <c r="BN152" s="53"/>
      <c r="BO152" s="53"/>
      <c r="BP152" s="53"/>
      <c r="BQ152" s="53"/>
    </row>
    <row r="153" spans="1:69" customFormat="1" x14ac:dyDescent="0.2">
      <c r="A153" s="24" t="s">
        <v>108</v>
      </c>
      <c r="B153" s="58" t="s">
        <v>37</v>
      </c>
      <c r="C153" s="25" t="s">
        <v>37</v>
      </c>
      <c r="D153" s="58" t="s">
        <v>37</v>
      </c>
      <c r="E153" s="25" t="s">
        <v>37</v>
      </c>
      <c r="F153" s="25" t="s">
        <v>37</v>
      </c>
      <c r="G153" s="25" t="s">
        <v>37</v>
      </c>
      <c r="H153" s="25" t="s">
        <v>37</v>
      </c>
      <c r="I153" s="25" t="s">
        <v>37</v>
      </c>
      <c r="J153" s="25" t="s">
        <v>37</v>
      </c>
      <c r="K153" s="7">
        <f t="array" ref="K153">_xll.GetPrice("FP-LBR-1247","Actual","Low",_SPECIFICvarPubDate)</f>
        <v>450</v>
      </c>
      <c r="L153" s="7">
        <f t="array" ref="L153">_xll.GetPrice("FP-LBR-1257","Actual","Low",_SPECIFICvarPubDate)</f>
        <v>460</v>
      </c>
      <c r="M153" s="7">
        <f t="array" ref="M153">_xll.GetPrice("FP-LBR-1265","Actual","Low",_SPECIFICvarPubDate)</f>
        <v>515</v>
      </c>
      <c r="N153" s="7">
        <f t="array" ref="N153">_xll.GetPrice("FP-LBR-1271","Actual","Low",_SPECIFICvarPubDate)</f>
        <v>480</v>
      </c>
      <c r="P153" s="23" t="s">
        <v>92</v>
      </c>
      <c r="S153" s="2"/>
      <c r="T153" s="2"/>
      <c r="U153" s="2"/>
      <c r="V153" s="2"/>
      <c r="W153" s="2"/>
      <c r="X153" s="2"/>
      <c r="Y153" s="2"/>
      <c r="Z153" s="2"/>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M153" s="53"/>
      <c r="BN153" s="53"/>
      <c r="BO153" s="53"/>
      <c r="BP153" s="53"/>
      <c r="BQ153" s="53"/>
    </row>
    <row r="154" spans="1:69" customFormat="1" x14ac:dyDescent="0.2">
      <c r="A154" s="27" t="s">
        <v>109</v>
      </c>
      <c r="B154" s="7">
        <f t="array" ref="B154">_xll.GetPrice("FP-LBR-0174","Actual","Low",_SPECIFICvarPubDate)</f>
        <v>475</v>
      </c>
      <c r="C154" s="58" t="s">
        <v>37</v>
      </c>
      <c r="D154" s="7">
        <f t="array" ref="D154">_xll.GetPrice("FP-LBR-0181","Actual","Low",_SPECIFICvarPubDate)</f>
        <v>470</v>
      </c>
      <c r="E154" s="58" t="s">
        <v>37</v>
      </c>
      <c r="F154" s="58" t="s">
        <v>37</v>
      </c>
      <c r="G154" s="58" t="s">
        <v>37</v>
      </c>
      <c r="H154" s="58" t="s">
        <v>37</v>
      </c>
      <c r="I154" s="58" t="s">
        <v>37</v>
      </c>
      <c r="J154" s="58" t="s">
        <v>37</v>
      </c>
      <c r="K154" s="58" t="s">
        <v>37</v>
      </c>
      <c r="L154" s="58" t="s">
        <v>37</v>
      </c>
      <c r="M154" s="58" t="s">
        <v>37</v>
      </c>
      <c r="N154" s="58" t="s">
        <v>37</v>
      </c>
      <c r="P154" s="24" t="s">
        <v>110</v>
      </c>
      <c r="Q154" s="7">
        <f t="array" ref="Q154">_xll.GetPrice("FP-LBR-0302","Actual","Low",_SPECIFICvarPubDate)</f>
        <v>465</v>
      </c>
      <c r="S154" s="2"/>
      <c r="T154" s="2"/>
      <c r="U154" s="2"/>
      <c r="V154" s="2"/>
      <c r="W154" s="2"/>
      <c r="X154" s="2"/>
      <c r="Y154" s="2"/>
      <c r="Z154" s="2"/>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53"/>
      <c r="BB154" s="53"/>
      <c r="BC154" s="53"/>
      <c r="BD154" s="53"/>
      <c r="BE154" s="53"/>
      <c r="BF154" s="53"/>
      <c r="BG154" s="53"/>
      <c r="BH154" s="53"/>
      <c r="BI154" s="53"/>
      <c r="BJ154" s="53"/>
      <c r="BK154" s="53"/>
      <c r="BL154" s="53"/>
      <c r="BM154" s="53"/>
      <c r="BN154" s="53"/>
      <c r="BO154" s="53"/>
      <c r="BP154" s="53"/>
      <c r="BQ154" s="53"/>
    </row>
    <row r="155" spans="1:69" customFormat="1" x14ac:dyDescent="0.2">
      <c r="A155" s="24" t="s">
        <v>111</v>
      </c>
      <c r="B155" s="25" t="s">
        <v>37</v>
      </c>
      <c r="C155" s="25" t="s">
        <v>37</v>
      </c>
      <c r="D155" s="25" t="s">
        <v>37</v>
      </c>
      <c r="E155" s="25" t="s">
        <v>37</v>
      </c>
      <c r="F155" s="25" t="s">
        <v>37</v>
      </c>
      <c r="G155" s="25" t="s">
        <v>37</v>
      </c>
      <c r="H155" s="25" t="s">
        <v>37</v>
      </c>
      <c r="I155" s="25" t="s">
        <v>37</v>
      </c>
      <c r="J155" s="25" t="s">
        <v>37</v>
      </c>
      <c r="K155" s="7">
        <f t="array" ref="K155">_xll.GetPrice("FP-LBR-1248","Actual","Low",_SPECIFICvarPubDate)</f>
        <v>435</v>
      </c>
      <c r="L155" s="7">
        <f t="array" ref="L155">_xll.GetPrice("FP-LBR-1258","Actual","Low",_SPECIFICvarPubDate)</f>
        <v>445</v>
      </c>
      <c r="M155" s="25" t="s">
        <v>37</v>
      </c>
      <c r="N155" s="25" t="s">
        <v>37</v>
      </c>
      <c r="P155" s="24" t="s">
        <v>112</v>
      </c>
      <c r="Q155" s="7">
        <f t="array" ref="Q155">_xll.GetPrice("FP-LBR-0303","Actual","Low",_SPECIFICvarPubDate)</f>
        <v>465</v>
      </c>
      <c r="S155" s="2"/>
      <c r="T155" s="2"/>
      <c r="U155" s="2"/>
      <c r="V155" s="2"/>
      <c r="W155" s="2"/>
      <c r="X155" s="2"/>
      <c r="Y155" s="2"/>
      <c r="Z155" s="2"/>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53"/>
      <c r="BB155" s="53"/>
      <c r="BC155" s="53"/>
      <c r="BD155" s="53"/>
      <c r="BE155" s="53"/>
      <c r="BF155" s="53"/>
      <c r="BG155" s="53"/>
      <c r="BH155" s="53"/>
      <c r="BI155" s="53"/>
      <c r="BJ155" s="53"/>
      <c r="BK155" s="53"/>
      <c r="BL155" s="53"/>
      <c r="BM155" s="53"/>
      <c r="BN155" s="53"/>
      <c r="BO155" s="53"/>
      <c r="BP155" s="53"/>
      <c r="BQ155" s="53"/>
    </row>
    <row r="156" spans="1:69" customFormat="1" x14ac:dyDescent="0.2">
      <c r="A156" s="24" t="s">
        <v>113</v>
      </c>
      <c r="B156" s="58" t="s">
        <v>37</v>
      </c>
      <c r="C156" s="58" t="s">
        <v>37</v>
      </c>
      <c r="D156" s="58" t="s">
        <v>37</v>
      </c>
      <c r="E156" s="58" t="s">
        <v>37</v>
      </c>
      <c r="F156" s="58" t="s">
        <v>37</v>
      </c>
      <c r="G156" s="25" t="s">
        <v>37</v>
      </c>
      <c r="H156" s="63">
        <f t="array" ref="H156">_xll.GetPrice("FP-LBR-0419","Actual","Low",_SPECIFICvarPubDate)</f>
        <v>390</v>
      </c>
      <c r="I156" s="7">
        <f t="array" ref="I156">_xll.GetPrice("FP-LBR-0541","Actual","Low",_SPECIFICvarPubDate)</f>
        <v>506</v>
      </c>
      <c r="J156" s="7">
        <f t="array" ref="J156">_xll.GetPrice("FP-LBR-0549","Actual","Low",_SPECIFICvarPubDate)</f>
        <v>530</v>
      </c>
      <c r="K156" s="7">
        <f t="array" ref="K156">_xll.GetPrice("FP-LBR-1249","Actual","Low",_SPECIFICvarPubDate)</f>
        <v>515</v>
      </c>
      <c r="L156" s="7">
        <f t="array" ref="L156">_xll.GetPrice("FP-LBR-1259","Actual","Low",_SPECIFICvarPubDate)</f>
        <v>515</v>
      </c>
      <c r="M156" s="7">
        <f t="array" ref="M156">_xll.GetPrice("FP-LBR-1266","Actual","Low",_SPECIFICvarPubDate)</f>
        <v>610</v>
      </c>
      <c r="N156" s="7">
        <f t="array" ref="N156">_xll.GetPrice("FP-LBR-1272","Actual","Low",_SPECIFICvarPubDate)</f>
        <v>590</v>
      </c>
      <c r="P156" s="24" t="s">
        <v>114</v>
      </c>
      <c r="Q156" s="7" cm="1">
        <f t="array" ref="Q156">_xll.GetPrice("FP-LBR-2228","Actual","Low",_SPECIFICvarPubDate)</f>
        <v>570</v>
      </c>
      <c r="S156" s="2"/>
      <c r="T156" s="2"/>
      <c r="U156" s="2"/>
      <c r="V156" s="2"/>
      <c r="W156" s="2"/>
      <c r="X156" s="2"/>
      <c r="Y156" s="2"/>
      <c r="Z156" s="2"/>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53"/>
      <c r="BB156" s="53"/>
      <c r="BC156" s="53"/>
      <c r="BD156" s="53"/>
      <c r="BE156" s="53"/>
      <c r="BF156" s="53"/>
      <c r="BG156" s="53"/>
      <c r="BH156" s="53"/>
      <c r="BI156" s="53"/>
      <c r="BJ156" s="53"/>
      <c r="BK156" s="53"/>
      <c r="BL156" s="53"/>
      <c r="BM156" s="53"/>
      <c r="BN156" s="53"/>
      <c r="BO156" s="53"/>
      <c r="BP156" s="53"/>
      <c r="BQ156" s="53"/>
    </row>
    <row r="157" spans="1:69" customFormat="1" x14ac:dyDescent="0.2">
      <c r="A157" s="27" t="s">
        <v>115</v>
      </c>
      <c r="B157" s="7">
        <f t="array" ref="B157">_xll.GetPrice("FP-LBR-0175","Actual","Low",_SPECIFICvarPubDate)</f>
        <v>420</v>
      </c>
      <c r="C157" s="7">
        <f t="array" ref="C157">_xll.GetPrice("FP-LBR-0293","Actual","Low",_SPECIFICvarPubDate)</f>
        <v>430</v>
      </c>
      <c r="D157" s="7">
        <f t="array" ref="D157">_xll.GetPrice("FP-LBR-0182","Actual","Low",_SPECIFICvarPubDate)</f>
        <v>440</v>
      </c>
      <c r="E157" s="7">
        <f t="array" ref="E157">_xll.GetPrice("FP-LBR-0289","Actual","Low",_SPECIFICvarPubDate)</f>
        <v>440</v>
      </c>
      <c r="F157" s="7">
        <f t="array" ref="F157">_xll.GetPrice("FP-LBR-0298","Actual","Low",_SPECIFICvarPubDate)</f>
        <v>440</v>
      </c>
      <c r="G157" s="58" t="s">
        <v>37</v>
      </c>
      <c r="H157" s="7">
        <f t="array" ref="H157">_xll.GetPrice("FP-LBR-0420","Actual","Low",_SPECIFICvarPubDate)</f>
        <v>455</v>
      </c>
      <c r="I157" s="7">
        <f t="array" ref="I157">_xll.GetPrice("FP-LBR-0542","Actual","Low",_SPECIFICvarPubDate)</f>
        <v>571</v>
      </c>
      <c r="J157" s="58" t="s">
        <v>37</v>
      </c>
      <c r="K157" s="58" t="s">
        <v>37</v>
      </c>
      <c r="L157" s="58" t="s">
        <v>37</v>
      </c>
      <c r="M157" s="58" t="s">
        <v>37</v>
      </c>
      <c r="N157" s="58" t="s">
        <v>37</v>
      </c>
      <c r="O157" s="3"/>
      <c r="P157" s="23" t="s">
        <v>52</v>
      </c>
      <c r="R157" s="2"/>
      <c r="S157" s="2"/>
      <c r="T157" s="2"/>
      <c r="U157" s="2"/>
      <c r="V157" s="2"/>
      <c r="W157" s="2"/>
      <c r="X157" s="2"/>
      <c r="Y157" s="2"/>
      <c r="Z157" s="2"/>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53"/>
      <c r="BB157" s="53"/>
      <c r="BC157" s="53"/>
      <c r="BD157" s="53"/>
      <c r="BE157" s="53"/>
      <c r="BF157" s="53"/>
      <c r="BG157" s="53"/>
      <c r="BH157" s="53"/>
      <c r="BI157" s="53"/>
      <c r="BJ157" s="53"/>
      <c r="BK157" s="53"/>
      <c r="BL157" s="53"/>
      <c r="BM157" s="53"/>
      <c r="BN157" s="53"/>
      <c r="BO157" s="53"/>
      <c r="BP157" s="53"/>
      <c r="BQ157" s="53"/>
    </row>
    <row r="158" spans="1:69" customFormat="1" x14ac:dyDescent="0.2">
      <c r="A158" s="24" t="s">
        <v>116</v>
      </c>
      <c r="B158" s="58" t="s">
        <v>37</v>
      </c>
      <c r="C158" s="58" t="s">
        <v>37</v>
      </c>
      <c r="D158" s="58" t="s">
        <v>37</v>
      </c>
      <c r="E158" s="58" t="s">
        <v>37</v>
      </c>
      <c r="F158" s="58" t="s">
        <v>37</v>
      </c>
      <c r="G158" s="25" t="s">
        <v>37</v>
      </c>
      <c r="H158" s="7">
        <f t="array" ref="H158">_xll.GetPrice("FP-LBR-0421","Actual","Low",_SPECIFICvarPubDate)</f>
        <v>433</v>
      </c>
      <c r="I158" s="7">
        <f t="array" ref="I158">_xll.GetPrice("FP-LBR-0543","Actual","Low",_SPECIFICvarPubDate)</f>
        <v>549</v>
      </c>
      <c r="J158" s="7">
        <f t="array" ref="J158">_xll.GetPrice("FP-LBR-0550","Actual","Low",_SPECIFICvarPubDate)</f>
        <v>573</v>
      </c>
      <c r="K158" s="7">
        <f t="array" ref="K158">_xll.GetPrice("FP-LBR-1250","Actual","Low",_SPECIFICvarPubDate)</f>
        <v>575</v>
      </c>
      <c r="L158" s="7">
        <f t="array" ref="L158">_xll.GetPrice("FP-LBR-1260","Actual","Low",_SPECIFICvarPubDate)</f>
        <v>575</v>
      </c>
      <c r="M158" s="7">
        <f t="array" ref="M158">_xll.GetPrice("FP-LBR-1267","Actual","Low",_SPECIFICvarPubDate)</f>
        <v>655</v>
      </c>
      <c r="N158" s="7">
        <f t="array" ref="N158">_xll.GetPrice("FP-LBR-1273","Actual","Low",_SPECIFICvarPubDate)</f>
        <v>640</v>
      </c>
      <c r="P158" s="24" t="s">
        <v>110</v>
      </c>
      <c r="Q158" s="7">
        <f t="array" ref="Q158">_xll.GetPrice("FP-LBR-0300","Actual","Low",_SPECIFICvarPubDate)</f>
        <v>465</v>
      </c>
      <c r="S158" s="2"/>
      <c r="T158" s="2"/>
      <c r="U158" s="2"/>
      <c r="V158" s="2"/>
      <c r="W158" s="2"/>
      <c r="X158" s="2"/>
      <c r="Y158" s="2"/>
      <c r="Z158" s="2"/>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53"/>
      <c r="BB158" s="53"/>
      <c r="BC158" s="53"/>
      <c r="BD158" s="53"/>
      <c r="BE158" s="53"/>
      <c r="BF158" s="53"/>
      <c r="BG158" s="53"/>
      <c r="BH158" s="53"/>
      <c r="BI158" s="53"/>
      <c r="BJ158" s="53"/>
      <c r="BK158" s="53"/>
      <c r="BL158" s="53"/>
      <c r="BM158" s="53"/>
      <c r="BN158" s="53"/>
      <c r="BO158" s="53"/>
      <c r="BP158" s="53"/>
      <c r="BQ158" s="53"/>
    </row>
    <row r="159" spans="1:69" customFormat="1" x14ac:dyDescent="0.2">
      <c r="A159" s="27" t="s">
        <v>117</v>
      </c>
      <c r="B159" s="7">
        <f t="array" ref="B159">_xll.GetPrice("FP-LBR-0176","Actual","Low",_SPECIFICvarPubDate)</f>
        <v>475</v>
      </c>
      <c r="C159" s="7">
        <f t="array" ref="C159">_xll.GetPrice("FP-LBR-0294","Actual","Low",_SPECIFICvarPubDate)</f>
        <v>500</v>
      </c>
      <c r="D159" s="7">
        <f t="array" ref="D159">_xll.GetPrice("FP-LBR-0183","Actual","Low",_SPECIFICvarPubDate)</f>
        <v>485</v>
      </c>
      <c r="E159" s="7">
        <f t="array" ref="E159">_xll.GetPrice("FP-LBR-0290","Actual","Low",_SPECIFICvarPubDate)</f>
        <v>505</v>
      </c>
      <c r="F159" s="7">
        <f t="array" ref="F159">_xll.GetPrice("FP-LBR-0299","Actual","Low",_SPECIFICvarPubDate)</f>
        <v>505</v>
      </c>
      <c r="G159" s="58" t="s">
        <v>37</v>
      </c>
      <c r="H159" s="7">
        <f t="array" ref="H159">_xll.GetPrice("FP-LBR-0422","Actual","Low",_SPECIFICvarPubDate)</f>
        <v>498</v>
      </c>
      <c r="I159" s="7">
        <f t="array" ref="I159">_xll.GetPrice("FP-LBR-0544","Actual","Low",_SPECIFICvarPubDate)</f>
        <v>614</v>
      </c>
      <c r="J159" s="58" t="s">
        <v>37</v>
      </c>
      <c r="K159" s="7">
        <f t="array" ref="K159">_xll.GetPrice("FP-LBR-1251","Actual","Low",_SPECIFICvarPubDate)</f>
        <v>585</v>
      </c>
      <c r="L159" s="7">
        <f t="array" ref="L159">_xll.GetPrice("FP-LBR-1261","Actual","Low",_SPECIFICvarPubDate)</f>
        <v>585</v>
      </c>
      <c r="M159" s="58" t="s">
        <v>37</v>
      </c>
      <c r="N159" s="58" t="s">
        <v>37</v>
      </c>
      <c r="O159" s="2"/>
      <c r="P159" s="24" t="s">
        <v>112</v>
      </c>
      <c r="Q159" s="7">
        <f t="array" ref="Q159">_xll.GetPrice("FP-LBR-0301","Actual","Low",_SPECIFICvarPubDate)</f>
        <v>465</v>
      </c>
      <c r="R159" s="2"/>
      <c r="S159" s="2"/>
      <c r="T159" s="2"/>
      <c r="U159" s="2"/>
      <c r="V159" s="2"/>
      <c r="W159" s="2"/>
      <c r="X159" s="2"/>
      <c r="Y159" s="2"/>
      <c r="Z159" s="2"/>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53"/>
      <c r="BB159" s="53"/>
      <c r="BC159" s="53"/>
      <c r="BD159" s="53"/>
      <c r="BE159" s="53"/>
      <c r="BF159" s="53"/>
      <c r="BG159" s="53"/>
      <c r="BH159" s="53"/>
      <c r="BI159" s="53"/>
      <c r="BJ159" s="53"/>
      <c r="BK159" s="53"/>
      <c r="BL159" s="53"/>
      <c r="BM159" s="53"/>
      <c r="BN159" s="53"/>
      <c r="BO159" s="53"/>
      <c r="BP159" s="53"/>
      <c r="BQ159" s="53"/>
    </row>
    <row r="160" spans="1:69" customFormat="1" x14ac:dyDescent="0.2">
      <c r="A160" s="27" t="s">
        <v>118</v>
      </c>
      <c r="B160" s="7">
        <f t="array" ref="B160">_xll.GetPrice("FP-LBR-0177","Actual","Low",_SPECIFICvarPubDate)</f>
        <v>470</v>
      </c>
      <c r="C160" s="58" t="s">
        <v>37</v>
      </c>
      <c r="D160" s="7">
        <f t="array" ref="D160">_xll.GetPrice("FP-LBR-0184","Actual","Low",_SPECIFICvarPubDate)</f>
        <v>485</v>
      </c>
      <c r="E160" s="58" t="s">
        <v>37</v>
      </c>
      <c r="F160" s="58" t="s">
        <v>37</v>
      </c>
      <c r="G160" s="58" t="s">
        <v>37</v>
      </c>
      <c r="H160" s="58" t="s">
        <v>37</v>
      </c>
      <c r="I160" s="58" t="s">
        <v>37</v>
      </c>
      <c r="J160" s="58" t="s">
        <v>37</v>
      </c>
      <c r="K160" s="58" t="s">
        <v>37</v>
      </c>
      <c r="L160" s="58" t="s">
        <v>37</v>
      </c>
      <c r="M160" s="58" t="s">
        <v>37</v>
      </c>
      <c r="N160" s="58" t="s">
        <v>37</v>
      </c>
      <c r="O160" s="2"/>
      <c r="P160" s="24" t="s">
        <v>114</v>
      </c>
      <c r="Q160" s="7" cm="1">
        <f t="array" ref="Q160">_xll.GetPrice("FP-LBR-2229","Actual","Low",_SPECIFICvarPubDate)</f>
        <v>570</v>
      </c>
      <c r="R160" s="2"/>
      <c r="S160" s="2"/>
      <c r="T160" s="2"/>
      <c r="U160" s="2"/>
      <c r="V160" s="2"/>
      <c r="W160" s="2"/>
      <c r="X160" s="2"/>
      <c r="Y160" s="2"/>
      <c r="Z160" s="2"/>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53"/>
      <c r="BB160" s="53"/>
      <c r="BC160" s="53"/>
      <c r="BD160" s="53"/>
      <c r="BE160" s="53"/>
      <c r="BF160" s="53"/>
      <c r="BG160" s="53"/>
      <c r="BH160" s="53"/>
      <c r="BI160" s="53"/>
      <c r="BJ160" s="53"/>
      <c r="BK160" s="53"/>
      <c r="BL160" s="53"/>
      <c r="BM160" s="53"/>
      <c r="BN160" s="53"/>
      <c r="BO160" s="53"/>
      <c r="BP160" s="53"/>
      <c r="BQ160" s="53"/>
    </row>
    <row r="161" spans="1:69" customFormat="1" x14ac:dyDescent="0.2">
      <c r="A161" s="30" t="s">
        <v>119</v>
      </c>
      <c r="B161" s="7">
        <f t="array" ref="B161">_xll.GetPrice("FP-LBR-0899","Actual","Low",_SPECIFICvarPubDate)</f>
        <v>10</v>
      </c>
      <c r="C161" s="7">
        <f t="array" ref="C161">_xll.GetPrice("FP-LBR-0899","Actual","High",_SPECIFICvarPubDate)</f>
        <v>20</v>
      </c>
      <c r="P161" s="23" t="s">
        <v>120</v>
      </c>
      <c r="Q161" s="2"/>
      <c r="R161" s="2"/>
      <c r="S161" s="2"/>
      <c r="T161" s="2"/>
      <c r="U161" s="2"/>
      <c r="V161" s="2"/>
      <c r="W161" s="2"/>
      <c r="X161" s="2"/>
      <c r="Y161" s="2"/>
      <c r="Z161" s="2"/>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53"/>
      <c r="BB161" s="53"/>
      <c r="BC161" s="53"/>
      <c r="BD161" s="53"/>
      <c r="BE161" s="53"/>
      <c r="BF161" s="53"/>
      <c r="BG161" s="53"/>
      <c r="BH161" s="53"/>
      <c r="BI161" s="53"/>
      <c r="BJ161" s="53"/>
      <c r="BK161" s="53"/>
      <c r="BL161" s="53"/>
      <c r="BM161" s="53"/>
      <c r="BN161" s="53"/>
      <c r="BO161" s="53"/>
      <c r="BP161" s="53"/>
      <c r="BQ161" s="53"/>
    </row>
    <row r="162" spans="1:69" customFormat="1" x14ac:dyDescent="0.2">
      <c r="A162" s="30" t="s">
        <v>121</v>
      </c>
      <c r="C162" s="7">
        <f t="array" ref="C162">_xll.GetPrice("FP-LBR-0900","Actual","Low",_SPECIFICvarPubDate)</f>
        <v>15</v>
      </c>
      <c r="F162" s="3"/>
      <c r="G162" s="2"/>
      <c r="H162" s="2"/>
      <c r="I162" s="2"/>
      <c r="J162" s="2"/>
      <c r="K162" s="2"/>
      <c r="L162" s="2"/>
      <c r="M162" s="2"/>
      <c r="N162" s="2"/>
      <c r="P162" s="24" t="s">
        <v>110</v>
      </c>
      <c r="Q162" s="63">
        <f t="array" ref="Q162">_xll.GetPrice("FP-LBR-0423","Actual","Low",_SPECIFICvarPubDate)</f>
        <v>435</v>
      </c>
      <c r="R162" s="2"/>
      <c r="S162" s="2"/>
      <c r="T162" s="2"/>
      <c r="U162" s="2"/>
      <c r="V162" s="2"/>
      <c r="W162" s="2"/>
      <c r="X162" s="2"/>
      <c r="Y162" s="2"/>
      <c r="Z162" s="2"/>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53"/>
      <c r="BB162" s="53"/>
      <c r="BC162" s="53"/>
      <c r="BD162" s="53"/>
      <c r="BE162" s="53"/>
      <c r="BF162" s="53"/>
      <c r="BG162" s="53"/>
      <c r="BH162" s="53"/>
      <c r="BI162" s="53"/>
      <c r="BJ162" s="53"/>
      <c r="BK162" s="53"/>
      <c r="BL162" s="53"/>
      <c r="BM162" s="53"/>
      <c r="BN162" s="53"/>
      <c r="BO162" s="53"/>
      <c r="BP162" s="53"/>
      <c r="BQ162" s="53"/>
    </row>
    <row r="163" spans="1:69" customFormat="1" x14ac:dyDescent="0.2">
      <c r="F163" s="2"/>
      <c r="G163" s="2"/>
      <c r="H163" s="2"/>
      <c r="I163" s="2"/>
      <c r="J163" s="2"/>
      <c r="K163" s="2"/>
      <c r="L163" s="2"/>
      <c r="M163" s="2"/>
      <c r="N163" s="2"/>
      <c r="P163" s="24" t="s">
        <v>122</v>
      </c>
      <c r="Q163" s="7">
        <f t="array" ref="Q163">_xll.GetPrice("FP-LBR-0551","Actual","Low",_SPECIFICvarPubDate)</f>
        <v>547</v>
      </c>
      <c r="R163" s="2"/>
      <c r="S163" s="2"/>
      <c r="T163" s="2"/>
      <c r="U163" s="2"/>
      <c r="V163" s="2"/>
      <c r="W163" s="2"/>
      <c r="X163" s="2"/>
      <c r="Y163" s="2"/>
      <c r="Z163" s="2"/>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53"/>
      <c r="BB163" s="53"/>
      <c r="BC163" s="53"/>
      <c r="BD163" s="53"/>
      <c r="BE163" s="53"/>
      <c r="BF163" s="53"/>
      <c r="BG163" s="53"/>
      <c r="BH163" s="53"/>
      <c r="BI163" s="53"/>
      <c r="BJ163" s="53"/>
      <c r="BK163" s="53"/>
      <c r="BL163" s="53"/>
      <c r="BM163" s="53"/>
      <c r="BN163" s="53"/>
      <c r="BO163" s="53"/>
      <c r="BP163" s="53"/>
      <c r="BQ163" s="53"/>
    </row>
    <row r="164" spans="1:69" customFormat="1" x14ac:dyDescent="0.2">
      <c r="P164" s="24" t="s">
        <v>114</v>
      </c>
      <c r="Q164" s="7" cm="1">
        <f t="array" ref="Q164">_xll.GetPrice("FP-LBR-2230","Actual","Low",_SPECIFICvarPubDate)</f>
        <v>580</v>
      </c>
      <c r="S164" s="2"/>
      <c r="T164" s="2"/>
      <c r="U164" s="2"/>
      <c r="V164" s="2"/>
      <c r="W164" s="2"/>
      <c r="X164" s="2"/>
      <c r="Y164" s="2"/>
      <c r="Z164" s="2"/>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53"/>
      <c r="BB164" s="53"/>
      <c r="BC164" s="53"/>
      <c r="BD164" s="53"/>
      <c r="BE164" s="53"/>
      <c r="BF164" s="53"/>
      <c r="BG164" s="53"/>
      <c r="BH164" s="53"/>
      <c r="BI164" s="53"/>
      <c r="BJ164" s="53"/>
      <c r="BK164" s="53"/>
      <c r="BL164" s="53"/>
      <c r="BM164" s="53"/>
      <c r="BN164" s="53"/>
      <c r="BO164" s="53"/>
      <c r="BP164" s="53"/>
      <c r="BQ164" s="53"/>
    </row>
    <row r="165" spans="1:69" customForma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53"/>
      <c r="BB165" s="53"/>
      <c r="BC165" s="53"/>
      <c r="BD165" s="53"/>
      <c r="BE165" s="53"/>
      <c r="BF165" s="53"/>
      <c r="BG165" s="53"/>
      <c r="BH165" s="53"/>
      <c r="BI165" s="53"/>
      <c r="BJ165" s="53"/>
      <c r="BK165" s="53"/>
      <c r="BL165" s="53"/>
      <c r="BM165" s="53"/>
      <c r="BN165" s="53"/>
      <c r="BO165" s="53"/>
      <c r="BP165" s="53"/>
      <c r="BQ165" s="53"/>
    </row>
    <row r="166" spans="1:69" customForma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53"/>
      <c r="BB166" s="53"/>
      <c r="BC166" s="53"/>
      <c r="BD166" s="53"/>
      <c r="BE166" s="53"/>
      <c r="BF166" s="53"/>
      <c r="BG166" s="53"/>
      <c r="BH166" s="53"/>
      <c r="BI166" s="53"/>
      <c r="BJ166" s="53"/>
      <c r="BK166" s="53"/>
      <c r="BL166" s="53"/>
      <c r="BM166" s="53"/>
      <c r="BN166" s="53"/>
      <c r="BO166" s="53"/>
      <c r="BP166" s="53"/>
      <c r="BQ166" s="53"/>
    </row>
    <row r="167" spans="1:69" customForma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53"/>
      <c r="BB167" s="53"/>
      <c r="BC167" s="53"/>
      <c r="BD167" s="53"/>
      <c r="BE167" s="53"/>
      <c r="BF167" s="53"/>
      <c r="BG167" s="53"/>
      <c r="BH167" s="53"/>
      <c r="BI167" s="53"/>
      <c r="BJ167" s="53"/>
      <c r="BK167" s="53"/>
      <c r="BL167" s="53"/>
      <c r="BM167" s="53"/>
      <c r="BN167" s="53"/>
      <c r="BO167" s="53"/>
      <c r="BP167" s="53"/>
      <c r="BQ167" s="53"/>
    </row>
    <row r="168" spans="1:69" customForma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53"/>
      <c r="BB168" s="53"/>
      <c r="BC168" s="53"/>
      <c r="BD168" s="53"/>
      <c r="BE168" s="53"/>
      <c r="BF168" s="53"/>
      <c r="BG168" s="53"/>
      <c r="BH168" s="53"/>
      <c r="BI168" s="53"/>
      <c r="BJ168" s="53"/>
      <c r="BK168" s="53"/>
      <c r="BL168" s="53"/>
      <c r="BM168" s="53"/>
      <c r="BN168" s="53"/>
      <c r="BO168" s="53"/>
      <c r="BP168" s="53"/>
      <c r="BQ168" s="53"/>
    </row>
    <row r="169" spans="1:69" customForma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53"/>
      <c r="BB169" s="53"/>
      <c r="BC169" s="53"/>
      <c r="BD169" s="53"/>
      <c r="BE169" s="53"/>
      <c r="BF169" s="53"/>
      <c r="BG169" s="53"/>
      <c r="BH169" s="53"/>
      <c r="BI169" s="53"/>
      <c r="BJ169" s="53"/>
      <c r="BK169" s="53"/>
      <c r="BL169" s="53"/>
      <c r="BM169" s="53"/>
      <c r="BN169" s="53"/>
      <c r="BO169" s="53"/>
      <c r="BP169" s="53"/>
      <c r="BQ169" s="53"/>
    </row>
    <row r="170" spans="1:69" customForma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53"/>
      <c r="BB170" s="53"/>
      <c r="BC170" s="53"/>
      <c r="BD170" s="53"/>
      <c r="BE170" s="53"/>
      <c r="BF170" s="53"/>
      <c r="BG170" s="53"/>
      <c r="BH170" s="53"/>
      <c r="BI170" s="53"/>
      <c r="BJ170" s="53"/>
      <c r="BK170" s="53"/>
      <c r="BL170" s="53"/>
      <c r="BM170" s="53"/>
      <c r="BN170" s="53"/>
      <c r="BO170" s="53"/>
      <c r="BP170" s="53"/>
      <c r="BQ170" s="53"/>
    </row>
    <row r="171" spans="1:69" customForma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53"/>
      <c r="BB171" s="53"/>
      <c r="BC171" s="53"/>
      <c r="BD171" s="53"/>
      <c r="BE171" s="53"/>
      <c r="BF171" s="53"/>
      <c r="BG171" s="53"/>
      <c r="BH171" s="53"/>
      <c r="BI171" s="53"/>
      <c r="BJ171" s="53"/>
      <c r="BK171" s="53"/>
      <c r="BL171" s="53"/>
      <c r="BM171" s="53"/>
      <c r="BN171" s="53"/>
      <c r="BO171" s="53"/>
      <c r="BP171" s="53"/>
      <c r="BQ171" s="53"/>
    </row>
    <row r="172" spans="1:69" customForma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53"/>
      <c r="BB172" s="53"/>
      <c r="BC172" s="53"/>
      <c r="BD172" s="53"/>
      <c r="BE172" s="53"/>
      <c r="BF172" s="53"/>
      <c r="BG172" s="53"/>
      <c r="BH172" s="53"/>
      <c r="BI172" s="53"/>
      <c r="BJ172" s="53"/>
      <c r="BK172" s="53"/>
      <c r="BL172" s="53"/>
      <c r="BM172" s="53"/>
      <c r="BN172" s="53"/>
      <c r="BO172" s="53"/>
      <c r="BP172" s="53"/>
      <c r="BQ172" s="53"/>
    </row>
    <row r="173" spans="1:69" customForma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53"/>
      <c r="BB173" s="53"/>
      <c r="BC173" s="53"/>
      <c r="BD173" s="53"/>
      <c r="BE173" s="53"/>
      <c r="BF173" s="53"/>
      <c r="BG173" s="53"/>
      <c r="BH173" s="53"/>
      <c r="BI173" s="53"/>
      <c r="BJ173" s="53"/>
      <c r="BK173" s="53"/>
      <c r="BL173" s="53"/>
      <c r="BM173" s="53"/>
      <c r="BN173" s="53"/>
      <c r="BO173" s="53"/>
      <c r="BP173" s="53"/>
      <c r="BQ173" s="53"/>
    </row>
    <row r="174" spans="1:69" customForma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53"/>
      <c r="BB174" s="53"/>
      <c r="BC174" s="53"/>
      <c r="BD174" s="53"/>
      <c r="BE174" s="53"/>
      <c r="BF174" s="53"/>
      <c r="BG174" s="53"/>
      <c r="BH174" s="53"/>
      <c r="BI174" s="53"/>
      <c r="BJ174" s="53"/>
      <c r="BK174" s="53"/>
      <c r="BL174" s="53"/>
      <c r="BM174" s="53"/>
      <c r="BN174" s="53"/>
      <c r="BO174" s="53"/>
      <c r="BP174" s="53"/>
      <c r="BQ174" s="53"/>
    </row>
    <row r="175" spans="1:69" customForma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53"/>
      <c r="BB175" s="53"/>
      <c r="BC175" s="53"/>
      <c r="BD175" s="53"/>
      <c r="BE175" s="53"/>
      <c r="BF175" s="53"/>
      <c r="BG175" s="53"/>
      <c r="BH175" s="53"/>
      <c r="BI175" s="53"/>
      <c r="BJ175" s="53"/>
      <c r="BK175" s="53"/>
      <c r="BL175" s="53"/>
      <c r="BM175" s="53"/>
      <c r="BN175" s="53"/>
      <c r="BO175" s="53"/>
      <c r="BP175" s="53"/>
      <c r="BQ175" s="53"/>
    </row>
    <row r="176" spans="1:69" customForma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53"/>
      <c r="BB176" s="53"/>
      <c r="BC176" s="53"/>
      <c r="BD176" s="53"/>
      <c r="BE176" s="53"/>
      <c r="BF176" s="53"/>
      <c r="BG176" s="53"/>
      <c r="BH176" s="53"/>
      <c r="BI176" s="53"/>
      <c r="BJ176" s="53"/>
      <c r="BK176" s="53"/>
      <c r="BL176" s="53"/>
      <c r="BM176" s="53"/>
      <c r="BN176" s="53"/>
      <c r="BO176" s="53"/>
      <c r="BP176" s="53"/>
      <c r="BQ176" s="53"/>
    </row>
    <row r="177" spans="1:69" customForma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53"/>
      <c r="BB177" s="53"/>
      <c r="BC177" s="53"/>
      <c r="BD177" s="53"/>
      <c r="BE177" s="53"/>
      <c r="BF177" s="53"/>
      <c r="BG177" s="53"/>
      <c r="BH177" s="53"/>
      <c r="BI177" s="53"/>
      <c r="BJ177" s="53"/>
      <c r="BK177" s="53"/>
      <c r="BL177" s="53"/>
      <c r="BM177" s="53"/>
      <c r="BN177" s="53"/>
      <c r="BO177" s="53"/>
      <c r="BP177" s="53"/>
      <c r="BQ177" s="53"/>
    </row>
    <row r="178" spans="1:69" customForma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53"/>
      <c r="BB178" s="53"/>
      <c r="BC178" s="53"/>
      <c r="BD178" s="53"/>
      <c r="BE178" s="53"/>
      <c r="BF178" s="53"/>
      <c r="BG178" s="53"/>
      <c r="BH178" s="53"/>
      <c r="BI178" s="53"/>
      <c r="BJ178" s="53"/>
      <c r="BK178" s="53"/>
      <c r="BL178" s="53"/>
      <c r="BM178" s="53"/>
      <c r="BN178" s="53"/>
      <c r="BO178" s="53"/>
      <c r="BP178" s="53"/>
      <c r="BQ178" s="53"/>
    </row>
    <row r="179" spans="1:69" customForma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53"/>
      <c r="BB179" s="53"/>
      <c r="BC179" s="53"/>
      <c r="BD179" s="53"/>
      <c r="BE179" s="53"/>
      <c r="BF179" s="53"/>
      <c r="BG179" s="53"/>
      <c r="BH179" s="53"/>
      <c r="BI179" s="53"/>
      <c r="BJ179" s="53"/>
      <c r="BK179" s="53"/>
      <c r="BL179" s="53"/>
      <c r="BM179" s="53"/>
      <c r="BN179" s="53"/>
      <c r="BO179" s="53"/>
      <c r="BP179" s="53"/>
      <c r="BQ179" s="53"/>
    </row>
    <row r="180" spans="1:69" customForma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53"/>
      <c r="BB180" s="53"/>
      <c r="BC180" s="53"/>
      <c r="BD180" s="53"/>
      <c r="BE180" s="53"/>
      <c r="BF180" s="53"/>
      <c r="BG180" s="53"/>
      <c r="BH180" s="53"/>
      <c r="BI180" s="53"/>
      <c r="BJ180" s="53"/>
      <c r="BK180" s="53"/>
      <c r="BL180" s="53"/>
      <c r="BM180" s="53"/>
      <c r="BN180" s="53"/>
      <c r="BO180" s="53"/>
      <c r="BP180" s="53"/>
      <c r="BQ180" s="53"/>
    </row>
    <row r="181" spans="1:69" customForma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53"/>
      <c r="BB181" s="53"/>
      <c r="BC181" s="53"/>
      <c r="BD181" s="53"/>
      <c r="BE181" s="53"/>
      <c r="BF181" s="53"/>
      <c r="BG181" s="53"/>
      <c r="BH181" s="53"/>
      <c r="BI181" s="53"/>
      <c r="BJ181" s="53"/>
      <c r="BK181" s="53"/>
      <c r="BL181" s="53"/>
      <c r="BM181" s="53"/>
      <c r="BN181" s="53"/>
      <c r="BO181" s="53"/>
      <c r="BP181" s="53"/>
      <c r="BQ181" s="53"/>
    </row>
    <row r="182" spans="1:69" customForma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53"/>
      <c r="BB182" s="53"/>
      <c r="BC182" s="53"/>
      <c r="BD182" s="53"/>
      <c r="BE182" s="53"/>
      <c r="BF182" s="53"/>
      <c r="BG182" s="53"/>
      <c r="BH182" s="53"/>
      <c r="BI182" s="53"/>
      <c r="BJ182" s="53"/>
      <c r="BK182" s="53"/>
      <c r="BL182" s="53"/>
      <c r="BM182" s="53"/>
      <c r="BN182" s="53"/>
      <c r="BO182" s="53"/>
      <c r="BP182" s="53"/>
      <c r="BQ182" s="53"/>
    </row>
    <row r="183" spans="1:69" customForma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53"/>
      <c r="BB183" s="53"/>
      <c r="BC183" s="53"/>
      <c r="BD183" s="53"/>
      <c r="BE183" s="53"/>
      <c r="BF183" s="53"/>
      <c r="BG183" s="53"/>
      <c r="BH183" s="53"/>
      <c r="BI183" s="53"/>
      <c r="BJ183" s="53"/>
      <c r="BK183" s="53"/>
      <c r="BL183" s="53"/>
      <c r="BM183" s="53"/>
      <c r="BN183" s="53"/>
      <c r="BO183" s="53"/>
      <c r="BP183" s="53"/>
      <c r="BQ183" s="53"/>
    </row>
    <row r="184" spans="1:69" customForma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53"/>
      <c r="BB184" s="53"/>
      <c r="BC184" s="53"/>
      <c r="BD184" s="53"/>
      <c r="BE184" s="53"/>
      <c r="BF184" s="53"/>
      <c r="BG184" s="53"/>
      <c r="BH184" s="53"/>
      <c r="BI184" s="53"/>
      <c r="BJ184" s="53"/>
      <c r="BK184" s="53"/>
      <c r="BL184" s="53"/>
      <c r="BM184" s="53"/>
      <c r="BN184" s="53"/>
      <c r="BO184" s="53"/>
      <c r="BP184" s="53"/>
      <c r="BQ184" s="53"/>
    </row>
    <row r="185" spans="1:69" customForma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53"/>
      <c r="BB185" s="53"/>
      <c r="BC185" s="53"/>
      <c r="BD185" s="53"/>
      <c r="BE185" s="53"/>
      <c r="BF185" s="53"/>
      <c r="BG185" s="53"/>
      <c r="BH185" s="53"/>
      <c r="BI185" s="53"/>
      <c r="BJ185" s="53"/>
      <c r="BK185" s="53"/>
      <c r="BL185" s="53"/>
      <c r="BM185" s="53"/>
      <c r="BN185" s="53"/>
      <c r="BO185" s="53"/>
      <c r="BP185" s="53"/>
      <c r="BQ185" s="53"/>
    </row>
    <row r="186" spans="1:69" customFormat="1" x14ac:dyDescent="0.2">
      <c r="A186" s="2"/>
      <c r="B186" s="2"/>
      <c r="C186" s="2"/>
      <c r="D186" s="2"/>
      <c r="E186" s="2"/>
      <c r="F186" s="2"/>
      <c r="G186" s="2"/>
      <c r="H186" s="2"/>
      <c r="I186" s="2"/>
      <c r="J186" s="31"/>
      <c r="K186" s="2"/>
      <c r="L186" s="2"/>
      <c r="M186" s="2"/>
      <c r="N186" s="2"/>
      <c r="O186" s="2"/>
      <c r="P186" s="2"/>
      <c r="Q186" s="2"/>
      <c r="R186" s="2"/>
      <c r="S186" s="2"/>
      <c r="T186" s="2"/>
      <c r="U186" s="2"/>
      <c r="V186" s="2"/>
      <c r="W186" s="2"/>
      <c r="X186" s="2"/>
      <c r="Y186" s="2"/>
      <c r="Z186" s="2"/>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53"/>
      <c r="BB186" s="53"/>
      <c r="BC186" s="53"/>
      <c r="BD186" s="53"/>
      <c r="BE186" s="53"/>
      <c r="BF186" s="53"/>
      <c r="BG186" s="53"/>
      <c r="BH186" s="53"/>
      <c r="BI186" s="53"/>
      <c r="BJ186" s="53"/>
      <c r="BK186" s="53"/>
      <c r="BL186" s="53"/>
      <c r="BM186" s="53"/>
      <c r="BN186" s="53"/>
      <c r="BO186" s="53"/>
      <c r="BP186" s="53"/>
      <c r="BQ186" s="53"/>
    </row>
    <row r="187" spans="1:69" customForma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53"/>
      <c r="BB187" s="53"/>
      <c r="BC187" s="53"/>
      <c r="BD187" s="53"/>
      <c r="BE187" s="53"/>
      <c r="BF187" s="53"/>
      <c r="BG187" s="53"/>
      <c r="BH187" s="53"/>
      <c r="BI187" s="53"/>
      <c r="BJ187" s="53"/>
      <c r="BK187" s="53"/>
      <c r="BL187" s="53"/>
      <c r="BM187" s="53"/>
      <c r="BN187" s="53"/>
      <c r="BO187" s="53"/>
      <c r="BP187" s="53"/>
      <c r="BQ187" s="53"/>
    </row>
    <row r="188" spans="1:69" customForma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53"/>
      <c r="BB188" s="53"/>
      <c r="BC188" s="53"/>
      <c r="BD188" s="53"/>
      <c r="BE188" s="53"/>
      <c r="BF188" s="53"/>
      <c r="BG188" s="53"/>
      <c r="BH188" s="53"/>
      <c r="BI188" s="53"/>
      <c r="BK188" s="53"/>
      <c r="BL188" s="53"/>
      <c r="BM188" s="53"/>
      <c r="BN188" s="53"/>
      <c r="BO188" s="53"/>
      <c r="BP188" s="53"/>
      <c r="BQ188" s="53"/>
    </row>
    <row r="189" spans="1:69" customForma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53"/>
      <c r="BB189" s="53"/>
      <c r="BC189" s="53"/>
      <c r="BD189" s="53"/>
      <c r="BE189" s="53"/>
      <c r="BF189" s="53"/>
      <c r="BG189" s="53"/>
      <c r="BH189" s="53"/>
      <c r="BI189" s="53"/>
      <c r="BK189" s="53"/>
      <c r="BL189" s="53"/>
      <c r="BM189" s="53"/>
      <c r="BN189" s="53"/>
      <c r="BO189" s="53"/>
      <c r="BP189" s="53"/>
      <c r="BQ189" s="53"/>
    </row>
    <row r="190" spans="1:69" customForma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53"/>
      <c r="BB190" s="53"/>
      <c r="BC190" s="53"/>
      <c r="BD190" s="53"/>
      <c r="BE190" s="53"/>
      <c r="BF190" s="53"/>
      <c r="BG190" s="53"/>
      <c r="BH190" s="53"/>
      <c r="BI190" s="53"/>
      <c r="BK190" s="53"/>
      <c r="BL190" s="53"/>
      <c r="BM190" s="53"/>
      <c r="BN190" s="53"/>
      <c r="BO190" s="53"/>
      <c r="BP190" s="53"/>
      <c r="BQ190" s="53"/>
    </row>
    <row r="191" spans="1:69" customForma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53"/>
      <c r="BB191" s="53"/>
      <c r="BC191" s="53"/>
      <c r="BD191" s="53"/>
      <c r="BE191" s="53"/>
      <c r="BF191" s="53"/>
      <c r="BG191" s="53"/>
      <c r="BH191" s="53"/>
      <c r="BI191" s="53"/>
      <c r="BK191" s="53"/>
      <c r="BL191" s="53"/>
      <c r="BM191" s="53"/>
      <c r="BN191" s="53"/>
      <c r="BO191" s="53"/>
      <c r="BP191" s="53"/>
      <c r="BQ191" s="53"/>
    </row>
    <row r="192" spans="1:69" customForma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53"/>
      <c r="BB192" s="53"/>
      <c r="BC192" s="53"/>
      <c r="BD192" s="53"/>
      <c r="BE192" s="53"/>
      <c r="BF192" s="53"/>
      <c r="BG192" s="53"/>
      <c r="BH192" s="53"/>
      <c r="BI192" s="53"/>
      <c r="BK192" s="53"/>
      <c r="BL192" s="53"/>
      <c r="BM192" s="53"/>
      <c r="BN192" s="53"/>
      <c r="BO192" s="53"/>
      <c r="BP192" s="53"/>
      <c r="BQ192" s="53"/>
    </row>
    <row r="193" spans="1:69" customForma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53"/>
      <c r="BB193" s="53"/>
      <c r="BC193" s="53"/>
      <c r="BD193" s="53"/>
      <c r="BE193" s="53"/>
      <c r="BF193" s="53"/>
      <c r="BG193" s="53"/>
      <c r="BH193" s="53"/>
      <c r="BI193" s="53"/>
      <c r="BK193" s="53"/>
      <c r="BL193" s="53"/>
      <c r="BM193" s="53"/>
      <c r="BN193" s="53"/>
      <c r="BO193" s="53"/>
      <c r="BP193" s="53"/>
      <c r="BQ193" s="53"/>
    </row>
    <row r="194" spans="1:69" customForma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53"/>
      <c r="BB194" s="53"/>
      <c r="BC194" s="53"/>
      <c r="BD194" s="53"/>
      <c r="BE194" s="53"/>
      <c r="BF194" s="53"/>
      <c r="BG194" s="53"/>
      <c r="BH194" s="53"/>
      <c r="BI194" s="53"/>
      <c r="BK194" s="53"/>
      <c r="BL194" s="53"/>
      <c r="BM194" s="53"/>
      <c r="BN194" s="53"/>
      <c r="BO194" s="53"/>
      <c r="BP194" s="53"/>
      <c r="BQ194" s="53"/>
    </row>
    <row r="195" spans="1:69" customForma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53"/>
      <c r="BB195" s="53"/>
      <c r="BC195" s="53"/>
      <c r="BD195" s="53"/>
      <c r="BE195" s="53"/>
      <c r="BF195" s="53"/>
      <c r="BG195" s="53"/>
      <c r="BH195" s="53"/>
      <c r="BI195" s="53"/>
      <c r="BK195" s="53"/>
      <c r="BL195" s="53"/>
      <c r="BM195" s="53"/>
      <c r="BN195" s="53"/>
      <c r="BO195" s="53"/>
      <c r="BP195" s="53"/>
      <c r="BQ195" s="53"/>
    </row>
    <row r="196" spans="1:69" customForma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O196" s="53"/>
      <c r="BP196" s="53"/>
      <c r="BQ196" s="53"/>
    </row>
    <row r="197" spans="1:69" customForma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O197" s="53"/>
      <c r="BP197" s="53"/>
      <c r="BQ197" s="53"/>
    </row>
    <row r="198" spans="1:69" customForma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O198" s="53"/>
      <c r="BP198" s="53"/>
      <c r="BQ198" s="53"/>
    </row>
    <row r="199" spans="1:69" customForma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O199" s="53"/>
      <c r="BP199" s="53"/>
      <c r="BQ199" s="53"/>
    </row>
    <row r="200" spans="1:69" customForma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O200" s="53"/>
      <c r="BP200" s="53"/>
      <c r="BQ200" s="53"/>
    </row>
    <row r="201" spans="1:69" customFormat="1" ht="15" x14ac:dyDescent="0.2">
      <c r="A201" s="32">
        <f>_SPECIFICvarPubDate</f>
        <v>45848</v>
      </c>
      <c r="B201" s="11" t="str">
        <f>$A$1</f>
        <v>RANDOM LENGTHS LUMBER REPORT</v>
      </c>
      <c r="C201" s="12"/>
      <c r="D201" s="12"/>
      <c r="E201" s="12"/>
      <c r="F201" s="12"/>
      <c r="G201" s="33"/>
      <c r="H201" s="10" t="s">
        <v>123</v>
      </c>
      <c r="I201" s="2"/>
      <c r="J201" s="2"/>
      <c r="K201" s="2"/>
      <c r="L201" s="2"/>
      <c r="M201" s="2"/>
      <c r="N201" s="2"/>
      <c r="O201" s="2"/>
      <c r="P201" s="2"/>
      <c r="Q201" s="2"/>
      <c r="R201" s="2"/>
      <c r="S201" s="14"/>
      <c r="T201" s="2"/>
      <c r="U201" s="2"/>
      <c r="V201" s="2"/>
      <c r="W201" s="2"/>
      <c r="X201" s="2"/>
      <c r="Y201" s="2"/>
      <c r="Z201" s="2"/>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O201" s="52"/>
      <c r="BP201" s="52"/>
      <c r="BQ201" s="52"/>
    </row>
    <row r="202" spans="1:69" customForma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O202" s="52"/>
      <c r="BP202" s="52"/>
      <c r="BQ202" s="52"/>
    </row>
    <row r="203" spans="1:69" customFormat="1" ht="15.75" x14ac:dyDescent="0.25">
      <c r="A203" s="16" t="s">
        <v>124</v>
      </c>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Q203" s="52"/>
    </row>
    <row r="204" spans="1:69" customFormat="1" x14ac:dyDescent="0.2">
      <c r="A204" s="17" t="s">
        <v>125</v>
      </c>
      <c r="B204" s="2"/>
      <c r="C204" s="2"/>
      <c r="D204" s="2"/>
      <c r="E204" s="2"/>
      <c r="F204" s="2"/>
      <c r="G204" s="2"/>
      <c r="H204" s="2"/>
      <c r="I204" s="2"/>
      <c r="J204" s="17" t="s">
        <v>126</v>
      </c>
      <c r="K204" s="2"/>
      <c r="L204" s="2"/>
      <c r="M204" s="2"/>
      <c r="N204" s="2"/>
      <c r="O204" s="2"/>
      <c r="P204" s="2"/>
      <c r="Q204" s="2"/>
      <c r="R204" s="2"/>
      <c r="S204" s="2"/>
      <c r="T204" s="2"/>
      <c r="U204" s="2"/>
      <c r="V204" s="2"/>
      <c r="W204" s="2"/>
      <c r="X204" s="2"/>
      <c r="Y204" s="2"/>
      <c r="Z204" s="2"/>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Q204" s="52"/>
    </row>
    <row r="205" spans="1:69" customFormat="1" x14ac:dyDescent="0.2">
      <c r="A205" s="2"/>
      <c r="B205" s="19" t="s">
        <v>127</v>
      </c>
      <c r="C205" s="19" t="s">
        <v>128</v>
      </c>
      <c r="D205" s="19" t="s">
        <v>129</v>
      </c>
      <c r="E205" s="19" t="s">
        <v>130</v>
      </c>
      <c r="F205" s="19" t="s">
        <v>131</v>
      </c>
      <c r="G205" s="19" t="s">
        <v>132</v>
      </c>
      <c r="H205" s="19" t="s">
        <v>133</v>
      </c>
      <c r="I205" s="2"/>
      <c r="J205" s="25"/>
      <c r="K205" s="19" t="s">
        <v>127</v>
      </c>
      <c r="L205" s="19" t="s">
        <v>128</v>
      </c>
      <c r="M205" s="19" t="s">
        <v>129</v>
      </c>
      <c r="N205" s="19" t="s">
        <v>130</v>
      </c>
      <c r="O205" s="19" t="s">
        <v>131</v>
      </c>
      <c r="P205" s="19" t="s">
        <v>132</v>
      </c>
      <c r="Q205" s="19" t="s">
        <v>133</v>
      </c>
      <c r="R205" s="19" t="s">
        <v>134</v>
      </c>
      <c r="S205" s="19" t="s">
        <v>135</v>
      </c>
      <c r="T205" s="2"/>
      <c r="U205" s="2"/>
      <c r="V205" s="2"/>
      <c r="W205" s="2"/>
      <c r="X205" s="2"/>
      <c r="Y205" s="2"/>
      <c r="Z205" s="2"/>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Q205" s="52"/>
    </row>
    <row r="206" spans="1:69" customFormat="1" x14ac:dyDescent="0.2">
      <c r="A206" s="24" t="s">
        <v>77</v>
      </c>
      <c r="B206" s="7">
        <f t="array" ref="B206">_xll.GetPrice("FP-LBR-0325","Actual","Low",_SPECIFICvarPubDate)</f>
        <v>415</v>
      </c>
      <c r="C206" s="7">
        <f t="array" ref="C206">_xll.GetPrice("FP-LBR-0326","Actual","Low",_SPECIFICvarPubDate)</f>
        <v>335</v>
      </c>
      <c r="D206" s="7">
        <f t="array" ref="D206">_xll.GetPrice("FP-LBR-0327","Actual","Low",_SPECIFICvarPubDate)</f>
        <v>345</v>
      </c>
      <c r="E206" s="7">
        <f t="array" ref="E206">_xll.GetPrice("FP-LBR-0328","Actual","Low",_SPECIFICvarPubDate)</f>
        <v>370</v>
      </c>
      <c r="F206" s="7">
        <f t="array" ref="F206">_xll.GetPrice("FP-LBR-0329","Actual","Low",_SPECIFICvarPubDate)</f>
        <v>490</v>
      </c>
      <c r="G206" s="7">
        <f t="array" ref="G206">_xll.GetPrice("FP-LBR-0330","Actual","Low",_SPECIFICvarPubDate)</f>
        <v>380</v>
      </c>
      <c r="H206" s="7">
        <f t="array" ref="H206">_xll.GetPrice("FP-LBR-0331","Actual","Low",_SPECIFICvarPubDate)</f>
        <v>395</v>
      </c>
      <c r="I206" s="2"/>
      <c r="J206" s="24" t="s">
        <v>77</v>
      </c>
      <c r="K206" s="7">
        <f t="array" ref="K206">_xll.GetPrice("FP-LBR-2129","Actual","Low",_SPECIFICvarPubDate)</f>
        <v>425</v>
      </c>
      <c r="L206" s="7">
        <f t="array" ref="L206">_xll.GetPrice("FP-LBR-2130","Actual","Low",_SPECIFICvarPubDate)</f>
        <v>375</v>
      </c>
      <c r="M206" s="7">
        <f t="array" ref="M206">_xll.GetPrice("FP-LBR-2131","Actual","Low",_SPECIFICvarPubDate)</f>
        <v>375</v>
      </c>
      <c r="N206" s="7">
        <f t="array" ref="N206">_xll.GetPrice("FP-LBR-2132","Actual","Low",_SPECIFICvarPubDate)</f>
        <v>395</v>
      </c>
      <c r="O206" s="7">
        <f t="array" ref="O206">_xll.GetPrice("FP-LBR-2133","Actual","Low",_SPECIFICvarPubDate)</f>
        <v>445</v>
      </c>
      <c r="P206" s="7">
        <f t="array" ref="P206">_xll.GetPrice("FP-LBR-2134","Actual","Low",_SPECIFICvarPubDate)</f>
        <v>400</v>
      </c>
      <c r="Q206" s="7">
        <f t="array" ref="Q206">_xll.GetPrice("FP-LBR-2135","Actual","Low",_SPECIFICvarPubDate)</f>
        <v>400</v>
      </c>
      <c r="R206" s="25" t="s">
        <v>37</v>
      </c>
      <c r="S206" s="25" t="s">
        <v>37</v>
      </c>
      <c r="T206" s="2"/>
      <c r="U206" s="2"/>
      <c r="V206" s="2"/>
      <c r="W206" s="2"/>
      <c r="X206" s="2"/>
      <c r="Y206" s="2"/>
      <c r="Z206" s="2"/>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Q206" s="52"/>
    </row>
    <row r="207" spans="1:69" customFormat="1" x14ac:dyDescent="0.2">
      <c r="A207" s="24" t="s">
        <v>39</v>
      </c>
      <c r="B207" s="7">
        <f t="array" ref="B207">_xll.GetPrice("FP-LBR-0332","Actual","Low",_SPECIFICvarPubDate)</f>
        <v>300</v>
      </c>
      <c r="C207" s="7">
        <f t="array" ref="C207">_xll.GetPrice("FP-LBR-0333","Actual","Low",_SPECIFICvarPubDate)</f>
        <v>300</v>
      </c>
      <c r="D207" s="7">
        <f t="array" ref="D207">_xll.GetPrice("FP-LBR-0334","Actual","Low",_SPECIFICvarPubDate)</f>
        <v>345</v>
      </c>
      <c r="E207" s="7">
        <f t="array" ref="E207">_xll.GetPrice("FP-LBR-0335","Actual","Low",_SPECIFICvarPubDate)</f>
        <v>340</v>
      </c>
      <c r="F207" s="7">
        <f t="array" ref="F207">_xll.GetPrice("FP-LBR-0336","Actual","Low",_SPECIFICvarPubDate)</f>
        <v>360</v>
      </c>
      <c r="G207" s="7">
        <f t="array" ref="G207">_xll.GetPrice("FP-LBR-0337","Actual","Low",_SPECIFICvarPubDate)</f>
        <v>310</v>
      </c>
      <c r="H207" s="7">
        <f t="array" ref="H207">_xll.GetPrice("FP-LBR-0338","Actual","Low",_SPECIFICvarPubDate)</f>
        <v>320</v>
      </c>
      <c r="I207" s="2"/>
      <c r="J207" s="24" t="s">
        <v>39</v>
      </c>
      <c r="K207" s="7">
        <f t="array" ref="K207">_xll.GetPrice("FP-LBR-2136","Actual","Low",_SPECIFICvarPubDate)</f>
        <v>310</v>
      </c>
      <c r="L207" s="7">
        <f t="array" ref="L207">_xll.GetPrice("FP-LBR-2137","Actual","Low",_SPECIFICvarPubDate)</f>
        <v>320</v>
      </c>
      <c r="M207" s="7">
        <f t="array" ref="M207">_xll.GetPrice("FP-LBR-2138","Actual","Low",_SPECIFICvarPubDate)</f>
        <v>340</v>
      </c>
      <c r="N207" s="7">
        <f t="array" ref="N207">_xll.GetPrice("FP-LBR-2139","Actual","Low",_SPECIFICvarPubDate)</f>
        <v>335</v>
      </c>
      <c r="O207" s="7">
        <f t="array" ref="O207">_xll.GetPrice("FP-LBR-2140","Actual","Low",_SPECIFICvarPubDate)</f>
        <v>340</v>
      </c>
      <c r="P207" s="7">
        <f t="array" ref="P207">_xll.GetPrice("FP-LBR-2141","Actual","Low",_SPECIFICvarPubDate)</f>
        <v>320</v>
      </c>
      <c r="Q207" s="7">
        <f t="array" ref="Q207">_xll.GetPrice("FP-LBR-2142","Actual","Low",_SPECIFICvarPubDate)</f>
        <v>345</v>
      </c>
      <c r="R207" s="25" t="s">
        <v>37</v>
      </c>
      <c r="S207" s="25" t="s">
        <v>37</v>
      </c>
      <c r="T207" s="2"/>
      <c r="U207" s="2"/>
      <c r="V207" s="2"/>
      <c r="W207" s="2"/>
      <c r="X207" s="2"/>
      <c r="Y207" s="2"/>
      <c r="Z207" s="2"/>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Q207" s="52"/>
    </row>
    <row r="208" spans="1:69" customFormat="1" x14ac:dyDescent="0.2">
      <c r="A208" s="24" t="s">
        <v>40</v>
      </c>
      <c r="B208" s="7">
        <f t="array" ref="B208">_xll.GetPrice("FP-LBR-0339","Actual","Low",_SPECIFICvarPubDate)</f>
        <v>335</v>
      </c>
      <c r="C208" s="7">
        <f t="array" ref="C208">_xll.GetPrice("FP-LBR-0340","Actual","Low",_SPECIFICvarPubDate)</f>
        <v>340</v>
      </c>
      <c r="D208" s="7">
        <f t="array" ref="D208">_xll.GetPrice("FP-LBR-0341","Actual","Low",_SPECIFICvarPubDate)</f>
        <v>350</v>
      </c>
      <c r="E208" s="7">
        <f t="array" ref="E208">_xll.GetPrice("FP-LBR-0342","Actual","Low",_SPECIFICvarPubDate)</f>
        <v>320</v>
      </c>
      <c r="F208" s="7">
        <f t="array" ref="F208">_xll.GetPrice("FP-LBR-0343","Actual","Low",_SPECIFICvarPubDate)</f>
        <v>350</v>
      </c>
      <c r="G208" s="7">
        <f t="array" ref="G208">_xll.GetPrice("FP-LBR-0344","Actual","Low",_SPECIFICvarPubDate)</f>
        <v>320</v>
      </c>
      <c r="H208" s="7">
        <f t="array" ref="H208">_xll.GetPrice("FP-LBR-0345","Actual","Low",_SPECIFICvarPubDate)</f>
        <v>340</v>
      </c>
      <c r="I208" s="2"/>
      <c r="J208" s="24" t="s">
        <v>40</v>
      </c>
      <c r="K208" s="7">
        <f t="array" ref="K208">_xll.GetPrice("FP-LBR-2143","Actual","Low",_SPECIFICvarPubDate)</f>
        <v>335</v>
      </c>
      <c r="L208" s="7">
        <f t="array" ref="L208">_xll.GetPrice("FP-LBR-2144","Actual","Low",_SPECIFICvarPubDate)</f>
        <v>345</v>
      </c>
      <c r="M208" s="7">
        <f t="array" ref="M208">_xll.GetPrice("FP-LBR-2145","Actual","Low",_SPECIFICvarPubDate)</f>
        <v>350</v>
      </c>
      <c r="N208" s="7">
        <f t="array" ref="N208">_xll.GetPrice("FP-LBR-2146","Actual","Low",_SPECIFICvarPubDate)</f>
        <v>335</v>
      </c>
      <c r="O208" s="7">
        <f t="array" ref="O208">_xll.GetPrice("FP-LBR-2147","Actual","Low",_SPECIFICvarPubDate)</f>
        <v>345</v>
      </c>
      <c r="P208" s="7">
        <f t="array" ref="P208">_xll.GetPrice("FP-LBR-2148","Actual","Low",_SPECIFICvarPubDate)</f>
        <v>335</v>
      </c>
      <c r="Q208" s="7">
        <f t="array" ref="Q208">_xll.GetPrice("FP-LBR-2149","Actual","Low",_SPECIFICvarPubDate)</f>
        <v>330</v>
      </c>
      <c r="R208" s="25" t="s">
        <v>37</v>
      </c>
      <c r="S208" s="25" t="s">
        <v>37</v>
      </c>
      <c r="T208" s="2"/>
      <c r="U208" s="2"/>
      <c r="V208" s="2"/>
      <c r="W208" s="2"/>
      <c r="X208" s="2"/>
      <c r="Y208" s="2"/>
      <c r="Z208" s="2"/>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Q208" s="52"/>
    </row>
    <row r="209" spans="1:69" customFormat="1" x14ac:dyDescent="0.2">
      <c r="A209" s="24" t="s">
        <v>41</v>
      </c>
      <c r="B209" s="7">
        <f t="array" ref="B209">_xll.GetPrice("FP-LBR-0346","Actual","Low",_SPECIFICvarPubDate)</f>
        <v>355</v>
      </c>
      <c r="C209" s="7">
        <f t="array" ref="C209">_xll.GetPrice("FP-LBR-0347","Actual","Low",_SPECIFICvarPubDate)</f>
        <v>410</v>
      </c>
      <c r="D209" s="7">
        <f t="array" ref="D209">_xll.GetPrice("FP-LBR-0348","Actual","Low",_SPECIFICvarPubDate)</f>
        <v>410</v>
      </c>
      <c r="E209" s="7">
        <f t="array" ref="E209">_xll.GetPrice("FP-LBR-0349","Actual","Low",_SPECIFICvarPubDate)</f>
        <v>355</v>
      </c>
      <c r="F209" s="7">
        <f t="array" ref="F209">_xll.GetPrice("FP-LBR-0350","Actual","Low",_SPECIFICvarPubDate)</f>
        <v>400</v>
      </c>
      <c r="G209" s="7">
        <f t="array" ref="G209">_xll.GetPrice("FP-LBR-0351","Actual","Low",_SPECIFICvarPubDate)</f>
        <v>305</v>
      </c>
      <c r="H209" s="7">
        <f t="array" ref="H209">_xll.GetPrice("FP-LBR-0352","Actual","Low",_SPECIFICvarPubDate)</f>
        <v>450</v>
      </c>
      <c r="I209" s="2"/>
      <c r="J209" s="24" t="s">
        <v>41</v>
      </c>
      <c r="K209" s="7">
        <f t="array" ref="K209">_xll.GetPrice("FP-LBR-2150","Actual","Low",_SPECIFICvarPubDate)</f>
        <v>365</v>
      </c>
      <c r="L209" s="7">
        <f t="array" ref="L209">_xll.GetPrice("FP-LBR-2151","Actual","Low",_SPECIFICvarPubDate)</f>
        <v>440</v>
      </c>
      <c r="M209" s="7">
        <f t="array" ref="M209">_xll.GetPrice("FP-LBR-2152","Actual","Low",_SPECIFICvarPubDate)</f>
        <v>420</v>
      </c>
      <c r="N209" s="7">
        <f t="array" ref="N209">_xll.GetPrice("FP-LBR-2153","Actual","Low",_SPECIFICvarPubDate)</f>
        <v>385</v>
      </c>
      <c r="O209" s="7">
        <f t="array" ref="O209">_xll.GetPrice("FP-LBR-2154","Actual","Low",_SPECIFICvarPubDate)</f>
        <v>385</v>
      </c>
      <c r="P209" s="7">
        <f t="array" ref="P209">_xll.GetPrice("FP-LBR-2155","Actual","Low",_SPECIFICvarPubDate)</f>
        <v>335</v>
      </c>
      <c r="Q209" s="7">
        <f t="array" ref="Q209">_xll.GetPrice("FP-LBR-2156","Actual","Low",_SPECIFICvarPubDate)</f>
        <v>435</v>
      </c>
      <c r="R209" s="25" t="s">
        <v>37</v>
      </c>
      <c r="S209" s="25" t="s">
        <v>37</v>
      </c>
      <c r="T209" s="2"/>
      <c r="U209" s="2"/>
      <c r="V209" s="2"/>
      <c r="W209" s="2"/>
      <c r="X209" s="2"/>
      <c r="Y209" s="2"/>
      <c r="Z209" s="2"/>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Q209" s="52"/>
    </row>
    <row r="210" spans="1:69" customFormat="1" x14ac:dyDescent="0.2">
      <c r="A210" s="24" t="s">
        <v>42</v>
      </c>
      <c r="B210" s="7">
        <f t="array" ref="B210">_xll.GetPrice("FP-LBR-0353","Actual","Low",_SPECIFICvarPubDate)</f>
        <v>440</v>
      </c>
      <c r="C210" s="7">
        <f t="array" ref="C210">_xll.GetPrice("FP-LBR-0354","Actual","Low",_SPECIFICvarPubDate)</f>
        <v>420</v>
      </c>
      <c r="D210" s="7">
        <f t="array" ref="D210">_xll.GetPrice("FP-LBR-0355","Actual","Low",_SPECIFICvarPubDate)</f>
        <v>335</v>
      </c>
      <c r="E210" s="7">
        <f t="array" ref="E210">_xll.GetPrice("FP-LBR-0356","Actual","Low",_SPECIFICvarPubDate)</f>
        <v>320</v>
      </c>
      <c r="F210" s="7">
        <f t="array" ref="F210">_xll.GetPrice("FP-LBR-0357","Actual","Low",_SPECIFICvarPubDate)</f>
        <v>395</v>
      </c>
      <c r="G210" s="7">
        <f t="array" ref="G210">_xll.GetPrice("FP-LBR-0358","Actual","Low",_SPECIFICvarPubDate)</f>
        <v>340</v>
      </c>
      <c r="H210" s="7">
        <f t="array" ref="H210">_xll.GetPrice("FP-LBR-0359","Actual","Low",_SPECIFICvarPubDate)</f>
        <v>620</v>
      </c>
      <c r="I210" s="2"/>
      <c r="J210" s="24" t="s">
        <v>42</v>
      </c>
      <c r="K210" s="7">
        <f t="array" ref="K210">_xll.GetPrice("FP-LBR-2157","Actual","Low",_SPECIFICvarPubDate)</f>
        <v>425</v>
      </c>
      <c r="L210" s="7">
        <f t="array" ref="L210">_xll.GetPrice("FP-LBR-2158","Actual","Low",_SPECIFICvarPubDate)</f>
        <v>450</v>
      </c>
      <c r="M210" s="7">
        <f t="array" ref="M210">_xll.GetPrice("FP-LBR-2159","Actual","Low",_SPECIFICvarPubDate)</f>
        <v>405</v>
      </c>
      <c r="N210" s="7">
        <f t="array" ref="N210">_xll.GetPrice("FP-LBR-2160","Actual","Low",_SPECIFICvarPubDate)</f>
        <v>320</v>
      </c>
      <c r="O210" s="7">
        <f t="array" ref="O210">_xll.GetPrice("FP-LBR-2161","Actual","Low",_SPECIFICvarPubDate)</f>
        <v>385</v>
      </c>
      <c r="P210" s="7">
        <f t="array" ref="P210">_xll.GetPrice("FP-LBR-2162","Actual","Low",_SPECIFICvarPubDate)</f>
        <v>405</v>
      </c>
      <c r="Q210" s="7">
        <f t="array" ref="Q210">_xll.GetPrice("FP-LBR-2163","Actual","Low",_SPECIFICvarPubDate)</f>
        <v>645</v>
      </c>
      <c r="R210" s="25" t="s">
        <v>37</v>
      </c>
      <c r="S210" s="25" t="s">
        <v>37</v>
      </c>
      <c r="T210" s="2"/>
      <c r="U210" s="2"/>
      <c r="V210" s="2"/>
      <c r="W210" s="2"/>
      <c r="X210" s="2"/>
      <c r="Y210" s="2"/>
      <c r="Z210" s="2"/>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Q210" s="52"/>
    </row>
    <row r="211" spans="1:69" customFormat="1" x14ac:dyDescent="0.2">
      <c r="A211" s="24" t="s">
        <v>136</v>
      </c>
      <c r="B211" s="7">
        <f t="array" ref="B211">_xll.GetPrice("FP-LBR-0360","Actual","Low",_SPECIFICvarPubDate)</f>
        <v>385</v>
      </c>
      <c r="C211" s="7">
        <f t="array" ref="C211">_xll.GetPrice("FP-LBR-0361","Actual","Low",_SPECIFICvarPubDate)</f>
        <v>300</v>
      </c>
      <c r="D211" s="7">
        <f t="array" ref="D211">_xll.GetPrice("FP-LBR-0362","Actual","Low",_SPECIFICvarPubDate)</f>
        <v>300</v>
      </c>
      <c r="E211" s="7">
        <f t="array" ref="E211">_xll.GetPrice("FP-LBR-0363","Actual","Low",_SPECIFICvarPubDate)</f>
        <v>335</v>
      </c>
      <c r="F211" s="7">
        <f t="array" ref="F211">_xll.GetPrice("FP-LBR-0364","Actual","Low",_SPECIFICvarPubDate)</f>
        <v>435</v>
      </c>
      <c r="G211" s="7">
        <f t="array" ref="G211">_xll.GetPrice("FP-LBR-0365","Actual","Low",_SPECIFICvarPubDate)</f>
        <v>325</v>
      </c>
      <c r="H211" s="7">
        <f t="array" ref="H211">_xll.GetPrice("FP-LBR-0366","Actual","Low",_SPECIFICvarPubDate)</f>
        <v>330</v>
      </c>
      <c r="I211" s="2"/>
      <c r="J211" s="24" t="s">
        <v>136</v>
      </c>
      <c r="K211" s="7">
        <f t="array" ref="K211">_xll.GetPrice("FP-LBR-2086","Actual","Low",_SPECIFICvarPubDate)</f>
        <v>370</v>
      </c>
      <c r="L211" s="7">
        <f t="array" ref="L211">_xll.GetPrice("FP-LBR-2087","Actual","Low",_SPECIFICvarPubDate)</f>
        <v>295</v>
      </c>
      <c r="M211" s="7">
        <f t="array" ref="M211">_xll.GetPrice("FP-LBR-2088","Actual","Low",_SPECIFICvarPubDate)</f>
        <v>295</v>
      </c>
      <c r="N211" s="7">
        <f t="array" ref="N211">_xll.GetPrice("FP-LBR-2089","Actual","Low",_SPECIFICvarPubDate)</f>
        <v>340</v>
      </c>
      <c r="O211" s="7">
        <f t="array" ref="O211">_xll.GetPrice("FP-LBR-2090","Actual","Low",_SPECIFICvarPubDate)</f>
        <v>375</v>
      </c>
      <c r="P211" s="7">
        <f t="array" ref="P211">_xll.GetPrice("FP-LBR-2091","Actual","Low",_SPECIFICvarPubDate)</f>
        <v>320</v>
      </c>
      <c r="Q211" s="7">
        <f t="array" ref="Q211">_xll.GetPrice("FP-LBR-2092","Actual","Low",_SPECIFICvarPubDate)</f>
        <v>330</v>
      </c>
      <c r="R211" s="25" t="s">
        <v>37</v>
      </c>
      <c r="S211" s="25" t="s">
        <v>37</v>
      </c>
      <c r="T211" s="2"/>
      <c r="U211" s="2"/>
      <c r="V211" s="2"/>
      <c r="W211" s="2"/>
      <c r="X211" s="2"/>
      <c r="Y211" s="2"/>
      <c r="Z211" s="2"/>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Q211" s="52"/>
    </row>
    <row r="212" spans="1:69" customFormat="1" x14ac:dyDescent="0.2">
      <c r="A212" s="24" t="s">
        <v>39</v>
      </c>
      <c r="B212" s="7">
        <f t="array" ref="B212">_xll.GetPrice("FP-LBR-0367","Actual","Low",_SPECIFICvarPubDate)</f>
        <v>280</v>
      </c>
      <c r="C212" s="7">
        <f t="array" ref="C212">_xll.GetPrice("FP-LBR-0368","Actual","Low",_SPECIFICvarPubDate)</f>
        <v>285</v>
      </c>
      <c r="D212" s="7">
        <f t="array" ref="D212">_xll.GetPrice("FP-LBR-0369","Actual","Low",_SPECIFICvarPubDate)</f>
        <v>315</v>
      </c>
      <c r="E212" s="7">
        <f t="array" ref="E212">_xll.GetPrice("FP-LBR-0370","Actual","Low",_SPECIFICvarPubDate)</f>
        <v>305</v>
      </c>
      <c r="F212" s="7">
        <f t="array" ref="F212">_xll.GetPrice("FP-LBR-0371","Actual","Low",_SPECIFICvarPubDate)</f>
        <v>315</v>
      </c>
      <c r="G212" s="7">
        <f t="array" ref="G212">_xll.GetPrice("FP-LBR-0372","Actual","Low",_SPECIFICvarPubDate)</f>
        <v>280</v>
      </c>
      <c r="H212" s="7">
        <f t="array" ref="H212">_xll.GetPrice("FP-LBR-0373","Actual","Low",_SPECIFICvarPubDate)</f>
        <v>270</v>
      </c>
      <c r="I212" s="2"/>
      <c r="J212" s="24" t="s">
        <v>39</v>
      </c>
      <c r="K212" s="7">
        <f t="array" ref="K212">_xll.GetPrice("FP-LBR-2093","Actual","Low",_SPECIFICvarPubDate)</f>
        <v>280</v>
      </c>
      <c r="L212" s="7">
        <f t="array" ref="L212">_xll.GetPrice("FP-LBR-2094","Actual","Low",_SPECIFICvarPubDate)</f>
        <v>290</v>
      </c>
      <c r="M212" s="7">
        <f t="array" ref="M212">_xll.GetPrice("FP-LBR-2095","Actual","Low",_SPECIFICvarPubDate)</f>
        <v>300</v>
      </c>
      <c r="N212" s="7">
        <f t="array" ref="N212">_xll.GetPrice("FP-LBR-2096","Actual","Low",_SPECIFICvarPubDate)</f>
        <v>295</v>
      </c>
      <c r="O212" s="7">
        <f t="array" ref="O212">_xll.GetPrice("FP-LBR-2097","Actual","Low",_SPECIFICvarPubDate)</f>
        <v>300</v>
      </c>
      <c r="P212" s="7">
        <f t="array" ref="P212">_xll.GetPrice("FP-LBR-2098","Actual","Low",_SPECIFICvarPubDate)</f>
        <v>295</v>
      </c>
      <c r="Q212" s="7">
        <f t="array" ref="Q212">_xll.GetPrice("FP-LBR-2099","Actual","Low",_SPECIFICvarPubDate)</f>
        <v>295</v>
      </c>
      <c r="R212" s="7">
        <f t="array" ref="R212">_xll.GetPrice("FP-LBR-2100","Actual","Low",_SPECIFICvarPubDate)</f>
        <v>745</v>
      </c>
      <c r="S212" s="7">
        <f t="array" ref="S212">_xll.GetPrice("FP-LBR-2101","Actual","Low",_SPECIFICvarPubDate)</f>
        <v>745</v>
      </c>
      <c r="T212" s="2"/>
      <c r="U212" s="2"/>
      <c r="V212" s="2"/>
      <c r="W212" s="2"/>
      <c r="X212" s="2"/>
      <c r="Y212" s="2"/>
      <c r="Z212" s="2"/>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Q212" s="52"/>
    </row>
    <row r="213" spans="1:69" customFormat="1" x14ac:dyDescent="0.2">
      <c r="A213" s="24" t="s">
        <v>40</v>
      </c>
      <c r="B213" s="7">
        <f t="array" ref="B213">_xll.GetPrice("FP-LBR-0374","Actual","Low",_SPECIFICvarPubDate)</f>
        <v>305</v>
      </c>
      <c r="C213" s="7">
        <f t="array" ref="C213">_xll.GetPrice("FP-LBR-0375","Actual","Low",_SPECIFICvarPubDate)</f>
        <v>285</v>
      </c>
      <c r="D213" s="7">
        <f t="array" ref="D213">_xll.GetPrice("FP-LBR-0376","Actual","Low",_SPECIFICvarPubDate)</f>
        <v>305</v>
      </c>
      <c r="E213" s="7">
        <f t="array" ref="E213">_xll.GetPrice("FP-LBR-0377","Actual","Low",_SPECIFICvarPubDate)</f>
        <v>305</v>
      </c>
      <c r="F213" s="7">
        <f t="array" ref="F213">_xll.GetPrice("FP-LBR-0378","Actual","Low",_SPECIFICvarPubDate)</f>
        <v>345</v>
      </c>
      <c r="G213" s="7">
        <f t="array" ref="G213">_xll.GetPrice("FP-LBR-0379","Actual","Low",_SPECIFICvarPubDate)</f>
        <v>295</v>
      </c>
      <c r="H213" s="7">
        <f t="array" ref="H213">_xll.GetPrice("FP-LBR-0380","Actual","Low",_SPECIFICvarPubDate)</f>
        <v>325</v>
      </c>
      <c r="I213" s="2"/>
      <c r="J213" s="24" t="s">
        <v>40</v>
      </c>
      <c r="K213" s="7">
        <f t="array" ref="K213">_xll.GetPrice("FP-LBR-2102","Actual","Low",_SPECIFICvarPubDate)</f>
        <v>285</v>
      </c>
      <c r="L213" s="7">
        <f t="array" ref="L213">_xll.GetPrice("FP-LBR-2103","Actual","Low",_SPECIFICvarPubDate)</f>
        <v>280</v>
      </c>
      <c r="M213" s="7">
        <f t="array" ref="M213">_xll.GetPrice("FP-LBR-2104","Actual","Low",_SPECIFICvarPubDate)</f>
        <v>285</v>
      </c>
      <c r="N213" s="7">
        <f t="array" ref="N213">_xll.GetPrice("FP-LBR-2105","Actual","Low",_SPECIFICvarPubDate)</f>
        <v>285</v>
      </c>
      <c r="O213" s="7">
        <f t="array" ref="O213">_xll.GetPrice("FP-LBR-2106","Actual","Low",_SPECIFICvarPubDate)</f>
        <v>310</v>
      </c>
      <c r="P213" s="7">
        <f t="array" ref="P213">_xll.GetPrice("FP-LBR-2107","Actual","Low",_SPECIFICvarPubDate)</f>
        <v>285</v>
      </c>
      <c r="Q213" s="7">
        <f t="array" ref="Q213">_xll.GetPrice("FP-LBR-2108","Actual","Low",_SPECIFICvarPubDate)</f>
        <v>290</v>
      </c>
      <c r="R213" s="7">
        <f t="array" ref="R213">_xll.GetPrice("FP-LBR-2109","Actual","Low",_SPECIFICvarPubDate)</f>
        <v>520</v>
      </c>
      <c r="S213" s="7">
        <f t="array" ref="S213">_xll.GetPrice("FP-LBR-2110","Actual","Low",_SPECIFICvarPubDate)</f>
        <v>640</v>
      </c>
      <c r="T213" s="2"/>
      <c r="U213" s="2"/>
      <c r="V213" s="2"/>
      <c r="W213" s="2"/>
      <c r="X213" s="2"/>
      <c r="Y213" s="2"/>
      <c r="Z213" s="2"/>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Q213" s="52"/>
    </row>
    <row r="214" spans="1:69" customFormat="1" x14ac:dyDescent="0.2">
      <c r="A214" s="24" t="s">
        <v>41</v>
      </c>
      <c r="B214" s="7">
        <f t="array" ref="B214">_xll.GetPrice("FP-LBR-0381","Actual","Low",_SPECIFICvarPubDate)</f>
        <v>285</v>
      </c>
      <c r="C214" s="7">
        <f t="array" ref="C214">_xll.GetPrice("FP-LBR-0382","Actual","Low",_SPECIFICvarPubDate)</f>
        <v>290</v>
      </c>
      <c r="D214" s="7">
        <f t="array" ref="D214">_xll.GetPrice("FP-LBR-0383","Actual","Low",_SPECIFICvarPubDate)</f>
        <v>290</v>
      </c>
      <c r="E214" s="7">
        <f t="array" ref="E214">_xll.GetPrice("FP-LBR-0384","Actual","Low",_SPECIFICvarPubDate)</f>
        <v>290</v>
      </c>
      <c r="F214" s="7">
        <f t="array" ref="F214">_xll.GetPrice("FP-LBR-0385","Actual","Low",_SPECIFICvarPubDate)</f>
        <v>310</v>
      </c>
      <c r="G214" s="7">
        <f t="array" ref="G214">_xll.GetPrice("FP-LBR-0386","Actual","Low",_SPECIFICvarPubDate)</f>
        <v>250</v>
      </c>
      <c r="H214" s="7">
        <f t="array" ref="H214">_xll.GetPrice("FP-LBR-0387","Actual","Low",_SPECIFICvarPubDate)</f>
        <v>275</v>
      </c>
      <c r="I214" s="2"/>
      <c r="J214" s="24" t="s">
        <v>41</v>
      </c>
      <c r="K214" s="7">
        <f t="array" ref="K214">_xll.GetPrice("FP-LBR-2111","Actual","Low",_SPECIFICvarPubDate)</f>
        <v>250</v>
      </c>
      <c r="L214" s="7">
        <f t="array" ref="L214">_xll.GetPrice("FP-LBR-2112","Actual","Low",_SPECIFICvarPubDate)</f>
        <v>300</v>
      </c>
      <c r="M214" s="7">
        <f t="array" ref="M214">_xll.GetPrice("FP-LBR-2113","Actual","Low",_SPECIFICvarPubDate)</f>
        <v>295</v>
      </c>
      <c r="N214" s="7">
        <f t="array" ref="N214">_xll.GetPrice("FP-LBR-2114","Actual","Low",_SPECIFICvarPubDate)</f>
        <v>300</v>
      </c>
      <c r="O214" s="7">
        <f t="array" ref="O214">_xll.GetPrice("FP-LBR-2115","Actual","Low",_SPECIFICvarPubDate)</f>
        <v>290</v>
      </c>
      <c r="P214" s="7">
        <f t="array" ref="P214">_xll.GetPrice("FP-LBR-2116","Actual","Low",_SPECIFICvarPubDate)</f>
        <v>260</v>
      </c>
      <c r="Q214" s="7">
        <f t="array" ref="Q214">_xll.GetPrice("FP-LBR-2117","Actual","Low",_SPECIFICvarPubDate)</f>
        <v>270</v>
      </c>
      <c r="R214" s="7">
        <f t="array" ref="R214">_xll.GetPrice("FP-LBR-2118","Actual","Low",_SPECIFICvarPubDate)</f>
        <v>370</v>
      </c>
      <c r="S214" s="7">
        <f t="array" ref="S214">_xll.GetPrice("FP-LBR-2119","Actual","Low",_SPECIFICvarPubDate)</f>
        <v>600</v>
      </c>
      <c r="T214" s="2"/>
      <c r="U214" s="2"/>
      <c r="V214" s="2"/>
      <c r="W214" s="2"/>
      <c r="X214" s="2"/>
      <c r="Y214" s="2"/>
      <c r="Z214" s="2"/>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Q214" s="52"/>
    </row>
    <row r="215" spans="1:69" customFormat="1" x14ac:dyDescent="0.2">
      <c r="A215" s="24" t="s">
        <v>42</v>
      </c>
      <c r="B215" s="7">
        <f t="array" ref="B215">_xll.GetPrice("FP-LBR-0388","Actual","Low",_SPECIFICvarPubDate)</f>
        <v>275</v>
      </c>
      <c r="C215" s="7">
        <f t="array" ref="C215">_xll.GetPrice("FP-LBR-0389","Actual","Low",_SPECIFICvarPubDate)</f>
        <v>310</v>
      </c>
      <c r="D215" s="7">
        <f t="array" ref="D215">_xll.GetPrice("FP-LBR-0390","Actual","Low",_SPECIFICvarPubDate)</f>
        <v>295</v>
      </c>
      <c r="E215" s="7">
        <f t="array" ref="E215">_xll.GetPrice("FP-LBR-0391","Actual","Low",_SPECIFICvarPubDate)</f>
        <v>300</v>
      </c>
      <c r="F215" s="7">
        <f t="array" ref="F215">_xll.GetPrice("FP-LBR-0392","Actual","Low",_SPECIFICvarPubDate)</f>
        <v>375</v>
      </c>
      <c r="G215" s="7">
        <f t="array" ref="G215">_xll.GetPrice("FP-LBR-0393","Actual","Low",_SPECIFICvarPubDate)</f>
        <v>315</v>
      </c>
      <c r="H215" s="7">
        <f t="array" ref="H215">_xll.GetPrice("FP-LBR-0394","Actual","Low",_SPECIFICvarPubDate)</f>
        <v>460</v>
      </c>
      <c r="I215" s="2"/>
      <c r="J215" s="24" t="s">
        <v>42</v>
      </c>
      <c r="K215" s="7">
        <f t="array" ref="K215">_xll.GetPrice("FP-LBR-2120","Actual","Low",_SPECIFICvarPubDate)</f>
        <v>275</v>
      </c>
      <c r="L215" s="7">
        <f t="array" ref="L215">_xll.GetPrice("FP-LBR-2121","Actual","Low",_SPECIFICvarPubDate)</f>
        <v>300</v>
      </c>
      <c r="M215" s="7">
        <f t="array" ref="M215">_xll.GetPrice("FP-LBR-2122","Actual","Low",_SPECIFICvarPubDate)</f>
        <v>330</v>
      </c>
      <c r="N215" s="7">
        <f t="array" ref="N215">_xll.GetPrice("FP-LBR-2123","Actual","Low",_SPECIFICvarPubDate)</f>
        <v>295</v>
      </c>
      <c r="O215" s="7">
        <f t="array" ref="O215">_xll.GetPrice("FP-LBR-2124","Actual","Low",_SPECIFICvarPubDate)</f>
        <v>350</v>
      </c>
      <c r="P215" s="7">
        <f t="array" ref="P215">_xll.GetPrice("FP-LBR-2125","Actual","Low",_SPECIFICvarPubDate)</f>
        <v>330</v>
      </c>
      <c r="Q215" s="7">
        <f t="array" ref="Q215">_xll.GetPrice("FP-LBR-2126","Actual","Low",_SPECIFICvarPubDate)</f>
        <v>450</v>
      </c>
      <c r="R215" s="7">
        <f t="array" ref="R215">_xll.GetPrice("FP-LBR-2127","Actual","Low",_SPECIFICvarPubDate)</f>
        <v>925</v>
      </c>
      <c r="S215" s="7">
        <f t="array" ref="S215">_xll.GetPrice("FP-LBR-2128","Actual","Low",_SPECIFICvarPubDate)</f>
        <v>935</v>
      </c>
      <c r="T215" s="2"/>
      <c r="U215" s="2"/>
      <c r="V215" s="2"/>
      <c r="W215" s="2"/>
      <c r="X215" s="2"/>
      <c r="Y215" s="2"/>
      <c r="Z215" s="2"/>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Q215" s="52"/>
    </row>
    <row r="216" spans="1:69" customFormat="1" x14ac:dyDescent="0.2">
      <c r="A216" s="24" t="s">
        <v>137</v>
      </c>
      <c r="B216" s="24" t="s">
        <v>39</v>
      </c>
      <c r="C216" s="7">
        <f t="array" ref="C216">_xll.GetPrice("FP-LBR-0395","Actual","Low",_SPECIFICvarPubDate)</f>
        <v>745</v>
      </c>
      <c r="D216" s="7">
        <f t="array" ref="D216">_xll.GetPrice("FP-LBR-0396","Actual","Low",_SPECIFICvarPubDate)</f>
        <v>735</v>
      </c>
      <c r="F216" s="24" t="s">
        <v>40</v>
      </c>
      <c r="G216" s="7">
        <f t="array" ref="G216">_xll.GetPrice("FP-LBR-0397","Actual","Low",_SPECIFICvarPubDate)</f>
        <v>525</v>
      </c>
      <c r="H216" s="7">
        <f t="array" ref="H216">_xll.GetPrice("FP-LBR-0398","Actual","Low",_SPECIFICvarPubDate)</f>
        <v>610</v>
      </c>
      <c r="I216" s="2"/>
      <c r="J216" s="2"/>
      <c r="K216" s="2"/>
      <c r="L216" s="2"/>
      <c r="M216" s="2"/>
      <c r="N216" s="2"/>
      <c r="O216" s="2"/>
      <c r="P216" s="2"/>
      <c r="Q216" s="2"/>
      <c r="R216" s="2"/>
      <c r="S216" s="2"/>
      <c r="T216" s="2"/>
      <c r="U216" s="2"/>
      <c r="V216" s="2"/>
      <c r="W216" s="2"/>
      <c r="X216" s="2"/>
      <c r="Y216" s="2"/>
      <c r="Z216" s="2"/>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Q216" s="52"/>
    </row>
    <row r="217" spans="1:69" customFormat="1" x14ac:dyDescent="0.2">
      <c r="A217" s="2"/>
      <c r="B217" s="24" t="s">
        <v>41</v>
      </c>
      <c r="C217" s="7">
        <f t="array" ref="C217">_xll.GetPrice("FP-LBR-0399","Actual","Low",_SPECIFICvarPubDate)</f>
        <v>365</v>
      </c>
      <c r="D217" s="7">
        <f t="array" ref="D217">_xll.GetPrice("FP-LBR-0400","Actual","Low",_SPECIFICvarPubDate)</f>
        <v>590</v>
      </c>
      <c r="F217" s="24" t="s">
        <v>42</v>
      </c>
      <c r="G217" s="7">
        <f t="array" ref="G217">_xll.GetPrice("FP-LBR-0401","Actual","Low",_SPECIFICvarPubDate)</f>
        <v>930</v>
      </c>
      <c r="H217" s="7">
        <f t="array" ref="H217">_xll.GetPrice("FP-LBR-0402","Actual","Low",_SPECIFICvarPubDate)</f>
        <v>950</v>
      </c>
      <c r="I217" s="2"/>
      <c r="J217" s="17" t="s">
        <v>138</v>
      </c>
      <c r="K217" s="2"/>
      <c r="L217" s="2"/>
      <c r="M217" s="2"/>
      <c r="N217" s="2"/>
      <c r="O217" s="2"/>
      <c r="P217" s="2"/>
      <c r="Q217" s="2"/>
      <c r="R217" s="2"/>
      <c r="S217" s="2"/>
      <c r="T217" s="2"/>
      <c r="U217" s="2"/>
      <c r="V217" s="2"/>
      <c r="W217" s="2"/>
      <c r="X217" s="2"/>
      <c r="Y217" s="2"/>
      <c r="Z217" s="2"/>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Q217" s="52"/>
    </row>
    <row r="218" spans="1:69" customFormat="1" x14ac:dyDescent="0.2">
      <c r="A218" s="2"/>
      <c r="B218" s="2"/>
      <c r="C218" s="2"/>
      <c r="D218" s="2"/>
      <c r="E218" s="2"/>
      <c r="F218" s="2"/>
      <c r="G218" s="2"/>
      <c r="H218" s="2"/>
      <c r="I218" s="2"/>
      <c r="J218" s="31"/>
      <c r="K218" s="19" t="s">
        <v>127</v>
      </c>
      <c r="L218" s="19" t="s">
        <v>128</v>
      </c>
      <c r="M218" s="19" t="s">
        <v>129</v>
      </c>
      <c r="N218" s="19" t="s">
        <v>130</v>
      </c>
      <c r="O218" s="19" t="s">
        <v>131</v>
      </c>
      <c r="P218" s="19" t="s">
        <v>132</v>
      </c>
      <c r="Q218" s="19" t="s">
        <v>133</v>
      </c>
      <c r="R218" s="19" t="s">
        <v>134</v>
      </c>
      <c r="S218" s="19" t="s">
        <v>135</v>
      </c>
      <c r="T218" s="2"/>
      <c r="U218" s="2"/>
      <c r="V218" s="2"/>
      <c r="W218" s="2"/>
      <c r="X218" s="2"/>
      <c r="Y218" s="2"/>
      <c r="Z218" s="2"/>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Q218" s="52"/>
    </row>
    <row r="219" spans="1:69" customFormat="1" x14ac:dyDescent="0.2">
      <c r="A219" s="17" t="s">
        <v>139</v>
      </c>
      <c r="B219" s="2"/>
      <c r="C219" s="2"/>
      <c r="D219" s="2"/>
      <c r="E219" s="2"/>
      <c r="F219" s="2"/>
      <c r="G219" s="2"/>
      <c r="H219" s="2"/>
      <c r="I219" s="2"/>
      <c r="J219" s="24" t="s">
        <v>140</v>
      </c>
      <c r="K219" s="7">
        <f t="array" ref="K219">_xll.GetPrice("FP-LBR-0185","Actual","Low",_SPECIFICvarPubDate)</f>
        <v>370</v>
      </c>
      <c r="L219" s="7">
        <f t="array" ref="L219">_xll.GetPrice("FP-LBR-0186","Actual","Low",_SPECIFICvarPubDate)</f>
        <v>460</v>
      </c>
      <c r="M219" s="7">
        <f t="array" ref="M219">_xll.GetPrice("FP-LBR-0187","Actual","Low",_SPECIFICvarPubDate)</f>
        <v>485</v>
      </c>
      <c r="N219" s="7">
        <f t="array" ref="N219">_xll.GetPrice("FP-LBR-0188","Actual","Low",_SPECIFICvarPubDate)</f>
        <v>510</v>
      </c>
      <c r="O219" s="7">
        <f t="array" ref="O219">_xll.GetPrice("FP-LBR-0189","Actual","Low",_SPECIFICvarPubDate)</f>
        <v>560</v>
      </c>
      <c r="P219" s="7">
        <f t="array" ref="P219">_xll.GetPrice("FP-LBR-0190","Actual","Low",_SPECIFICvarPubDate)</f>
        <v>520</v>
      </c>
      <c r="Q219" s="7">
        <f t="array" ref="Q219">_xll.GetPrice("FP-LBR-0191","Actual","Low",_SPECIFICvarPubDate)</f>
        <v>520</v>
      </c>
      <c r="R219" s="25" t="s">
        <v>37</v>
      </c>
      <c r="S219" s="25" t="s">
        <v>37</v>
      </c>
      <c r="T219" s="2"/>
      <c r="U219" s="2"/>
      <c r="V219" s="2"/>
      <c r="W219" s="2"/>
      <c r="X219" s="2"/>
      <c r="Y219" s="2"/>
      <c r="Z219" s="2"/>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Q219" s="52"/>
    </row>
    <row r="220" spans="1:69" customFormat="1" x14ac:dyDescent="0.2">
      <c r="A220" s="2"/>
      <c r="B220" s="19" t="s">
        <v>127</v>
      </c>
      <c r="C220" s="19" t="s">
        <v>128</v>
      </c>
      <c r="D220" s="19" t="s">
        <v>129</v>
      </c>
      <c r="E220" s="19" t="s">
        <v>130</v>
      </c>
      <c r="F220" s="19" t="s">
        <v>131</v>
      </c>
      <c r="G220" s="19" t="s">
        <v>132</v>
      </c>
      <c r="H220" s="19" t="s">
        <v>133</v>
      </c>
      <c r="I220" s="2"/>
      <c r="J220" s="24" t="s">
        <v>141</v>
      </c>
      <c r="K220" s="7">
        <f t="array" ref="K220">_xll.GetPrice("FP-LBR-0192","Actual","Low",_SPECIFICvarPubDate)</f>
        <v>320</v>
      </c>
      <c r="L220" s="7">
        <f t="array" ref="L220">_xll.GetPrice("FP-LBR-0193","Actual","Low",_SPECIFICvarPubDate)</f>
        <v>440</v>
      </c>
      <c r="M220" s="7">
        <f t="array" ref="M220">_xll.GetPrice("FP-LBR-0194","Actual","Low",_SPECIFICvarPubDate)</f>
        <v>430</v>
      </c>
      <c r="N220" s="7">
        <f t="array" ref="N220">_xll.GetPrice("FP-LBR-0195","Actual","Low",_SPECIFICvarPubDate)</f>
        <v>440</v>
      </c>
      <c r="O220" s="7">
        <f t="array" ref="O220">_xll.GetPrice("FP-LBR-0196","Actual","Low",_SPECIFICvarPubDate)</f>
        <v>500</v>
      </c>
      <c r="P220" s="7">
        <f t="array" ref="P220">_xll.GetPrice("FP-LBR-0197","Actual","Low",_SPECIFICvarPubDate)</f>
        <v>485</v>
      </c>
      <c r="Q220" s="7">
        <f t="array" ref="Q220">_xll.GetPrice("FP-LBR-0198","Actual","Low",_SPECIFICvarPubDate)</f>
        <v>490</v>
      </c>
      <c r="R220" s="7">
        <f t="array" ref="R220">_xll.GetPrice("FP-LBR-0199","Actual","Low",_SPECIFICvarPubDate)</f>
        <v>740</v>
      </c>
      <c r="S220" s="7">
        <f t="array" ref="S220">_xll.GetPrice("FP-LBR-0200","Actual","Low",_SPECIFICvarPubDate)</f>
        <v>740</v>
      </c>
      <c r="T220" s="2"/>
      <c r="U220" s="2"/>
      <c r="V220" s="2"/>
      <c r="W220" s="2"/>
      <c r="X220" s="2"/>
      <c r="Y220" s="2"/>
      <c r="Z220" s="2"/>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Q220" s="52"/>
    </row>
    <row r="221" spans="1:69" customFormat="1" x14ac:dyDescent="0.2">
      <c r="A221" s="24" t="s">
        <v>77</v>
      </c>
      <c r="B221" s="7">
        <f t="array" ref="B221">_xll.GetPrice("FP-LBR-2051","Actual","Low",_SPECIFICvarPubDate)</f>
        <v>435</v>
      </c>
      <c r="C221" s="7">
        <f t="array" ref="C221">_xll.GetPrice("FP-LBR-2052","Actual","Low",_SPECIFICvarPubDate)</f>
        <v>390</v>
      </c>
      <c r="D221" s="7">
        <f t="array" ref="D221">_xll.GetPrice("FP-LBR-2053","Actual","Low",_SPECIFICvarPubDate)</f>
        <v>380</v>
      </c>
      <c r="E221" s="7">
        <f t="array" ref="E221">_xll.GetPrice("FP-LBR-2054","Actual","Low",_SPECIFICvarPubDate)</f>
        <v>420</v>
      </c>
      <c r="F221" s="7">
        <f t="array" ref="F221">_xll.GetPrice("FP-LBR-2055","Actual","Low",_SPECIFICvarPubDate)</f>
        <v>445</v>
      </c>
      <c r="G221" s="7">
        <f t="array" ref="G221">_xll.GetPrice("FP-LBR-2056","Actual","Low",_SPECIFICvarPubDate)</f>
        <v>420</v>
      </c>
      <c r="H221" s="7">
        <f t="array" ref="H221">_xll.GetPrice("FP-LBR-2057","Actual","Low",_SPECIFICvarPubDate)</f>
        <v>420</v>
      </c>
      <c r="I221" s="2"/>
      <c r="J221" s="24" t="s">
        <v>40</v>
      </c>
      <c r="K221" s="7">
        <f t="array" ref="K221">_xll.GetPrice("FP-LBR-0201","Actual","Low",_SPECIFICvarPubDate)</f>
        <v>280</v>
      </c>
      <c r="L221" s="7">
        <f t="array" ref="L221">_xll.GetPrice("FP-LBR-0202","Actual","Low",_SPECIFICvarPubDate)</f>
        <v>335</v>
      </c>
      <c r="M221" s="7">
        <f t="array" ref="M221">_xll.GetPrice("FP-LBR-0203","Actual","Low",_SPECIFICvarPubDate)</f>
        <v>370</v>
      </c>
      <c r="N221" s="7">
        <f t="array" ref="N221">_xll.GetPrice("FP-LBR-0204","Actual","Low",_SPECIFICvarPubDate)</f>
        <v>380</v>
      </c>
      <c r="O221" s="7">
        <f t="array" ref="O221">_xll.GetPrice("FP-LBR-0205","Actual","Low",_SPECIFICvarPubDate)</f>
        <v>440</v>
      </c>
      <c r="P221" s="7">
        <f t="array" ref="P221">_xll.GetPrice("FP-LBR-0206","Actual","Low",_SPECIFICvarPubDate)</f>
        <v>420</v>
      </c>
      <c r="Q221" s="7">
        <f t="array" ref="Q221">_xll.GetPrice("FP-LBR-0207","Actual","Low",_SPECIFICvarPubDate)</f>
        <v>420</v>
      </c>
      <c r="R221" s="7">
        <f t="array" ref="R221">_xll.GetPrice("FP-LBR-0208","Actual","Low",_SPECIFICvarPubDate)</f>
        <v>725</v>
      </c>
      <c r="S221" s="7">
        <f t="array" ref="S221">_xll.GetPrice("FP-LBR-0209","Actual","Low",_SPECIFICvarPubDate)</f>
        <v>725</v>
      </c>
      <c r="T221" s="2"/>
      <c r="U221" s="2"/>
      <c r="V221" s="2"/>
      <c r="W221" s="2"/>
      <c r="X221" s="2"/>
      <c r="Y221" s="2"/>
      <c r="Z221" s="2"/>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Q221" s="52"/>
    </row>
    <row r="222" spans="1:69" customFormat="1" x14ac:dyDescent="0.2">
      <c r="A222" s="24" t="s">
        <v>39</v>
      </c>
      <c r="B222" s="7">
        <f t="array" ref="B222">_xll.GetPrice("FP-LBR-2058","Actual","Low",_SPECIFICvarPubDate)</f>
        <v>345</v>
      </c>
      <c r="C222" s="7">
        <f t="array" ref="C222">_xll.GetPrice("FP-LBR-2059","Actual","Low",_SPECIFICvarPubDate)</f>
        <v>345</v>
      </c>
      <c r="D222" s="7">
        <f t="array" ref="D222">_xll.GetPrice("FP-LBR-2060","Actual","Low",_SPECIFICvarPubDate)</f>
        <v>380</v>
      </c>
      <c r="E222" s="7">
        <f t="array" ref="E222">_xll.GetPrice("FP-LBR-2061","Actual","Low",_SPECIFICvarPubDate)</f>
        <v>360</v>
      </c>
      <c r="F222" s="7">
        <f t="array" ref="F222">_xll.GetPrice("FP-LBR-2062","Actual","Low",_SPECIFICvarPubDate)</f>
        <v>350</v>
      </c>
      <c r="G222" s="7">
        <f t="array" ref="G222">_xll.GetPrice("FP-LBR-2063","Actual","Low",_SPECIFICvarPubDate)</f>
        <v>335</v>
      </c>
      <c r="H222" s="7">
        <f t="array" ref="H222">_xll.GetPrice("FP-LBR-2064","Actual","Low",_SPECIFICvarPubDate)</f>
        <v>375</v>
      </c>
      <c r="I222" s="2"/>
      <c r="J222" s="24" t="s">
        <v>41</v>
      </c>
      <c r="K222" s="7">
        <f t="array" ref="K222">_xll.GetPrice("FP-LBR-0210","Actual","Low",_SPECIFICvarPubDate)</f>
        <v>265</v>
      </c>
      <c r="L222" s="7">
        <f t="array" ref="L222">_xll.GetPrice("FP-LBR-0211","Actual","Low",_SPECIFICvarPubDate)</f>
        <v>355</v>
      </c>
      <c r="M222" s="7">
        <f t="array" ref="M222">_xll.GetPrice("FP-LBR-0212","Actual","Low",_SPECIFICvarPubDate)</f>
        <v>360</v>
      </c>
      <c r="N222" s="7">
        <f t="array" ref="N222">_xll.GetPrice("FP-LBR-0213","Actual","Low",_SPECIFICvarPubDate)</f>
        <v>425</v>
      </c>
      <c r="O222" s="7">
        <f t="array" ref="O222">_xll.GetPrice("FP-LBR-0214","Actual","Low",_SPECIFICvarPubDate)</f>
        <v>435</v>
      </c>
      <c r="P222" s="7">
        <f t="array" ref="P222">_xll.GetPrice("FP-LBR-0215","Actual","Low",_SPECIFICvarPubDate)</f>
        <v>420</v>
      </c>
      <c r="Q222" s="7">
        <f t="array" ref="Q222">_xll.GetPrice("FP-LBR-0216","Actual","Low",_SPECIFICvarPubDate)</f>
        <v>420</v>
      </c>
      <c r="R222" s="7">
        <f t="array" ref="R222">_xll.GetPrice("FP-LBR-0217","Actual","Low",_SPECIFICvarPubDate)</f>
        <v>710</v>
      </c>
      <c r="S222" s="7">
        <f t="array" ref="S222">_xll.GetPrice("FP-LBR-0218","Actual","Low",_SPECIFICvarPubDate)</f>
        <v>710</v>
      </c>
      <c r="T222" s="2"/>
      <c r="U222" s="2"/>
      <c r="V222" s="2"/>
      <c r="W222" s="2"/>
      <c r="X222" s="2"/>
      <c r="Y222" s="2"/>
      <c r="Z222" s="2"/>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Q222" s="52"/>
    </row>
    <row r="223" spans="1:69" customFormat="1" x14ac:dyDescent="0.2">
      <c r="A223" s="24" t="s">
        <v>40</v>
      </c>
      <c r="B223" s="7">
        <f t="array" ref="B223">_xll.GetPrice("FP-LBR-2065","Actual","Low",_SPECIFICvarPubDate)</f>
        <v>390</v>
      </c>
      <c r="C223" s="7">
        <f t="array" ref="C223">_xll.GetPrice("FP-LBR-2066","Actual","Low",_SPECIFICvarPubDate)</f>
        <v>350</v>
      </c>
      <c r="D223" s="7">
        <f t="array" ref="D223">_xll.GetPrice("FP-LBR-2067","Actual","Low",_SPECIFICvarPubDate)</f>
        <v>375</v>
      </c>
      <c r="E223" s="7">
        <f t="array" ref="E223">_xll.GetPrice("FP-LBR-2068","Actual","Low",_SPECIFICvarPubDate)</f>
        <v>340</v>
      </c>
      <c r="F223" s="7">
        <f t="array" ref="F223">_xll.GetPrice("FP-LBR-2069","Actual","Low",_SPECIFICvarPubDate)</f>
        <v>350</v>
      </c>
      <c r="G223" s="7">
        <f t="array" ref="G223">_xll.GetPrice("FP-LBR-2070","Actual","Low",_SPECIFICvarPubDate)</f>
        <v>350</v>
      </c>
      <c r="H223" s="7">
        <f t="array" ref="H223">_xll.GetPrice("FP-LBR-2071","Actual","Low",_SPECIFICvarPubDate)</f>
        <v>345</v>
      </c>
      <c r="I223" s="2"/>
      <c r="J223" s="24" t="s">
        <v>42</v>
      </c>
      <c r="K223" s="7">
        <f t="array" ref="K223">_xll.GetPrice("FP-LBR-0219","Actual","Low",_SPECIFICvarPubDate)</f>
        <v>280</v>
      </c>
      <c r="L223" s="7">
        <f t="array" ref="L223">_xll.GetPrice("FP-LBR-0220","Actual","Low",_SPECIFICvarPubDate)</f>
        <v>305</v>
      </c>
      <c r="M223" s="7">
        <f t="array" ref="M223">_xll.GetPrice("FP-LBR-0221","Actual","Low",_SPECIFICvarPubDate)</f>
        <v>385</v>
      </c>
      <c r="N223" s="7">
        <f t="array" ref="N223">_xll.GetPrice("FP-LBR-0222","Actual","Low",_SPECIFICvarPubDate)</f>
        <v>400</v>
      </c>
      <c r="O223" s="7">
        <f t="array" ref="O223">_xll.GetPrice("FP-LBR-0223","Actual","Low",_SPECIFICvarPubDate)</f>
        <v>470</v>
      </c>
      <c r="P223" s="7">
        <f t="array" ref="P223">_xll.GetPrice("FP-LBR-0224","Actual","Low",_SPECIFICvarPubDate)</f>
        <v>415</v>
      </c>
      <c r="Q223" s="7">
        <f t="array" ref="Q223">_xll.GetPrice("FP-LBR-0225","Actual","Low",_SPECIFICvarPubDate)</f>
        <v>415</v>
      </c>
      <c r="R223" s="7">
        <f t="array" ref="R223">_xll.GetPrice("FP-LBR-0226","Actual","Low",_SPECIFICvarPubDate)</f>
        <v>900</v>
      </c>
      <c r="S223" s="7">
        <f t="array" ref="S223">_xll.GetPrice("FP-LBR-0227","Actual","Low",_SPECIFICvarPubDate)</f>
        <v>900</v>
      </c>
      <c r="T223" s="2"/>
      <c r="U223" s="2"/>
      <c r="V223" s="2"/>
      <c r="W223" s="2"/>
      <c r="X223" s="2"/>
      <c r="Y223" s="2"/>
      <c r="Z223" s="2"/>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Q223" s="52"/>
    </row>
    <row r="224" spans="1:69" customFormat="1" x14ac:dyDescent="0.2">
      <c r="A224" s="24" t="s">
        <v>41</v>
      </c>
      <c r="B224" s="7">
        <f t="array" ref="B224">_xll.GetPrice("FP-LBR-2072","Actual","Low",_SPECIFICvarPubDate)</f>
        <v>350</v>
      </c>
      <c r="C224" s="7">
        <f t="array" ref="C224">_xll.GetPrice("FP-LBR-2073","Actual","Low",_SPECIFICvarPubDate)</f>
        <v>375</v>
      </c>
      <c r="D224" s="7">
        <f t="array" ref="D224">_xll.GetPrice("FP-LBR-2074","Actual","Low",_SPECIFICvarPubDate)</f>
        <v>410</v>
      </c>
      <c r="E224" s="7">
        <f t="array" ref="E224">_xll.GetPrice("FP-LBR-2075","Actual","Low",_SPECIFICvarPubDate)</f>
        <v>420</v>
      </c>
      <c r="F224" s="7">
        <f t="array" ref="F224">_xll.GetPrice("FP-LBR-2076","Actual","Low",_SPECIFICvarPubDate)</f>
        <v>400</v>
      </c>
      <c r="G224" s="7">
        <f t="array" ref="G224">_xll.GetPrice("FP-LBR-2077","Actual","Low",_SPECIFICvarPubDate)</f>
        <v>355</v>
      </c>
      <c r="H224" s="7">
        <f t="array" ref="H224">_xll.GetPrice("FP-LBR-2078","Actual","Low",_SPECIFICvarPubDate)</f>
        <v>415</v>
      </c>
      <c r="I224" s="2"/>
      <c r="J224" s="3"/>
      <c r="K224" s="3"/>
      <c r="L224" s="3"/>
      <c r="M224" s="3"/>
      <c r="N224" s="3"/>
      <c r="O224" s="3"/>
      <c r="P224" s="3"/>
      <c r="Q224" s="3"/>
      <c r="R224" s="3"/>
      <c r="S224" s="3"/>
      <c r="T224" s="2"/>
      <c r="U224" s="2"/>
      <c r="V224" s="2"/>
      <c r="W224" s="2"/>
      <c r="X224" s="2"/>
      <c r="Y224" s="2"/>
      <c r="Z224" s="2"/>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Q224" s="52"/>
    </row>
    <row r="225" spans="1:69" customFormat="1" x14ac:dyDescent="0.2">
      <c r="A225" s="24" t="s">
        <v>42</v>
      </c>
      <c r="B225" s="7">
        <f t="array" ref="B225">_xll.GetPrice("FP-LBR-2079","Actual","Low",_SPECIFICvarPubDate)</f>
        <v>450</v>
      </c>
      <c r="C225" s="7">
        <f t="array" ref="C225">_xll.GetPrice("FP-LBR-2080","Actual","Low",_SPECIFICvarPubDate)</f>
        <v>435</v>
      </c>
      <c r="D225" s="7">
        <f t="array" ref="D225">_xll.GetPrice("FP-LBR-2081","Actual","Low",_SPECIFICvarPubDate)</f>
        <v>430</v>
      </c>
      <c r="E225" s="7">
        <f t="array" ref="E225">_xll.GetPrice("FP-LBR-2082","Actual","Low",_SPECIFICvarPubDate)</f>
        <v>375</v>
      </c>
      <c r="F225" s="7">
        <f t="array" ref="F225">_xll.GetPrice("FP-LBR-2083","Actual","Low",_SPECIFICvarPubDate)</f>
        <v>430</v>
      </c>
      <c r="G225" s="7">
        <f t="array" ref="G225">_xll.GetPrice("FP-LBR-2084","Actual","Low",_SPECIFICvarPubDate)</f>
        <v>505</v>
      </c>
      <c r="H225" s="7">
        <f t="array" ref="H225">_xll.GetPrice("FP-LBR-2085","Actual","Low",_SPECIFICvarPubDate)</f>
        <v>795</v>
      </c>
      <c r="I225" s="2"/>
      <c r="J225" s="3"/>
      <c r="K225" s="3"/>
      <c r="L225" s="3"/>
      <c r="M225" s="3"/>
      <c r="N225" s="3"/>
      <c r="O225" s="3"/>
      <c r="P225" s="3"/>
      <c r="Q225" s="3"/>
      <c r="R225" s="3"/>
      <c r="S225" s="3"/>
      <c r="T225" s="2"/>
      <c r="U225" s="2"/>
      <c r="V225" s="2"/>
      <c r="W225" s="2"/>
      <c r="X225" s="2"/>
      <c r="Y225" s="2"/>
      <c r="Z225" s="2"/>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Q225" s="52"/>
    </row>
    <row r="226" spans="1:69" customFormat="1" x14ac:dyDescent="0.2">
      <c r="A226" s="24" t="s">
        <v>136</v>
      </c>
      <c r="B226" s="7">
        <f t="array" ref="B226">_xll.GetPrice("FP-LBR-2016","Actual","Low",_SPECIFICvarPubDate)</f>
        <v>390</v>
      </c>
      <c r="C226" s="7">
        <f t="array" ref="C226">_xll.GetPrice("FP-LBR-2017","Actual","Low",_SPECIFICvarPubDate)</f>
        <v>340</v>
      </c>
      <c r="D226" s="7">
        <f t="array" ref="D226">_xll.GetPrice("FP-LBR-2018","Actual","Low",_SPECIFICvarPubDate)</f>
        <v>345</v>
      </c>
      <c r="E226" s="7">
        <f t="array" ref="E226">_xll.GetPrice("FP-LBR-2019","Actual","Low",_SPECIFICvarPubDate)</f>
        <v>390</v>
      </c>
      <c r="F226" s="7">
        <f t="array" ref="F226">_xll.GetPrice("FP-LBR-2020","Actual","Low",_SPECIFICvarPubDate)</f>
        <v>415</v>
      </c>
      <c r="G226" s="7">
        <f t="array" ref="G226">_xll.GetPrice("FP-LBR-2021","Actual","Low",_SPECIFICvarPubDate)</f>
        <v>390</v>
      </c>
      <c r="H226" s="7">
        <f t="array" ref="H226">_xll.GetPrice("FP-LBR-2022","Actual","Low",_SPECIFICvarPubDate)</f>
        <v>400</v>
      </c>
      <c r="I226" s="2"/>
      <c r="J226" s="34" t="s">
        <v>142</v>
      </c>
      <c r="K226" s="2"/>
      <c r="L226" s="2"/>
      <c r="M226" s="2"/>
      <c r="N226" s="2"/>
      <c r="O226" s="2"/>
      <c r="P226" s="2"/>
      <c r="Q226" s="2"/>
      <c r="R226" s="2"/>
      <c r="S226" s="2"/>
      <c r="T226" s="2"/>
      <c r="U226" s="2"/>
      <c r="V226" s="2"/>
      <c r="W226" s="2"/>
      <c r="X226" s="2"/>
      <c r="Y226" s="2"/>
      <c r="Z226" s="2"/>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Q226" s="52"/>
    </row>
    <row r="227" spans="1:69" customFormat="1" x14ac:dyDescent="0.2">
      <c r="A227" s="24" t="s">
        <v>39</v>
      </c>
      <c r="B227" s="7">
        <f t="array" ref="B227">_xll.GetPrice("FP-LBR-2023","Actual","Low",_SPECIFICvarPubDate)</f>
        <v>285</v>
      </c>
      <c r="C227" s="7">
        <f t="array" ref="C227">_xll.GetPrice("FP-LBR-2024","Actual","Low",_SPECIFICvarPubDate)</f>
        <v>310</v>
      </c>
      <c r="D227" s="7">
        <f t="array" ref="D227">_xll.GetPrice("FP-LBR-2025","Actual","Low",_SPECIFICvarPubDate)</f>
        <v>320</v>
      </c>
      <c r="E227" s="7">
        <f t="array" ref="E227">_xll.GetPrice("FP-LBR-2026","Actual","Low",_SPECIFICvarPubDate)</f>
        <v>320</v>
      </c>
      <c r="F227" s="7">
        <f t="array" ref="F227">_xll.GetPrice("FP-LBR-2027","Actual","Low",_SPECIFICvarPubDate)</f>
        <v>320</v>
      </c>
      <c r="G227" s="7">
        <f t="array" ref="G227">_xll.GetPrice("FP-LBR-2028","Actual","Low",_SPECIFICvarPubDate)</f>
        <v>320</v>
      </c>
      <c r="H227" s="7">
        <f t="array" ref="H227">_xll.GetPrice("FP-LBR-2029","Actual","Low",_SPECIFICvarPubDate)</f>
        <v>305</v>
      </c>
      <c r="I227" s="2"/>
      <c r="K227" s="19" t="s">
        <v>127</v>
      </c>
      <c r="L227" s="19" t="s">
        <v>128</v>
      </c>
      <c r="M227" s="19" t="s">
        <v>129</v>
      </c>
      <c r="N227" s="19" t="s">
        <v>130</v>
      </c>
      <c r="O227" s="19" t="s">
        <v>131</v>
      </c>
      <c r="P227" s="19" t="s">
        <v>132</v>
      </c>
      <c r="Q227" s="19" t="s">
        <v>133</v>
      </c>
      <c r="R227" s="19"/>
      <c r="S227" s="19"/>
      <c r="T227" s="2"/>
      <c r="U227" s="2"/>
      <c r="V227" s="2"/>
      <c r="W227" s="2"/>
      <c r="X227" s="2"/>
      <c r="Y227" s="2"/>
      <c r="Z227" s="2"/>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Q227" s="52"/>
    </row>
    <row r="228" spans="1:69" customFormat="1" x14ac:dyDescent="0.2">
      <c r="A228" s="24" t="s">
        <v>40</v>
      </c>
      <c r="B228" s="7">
        <f t="array" ref="B228">_xll.GetPrice("FP-LBR-2030","Actual","Low",_SPECIFICvarPubDate)</f>
        <v>315</v>
      </c>
      <c r="C228" s="7">
        <f t="array" ref="C228">_xll.GetPrice("FP-LBR-2031","Actual","Low",_SPECIFICvarPubDate)</f>
        <v>305</v>
      </c>
      <c r="D228" s="7">
        <f t="array" ref="D228">_xll.GetPrice("FP-LBR-2032","Actual","Low",_SPECIFICvarPubDate)</f>
        <v>320</v>
      </c>
      <c r="E228" s="7">
        <f t="array" ref="E228">_xll.GetPrice("FP-LBR-2033","Actual","Low",_SPECIFICvarPubDate)</f>
        <v>320</v>
      </c>
      <c r="F228" s="7">
        <f t="array" ref="F228">_xll.GetPrice("FP-LBR-2034","Actual","Low",_SPECIFICvarPubDate)</f>
        <v>325</v>
      </c>
      <c r="G228" s="7">
        <f t="array" ref="G228">_xll.GetPrice("FP-LBR-2035","Actual","Low",_SPECIFICvarPubDate)</f>
        <v>295</v>
      </c>
      <c r="H228" s="7">
        <f t="array" ref="H228">_xll.GetPrice("FP-LBR-2036","Actual","Low",_SPECIFICvarPubDate)</f>
        <v>300</v>
      </c>
      <c r="I228" s="2"/>
      <c r="J228" s="24" t="s">
        <v>140</v>
      </c>
      <c r="K228" s="63">
        <f t="array" ref="K228">_xll.GetPrice("FP-LBR-0438","Actual","Low",_SPECIFICvarPubDate)</f>
        <v>395</v>
      </c>
      <c r="L228" s="63">
        <f t="array" ref="L228">_xll.GetPrice("FP-LBR-0439","Actual","Low",_SPECIFICvarPubDate)</f>
        <v>373</v>
      </c>
      <c r="M228" s="63">
        <f t="array" ref="M228">_xll.GetPrice("FP-LBR-0440","Actual","Low",_SPECIFICvarPubDate)</f>
        <v>433</v>
      </c>
      <c r="N228" s="63">
        <f t="array" ref="N228">_xll.GetPrice("FP-LBR-0441","Actual","Low",_SPECIFICvarPubDate)</f>
        <v>463</v>
      </c>
      <c r="O228" s="63">
        <f t="array" ref="O228">_xll.GetPrice("FP-LBR-0442","Actual","Low",_SPECIFICvarPubDate)</f>
        <v>585</v>
      </c>
      <c r="P228" s="63">
        <f t="array" ref="P228">_xll.GetPrice("FP-LBR-0443","Actual","Low",_SPECIFICvarPubDate)</f>
        <v>515</v>
      </c>
      <c r="Q228" s="63">
        <f t="array" ref="Q228">_xll.GetPrice("FP-LBR-0444","Actual","Low",_SPECIFICvarPubDate)</f>
        <v>540</v>
      </c>
      <c r="R228" s="25"/>
      <c r="S228" s="25"/>
      <c r="T228" s="2"/>
      <c r="U228" s="2"/>
      <c r="V228" s="2"/>
      <c r="W228" s="2"/>
      <c r="X228" s="2"/>
      <c r="Y228" s="2"/>
      <c r="Z228" s="2"/>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Q228" s="52"/>
    </row>
    <row r="229" spans="1:69" customFormat="1" x14ac:dyDescent="0.2">
      <c r="A229" s="24" t="s">
        <v>41</v>
      </c>
      <c r="B229" s="7">
        <f t="array" ref="B229">_xll.GetPrice("FP-LBR-2037","Actual","Low",_SPECIFICvarPubDate)</f>
        <v>275</v>
      </c>
      <c r="C229" s="7">
        <f t="array" ref="C229">_xll.GetPrice("FP-LBR-2038","Actual","Low",_SPECIFICvarPubDate)</f>
        <v>325</v>
      </c>
      <c r="D229" s="7">
        <f t="array" ref="D229">_xll.GetPrice("FP-LBR-2039","Actual","Low",_SPECIFICvarPubDate)</f>
        <v>340</v>
      </c>
      <c r="E229" s="7">
        <f t="array" ref="E229">_xll.GetPrice("FP-LBR-2040","Actual","Low",_SPECIFICvarPubDate)</f>
        <v>360</v>
      </c>
      <c r="F229" s="7">
        <f t="array" ref="F229">_xll.GetPrice("FP-LBR-2041","Actual","Low",_SPECIFICvarPubDate)</f>
        <v>365</v>
      </c>
      <c r="G229" s="7">
        <f t="array" ref="G229">_xll.GetPrice("FP-LBR-2042","Actual","Low",_SPECIFICvarPubDate)</f>
        <v>290</v>
      </c>
      <c r="H229" s="7">
        <f t="array" ref="H229">_xll.GetPrice("FP-LBR-2043","Actual","Low",_SPECIFICvarPubDate)</f>
        <v>350</v>
      </c>
      <c r="I229" s="2"/>
      <c r="J229" s="24" t="s">
        <v>39</v>
      </c>
      <c r="K229" s="63">
        <f t="array" ref="K229">_xll.GetPrice("FP-LBR-0445","Actual","Low",_SPECIFICvarPubDate)</f>
        <v>370</v>
      </c>
      <c r="L229" s="63">
        <f t="array" ref="L229">_xll.GetPrice("FP-LBR-0446","Actual","Low",_SPECIFICvarPubDate)</f>
        <v>393</v>
      </c>
      <c r="M229" s="63">
        <f t="array" ref="M229">_xll.GetPrice("FP-LBR-0447","Actual","Low",_SPECIFICvarPubDate)</f>
        <v>393</v>
      </c>
      <c r="N229" s="63">
        <f t="array" ref="N229">_xll.GetPrice("FP-LBR-0448","Actual","Low",_SPECIFICvarPubDate)</f>
        <v>355</v>
      </c>
      <c r="O229" s="63">
        <f t="array" ref="O229">_xll.GetPrice("FP-LBR-0449","Actual","Low",_SPECIFICvarPubDate)</f>
        <v>443</v>
      </c>
      <c r="P229" s="63">
        <f t="array" ref="P229">_xll.GetPrice("FP-LBR-0450","Actual","Low",_SPECIFICvarPubDate)</f>
        <v>442</v>
      </c>
      <c r="Q229" s="63">
        <f t="array" ref="Q229">_xll.GetPrice("FP-LBR-0451","Actual","Low",_SPECIFICvarPubDate)</f>
        <v>450</v>
      </c>
      <c r="R229" s="25"/>
      <c r="S229" s="25"/>
      <c r="T229" s="2"/>
      <c r="U229" s="2"/>
      <c r="V229" s="2"/>
      <c r="W229" s="2"/>
      <c r="X229" s="2"/>
      <c r="Y229" s="2"/>
      <c r="Z229" s="2"/>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Q229" s="52"/>
    </row>
    <row r="230" spans="1:69" customFormat="1" x14ac:dyDescent="0.2">
      <c r="A230" s="24" t="s">
        <v>42</v>
      </c>
      <c r="B230" s="7">
        <f t="array" ref="B230">_xll.GetPrice("FP-LBR-2044","Actual","Low",_SPECIFICvarPubDate)</f>
        <v>310</v>
      </c>
      <c r="C230" s="7">
        <f t="array" ref="C230">_xll.GetPrice("FP-LBR-2045","Actual","Low",_SPECIFICvarPubDate)</f>
        <v>310</v>
      </c>
      <c r="D230" s="7">
        <f t="array" ref="D230">_xll.GetPrice("FP-LBR-2046","Actual","Low",_SPECIFICvarPubDate)</f>
        <v>355</v>
      </c>
      <c r="E230" s="7">
        <f t="array" ref="E230">_xll.GetPrice("FP-LBR-2047","Actual","Low",_SPECIFICvarPubDate)</f>
        <v>305</v>
      </c>
      <c r="F230" s="7">
        <f t="array" ref="F230">_xll.GetPrice("FP-LBR-2048","Actual","Low",_SPECIFICvarPubDate)</f>
        <v>360</v>
      </c>
      <c r="G230" s="7">
        <f t="array" ref="G230">_xll.GetPrice("FP-LBR-2049","Actual","Low",_SPECIFICvarPubDate)</f>
        <v>370</v>
      </c>
      <c r="H230" s="7">
        <f t="array" ref="H230">_xll.GetPrice("FP-LBR-2050","Actual","Low",_SPECIFICvarPubDate)</f>
        <v>480</v>
      </c>
      <c r="I230" s="2"/>
      <c r="J230" s="24" t="s">
        <v>40</v>
      </c>
      <c r="K230" s="63">
        <f t="array" ref="K230">_xll.GetPrice("FP-LBR-0452","Actual","Low",_SPECIFICvarPubDate)</f>
        <v>315</v>
      </c>
      <c r="L230" s="63">
        <f t="array" ref="L230">_xll.GetPrice("FP-LBR-0453","Actual","Low",_SPECIFICvarPubDate)</f>
        <v>410</v>
      </c>
      <c r="M230" s="63">
        <f t="array" ref="M230">_xll.GetPrice("FP-LBR-0454","Actual","Low",_SPECIFICvarPubDate)</f>
        <v>430</v>
      </c>
      <c r="N230" s="63">
        <f t="array" ref="N230">_xll.GetPrice("FP-LBR-0455","Actual","Low",_SPECIFICvarPubDate)</f>
        <v>315</v>
      </c>
      <c r="O230" s="63">
        <f t="array" ref="O230">_xll.GetPrice("FP-LBR-0456","Actual","Low",_SPECIFICvarPubDate)</f>
        <v>408</v>
      </c>
      <c r="P230" s="63">
        <f t="array" ref="P230">_xll.GetPrice("FP-LBR-0457","Actual","Low",_SPECIFICvarPubDate)</f>
        <v>415</v>
      </c>
      <c r="Q230" s="63">
        <f t="array" ref="Q230">_xll.GetPrice("FP-LBR-0458","Actual","Low",_SPECIFICvarPubDate)</f>
        <v>450</v>
      </c>
      <c r="T230" s="2"/>
      <c r="U230" s="2"/>
      <c r="V230" s="2"/>
      <c r="W230" s="2"/>
      <c r="X230" s="2"/>
      <c r="Y230" s="2"/>
      <c r="Z230" s="2"/>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Q230" s="52"/>
    </row>
    <row r="231" spans="1:69" customFormat="1" x14ac:dyDescent="0.2">
      <c r="G231" s="2"/>
      <c r="H231" s="2"/>
      <c r="I231" s="2"/>
      <c r="J231" s="24" t="s">
        <v>41</v>
      </c>
      <c r="K231" s="63">
        <f t="array" ref="K231">_xll.GetPrice("FP-LBR-0459","Actual","Low",_SPECIFICvarPubDate)</f>
        <v>338</v>
      </c>
      <c r="L231" s="63">
        <f t="array" ref="L231">_xll.GetPrice("FP-LBR-0460","Actual","Low",_SPECIFICvarPubDate)</f>
        <v>495</v>
      </c>
      <c r="M231" s="63">
        <f t="array" ref="M231">_xll.GetPrice("FP-LBR-0461","Actual","Low",_SPECIFICvarPubDate)</f>
        <v>535</v>
      </c>
      <c r="N231" s="63">
        <f t="array" ref="N231">_xll.GetPrice("FP-LBR-0462","Actual","Low",_SPECIFICvarPubDate)</f>
        <v>455</v>
      </c>
      <c r="O231" s="63">
        <f t="array" ref="O231">_xll.GetPrice("FP-LBR-0463","Actual","Low",_SPECIFICvarPubDate)</f>
        <v>388</v>
      </c>
      <c r="P231" s="63">
        <f t="array" ref="P231">_xll.GetPrice("FP-LBR-0464","Actual","Low",_SPECIFICvarPubDate)</f>
        <v>410</v>
      </c>
      <c r="Q231" s="63">
        <f t="array" ref="Q231">_xll.GetPrice("FP-LBR-0465","Actual","Low",_SPECIFICvarPubDate)</f>
        <v>430</v>
      </c>
      <c r="T231" s="2"/>
      <c r="U231" s="2"/>
      <c r="V231" s="2"/>
      <c r="W231" s="2"/>
      <c r="X231" s="2"/>
      <c r="Y231" s="2"/>
      <c r="Z231" s="2"/>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Q231" s="52"/>
    </row>
    <row r="232" spans="1:69" customFormat="1" x14ac:dyDescent="0.2">
      <c r="A232" s="3"/>
      <c r="B232" s="3"/>
      <c r="C232" s="3"/>
      <c r="D232" s="3"/>
      <c r="E232" s="3"/>
      <c r="F232" s="3"/>
      <c r="G232" s="2"/>
      <c r="J232" s="24" t="s">
        <v>42</v>
      </c>
      <c r="K232" s="63">
        <f t="array" ref="K232">_xll.GetPrice("FP-LBR-0466","Actual","Low",_SPECIFICvarPubDate)</f>
        <v>375</v>
      </c>
      <c r="L232" s="63">
        <f t="array" ref="L232">_xll.GetPrice("FP-LBR-0467","Actual","Low",_SPECIFICvarPubDate)</f>
        <v>465</v>
      </c>
      <c r="M232" s="63">
        <f t="array" ref="M232">_xll.GetPrice("FP-LBR-0468","Actual","Low",_SPECIFICvarPubDate)</f>
        <v>560</v>
      </c>
      <c r="N232" s="63">
        <f t="array" ref="N232">_xll.GetPrice("FP-LBR-0469","Actual","Low",_SPECIFICvarPubDate)</f>
        <v>460</v>
      </c>
      <c r="O232" s="63">
        <f t="array" ref="O232">_xll.GetPrice("FP-LBR-0470","Actual","Low",_SPECIFICvarPubDate)</f>
        <v>720</v>
      </c>
      <c r="P232" s="63">
        <f t="array" ref="P232">_xll.GetPrice("FP-LBR-0471","Actual","Low",_SPECIFICvarPubDate)</f>
        <v>560</v>
      </c>
      <c r="Q232" s="63">
        <f t="array" ref="Q232">_xll.GetPrice("FP-LBR-0472","Actual","Low",_SPECIFICvarPubDate)</f>
        <v>655</v>
      </c>
      <c r="T232" s="3"/>
      <c r="U232" s="3"/>
      <c r="V232" s="2"/>
      <c r="W232" s="2"/>
      <c r="X232" s="2"/>
      <c r="Y232" s="2"/>
      <c r="Z232" s="2"/>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Q232" s="52"/>
    </row>
    <row r="233" spans="1:69" customFormat="1" x14ac:dyDescent="0.2">
      <c r="A233" s="34" t="s">
        <v>143</v>
      </c>
      <c r="B233" s="2"/>
      <c r="C233" s="2"/>
      <c r="D233" s="2"/>
      <c r="E233" s="2"/>
      <c r="F233" s="2"/>
      <c r="G233" s="2"/>
      <c r="J233" s="3"/>
      <c r="K233" s="35" t="s">
        <v>144</v>
      </c>
      <c r="L233" s="35" t="s">
        <v>145</v>
      </c>
      <c r="M233" s="7">
        <f t="array" ref="M233">_xll.GetPrice("FP-LBR-0510","Actual","Low",_SPECIFICvarPubDate)</f>
        <v>112</v>
      </c>
      <c r="N233" s="35" t="s">
        <v>39</v>
      </c>
      <c r="O233" s="7">
        <f t="array" ref="O233">_xll.GetPrice("FP-LBR-0511","Actual","Low",_SPECIFICvarPubDate)</f>
        <v>116</v>
      </c>
      <c r="P233" s="35" t="s">
        <v>40</v>
      </c>
      <c r="Q233" s="7">
        <f t="array" ref="Q233">_xll.GetPrice("FP-LBR-0512","Actual","Low",_SPECIFICvarPubDate)</f>
        <v>112</v>
      </c>
      <c r="R233" s="35" t="s">
        <v>41</v>
      </c>
      <c r="S233" s="7">
        <f t="array" ref="S233">_xll.GetPrice("FP-LBR-0513","Actual","Low",_SPECIFICvarPubDate)</f>
        <v>126</v>
      </c>
      <c r="T233" s="35" t="s">
        <v>42</v>
      </c>
      <c r="U233" s="7">
        <f t="array" ref="U233">_xll.GetPrice("FP-LBR-0514","Actual","Low",_SPECIFICvarPubDate)</f>
        <v>132</v>
      </c>
      <c r="V233" s="2"/>
      <c r="W233" s="2"/>
      <c r="X233" s="2"/>
      <c r="Y233" s="2"/>
      <c r="Z233" s="2"/>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Q233" s="52"/>
    </row>
    <row r="234" spans="1:69" customFormat="1" x14ac:dyDescent="0.2">
      <c r="A234" s="24" t="s">
        <v>146</v>
      </c>
      <c r="B234" s="19" t="s">
        <v>127</v>
      </c>
      <c r="C234" s="19" t="s">
        <v>128</v>
      </c>
      <c r="D234" s="19" t="s">
        <v>129</v>
      </c>
      <c r="E234" s="19" t="s">
        <v>130</v>
      </c>
      <c r="F234" s="19" t="s">
        <v>131</v>
      </c>
      <c r="G234" s="2"/>
      <c r="V234" s="2"/>
      <c r="W234" s="2"/>
      <c r="X234" s="2"/>
      <c r="Y234" s="2"/>
      <c r="Z234" s="2"/>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Q234" s="52"/>
    </row>
    <row r="235" spans="1:69" customFormat="1" x14ac:dyDescent="0.2">
      <c r="A235" s="24" t="s">
        <v>38</v>
      </c>
      <c r="B235" s="7">
        <f t="array" ref="B235">_xll.GetPrice("FP-LBR-1274","Actual","Low",_SPECIFICvarPubDate)</f>
        <v>520</v>
      </c>
      <c r="C235" s="7">
        <f t="array" ref="C235">_xll.GetPrice("FP-LBR-1275","Actual","Low",_SPECIFICvarPubDate)</f>
        <v>495</v>
      </c>
      <c r="D235" s="7">
        <f t="array" ref="D235">_xll.GetPrice("FP-LBR-1276","Actual","Low",_SPECIFICvarPubDate)</f>
        <v>520</v>
      </c>
      <c r="E235" s="7">
        <f t="array" ref="E235">_xll.GetPrice("FP-LBR-1277","Actual","Low",_SPECIFICvarPubDate)</f>
        <v>555</v>
      </c>
      <c r="F235" s="7">
        <f t="array" ref="F235">_xll.GetPrice("FP-LBR-1278","Actual","Low",_SPECIFICvarPubDate)</f>
        <v>660</v>
      </c>
      <c r="G235" s="2"/>
      <c r="J235" s="3"/>
      <c r="K235" s="3"/>
      <c r="L235" s="3"/>
      <c r="M235" s="3"/>
      <c r="N235" s="3"/>
      <c r="O235" s="3"/>
      <c r="P235" s="3"/>
      <c r="Q235" s="3"/>
      <c r="R235" s="3"/>
      <c r="S235" s="3"/>
      <c r="T235" s="3"/>
      <c r="U235" s="3"/>
      <c r="V235" s="2"/>
      <c r="W235" s="2"/>
      <c r="X235" s="2"/>
      <c r="Y235" s="2"/>
      <c r="Z235" s="2"/>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Q235" s="52"/>
    </row>
    <row r="236" spans="1:69" customFormat="1" x14ac:dyDescent="0.2">
      <c r="A236" s="24" t="s">
        <v>39</v>
      </c>
      <c r="B236" s="7">
        <f t="array" ref="B236">_xll.GetPrice("FP-LBR-1279","Actual","Low",_SPECIFICvarPubDate)</f>
        <v>530</v>
      </c>
      <c r="C236" s="7">
        <f t="array" ref="C236">_xll.GetPrice("FP-LBR-1280","Actual","Low",_SPECIFICvarPubDate)</f>
        <v>530</v>
      </c>
      <c r="D236" s="7">
        <f t="array" ref="D236">_xll.GetPrice("FP-LBR-1281","Actual","Low",_SPECIFICvarPubDate)</f>
        <v>510</v>
      </c>
      <c r="E236" s="7">
        <f t="array" ref="E236">_xll.GetPrice("FP-LBR-1282","Actual","Low",_SPECIFICvarPubDate)</f>
        <v>460</v>
      </c>
      <c r="F236" s="7">
        <f t="array" ref="F236">_xll.GetPrice("FP-LBR-1283","Actual","Low",_SPECIFICvarPubDate)</f>
        <v>530</v>
      </c>
      <c r="G236" s="2"/>
      <c r="J236" s="3"/>
      <c r="K236" s="3"/>
      <c r="L236" s="3"/>
      <c r="M236" s="3"/>
      <c r="N236" s="3"/>
      <c r="O236" s="3"/>
      <c r="P236" s="3"/>
      <c r="Q236" s="3"/>
      <c r="R236" s="3"/>
      <c r="S236" s="3"/>
      <c r="T236" s="3"/>
      <c r="U236" s="3"/>
      <c r="V236" s="2"/>
      <c r="W236" s="2"/>
      <c r="X236" s="2"/>
      <c r="Y236" s="2"/>
      <c r="Z236" s="2"/>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Q236" s="52"/>
    </row>
    <row r="237" spans="1:69" customFormat="1" x14ac:dyDescent="0.2">
      <c r="A237" s="24" t="s">
        <v>147</v>
      </c>
      <c r="B237" s="2"/>
      <c r="C237" s="2"/>
      <c r="D237" s="2"/>
      <c r="E237" s="2"/>
      <c r="F237" s="2"/>
      <c r="J237" s="17" t="s">
        <v>148</v>
      </c>
      <c r="K237" s="2"/>
      <c r="L237" s="2"/>
      <c r="M237" s="2"/>
      <c r="N237" s="2"/>
      <c r="O237" s="2"/>
      <c r="P237" s="2"/>
      <c r="Q237" s="2"/>
      <c r="R237" s="2"/>
      <c r="S237" s="2"/>
      <c r="T237" s="2"/>
      <c r="U237" s="2"/>
      <c r="V237" s="2"/>
      <c r="W237" s="2"/>
      <c r="X237" s="2"/>
      <c r="Y237" s="2"/>
      <c r="Z237" s="2"/>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Q237" s="52"/>
    </row>
    <row r="238" spans="1:69" customFormat="1" x14ac:dyDescent="0.2">
      <c r="A238" s="24" t="s">
        <v>38</v>
      </c>
      <c r="B238" s="7">
        <f t="array" ref="B238">_xll.GetPrice("FP-LBR-1284","Actual","Low",_SPECIFICvarPubDate)</f>
        <v>535</v>
      </c>
      <c r="C238" s="7">
        <f t="array" ref="C238">_xll.GetPrice("FP-LBR-1285","Actual","Low",_SPECIFICvarPubDate)</f>
        <v>520</v>
      </c>
      <c r="D238" s="7">
        <f t="array" ref="D238">_xll.GetPrice("FP-LBR-1286","Actual","Low",_SPECIFICvarPubDate)</f>
        <v>550</v>
      </c>
      <c r="E238" s="7">
        <f t="array" ref="E238">_xll.GetPrice("FP-LBR-1287","Actual","Low",_SPECIFICvarPubDate)</f>
        <v>575</v>
      </c>
      <c r="F238" s="7">
        <f t="array" ref="F238">_xll.GetPrice("FP-LBR-1288","Actual","Low",_SPECIFICvarPubDate)</f>
        <v>665</v>
      </c>
      <c r="J238" s="2"/>
      <c r="K238" s="19" t="s">
        <v>127</v>
      </c>
      <c r="L238" s="19" t="s">
        <v>128</v>
      </c>
      <c r="M238" s="19" t="s">
        <v>129</v>
      </c>
      <c r="N238" s="19" t="s">
        <v>130</v>
      </c>
      <c r="O238" s="19" t="s">
        <v>131</v>
      </c>
      <c r="P238" s="19" t="s">
        <v>132</v>
      </c>
      <c r="Q238" s="19" t="s">
        <v>133</v>
      </c>
      <c r="R238" s="19" t="s">
        <v>134</v>
      </c>
      <c r="S238" s="19" t="s">
        <v>135</v>
      </c>
      <c r="T238" s="19" t="s">
        <v>149</v>
      </c>
      <c r="U238" s="19" t="s">
        <v>150</v>
      </c>
      <c r="V238" s="2"/>
      <c r="W238" s="2"/>
      <c r="X238" s="2"/>
      <c r="Y238" s="2"/>
      <c r="Z238" s="2"/>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Q238" s="52"/>
    </row>
    <row r="239" spans="1:69" customFormat="1" x14ac:dyDescent="0.2">
      <c r="A239" s="24" t="s">
        <v>39</v>
      </c>
      <c r="B239" s="7">
        <f t="array" ref="B239">_xll.GetPrice("FP-LBR-1289","Actual","Low",_SPECIFICvarPubDate)</f>
        <v>535</v>
      </c>
      <c r="C239" s="7">
        <f t="array" ref="C239">_xll.GetPrice("FP-LBR-1290","Actual","Low",_SPECIFICvarPubDate)</f>
        <v>535</v>
      </c>
      <c r="D239" s="7">
        <f t="array" ref="D239">_xll.GetPrice("FP-LBR-1291","Actual","Low",_SPECIFICvarPubDate)</f>
        <v>520</v>
      </c>
      <c r="E239" s="7">
        <f t="array" ref="E239">_xll.GetPrice("FP-LBR-1292","Actual","Low",_SPECIFICvarPubDate)</f>
        <v>475</v>
      </c>
      <c r="F239" s="7">
        <f t="array" ref="F239">_xll.GetPrice("FP-LBR-1293","Actual","Low",_SPECIFICvarPubDate)</f>
        <v>510</v>
      </c>
      <c r="H239" s="19"/>
      <c r="J239" s="24" t="s">
        <v>36</v>
      </c>
      <c r="K239" s="7">
        <f t="array" ref="K239">_xll.GetPrice("FP-LBR-1338","Actual","Low",_SPECIFICvarPubDate)</f>
        <v>335</v>
      </c>
      <c r="L239" s="7">
        <f t="array" ref="L239">_xll.GetPrice("FP-LBR-1339","Actual","Low",_SPECIFICvarPubDate)</f>
        <v>405</v>
      </c>
      <c r="M239" s="7">
        <f t="array" ref="M239">_xll.GetPrice("FP-LBR-1340","Actual","Low",_SPECIFICvarPubDate)</f>
        <v>435</v>
      </c>
      <c r="N239" s="7">
        <f t="array" ref="N239">_xll.GetPrice("FP-LBR-1341","Actual","Low",_SPECIFICvarPubDate)</f>
        <v>450</v>
      </c>
      <c r="O239" s="7">
        <f t="array" ref="O239">_xll.GetPrice("FP-LBR-1342","Actual","Low",_SPECIFICvarPubDate)</f>
        <v>530</v>
      </c>
      <c r="P239" s="7">
        <f t="array" ref="P239">_xll.GetPrice("FP-LBR-1343","Actual","Low",_SPECIFICvarPubDate)</f>
        <v>485</v>
      </c>
      <c r="Q239" s="7">
        <f t="array" ref="Q239">_xll.GetPrice("FP-LBR-1344","Actual","Low",_SPECIFICvarPubDate)</f>
        <v>520</v>
      </c>
      <c r="R239" s="25" t="s">
        <v>37</v>
      </c>
      <c r="S239" s="25" t="s">
        <v>37</v>
      </c>
      <c r="T239" s="25" t="s">
        <v>37</v>
      </c>
      <c r="U239" s="25" t="s">
        <v>37</v>
      </c>
      <c r="V239" s="2"/>
      <c r="W239" s="2"/>
      <c r="X239" s="2"/>
      <c r="Y239" s="2"/>
      <c r="Z239" s="2"/>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Q239" s="52"/>
    </row>
    <row r="240" spans="1:69" customFormat="1" x14ac:dyDescent="0.2">
      <c r="A240" s="24" t="s">
        <v>151</v>
      </c>
      <c r="J240" s="24" t="s">
        <v>65</v>
      </c>
      <c r="K240" s="7">
        <f t="array" ref="K240">_xll.GetPrice("FP-LBR-1345","Actual","Low",_SPECIFICvarPubDate)</f>
        <v>280</v>
      </c>
      <c r="L240" s="7">
        <f t="array" ref="L240">_xll.GetPrice("FP-LBR-1346","Actual","Low",_SPECIFICvarPubDate)</f>
        <v>370</v>
      </c>
      <c r="M240" s="7">
        <f t="array" ref="M240">_xll.GetPrice("FP-LBR-1347","Actual","Low",_SPECIFICvarPubDate)</f>
        <v>360</v>
      </c>
      <c r="N240" s="7">
        <f t="array" ref="N240">_xll.GetPrice("FP-LBR-1348","Actual","Low",_SPECIFICvarPubDate)</f>
        <v>375</v>
      </c>
      <c r="O240" s="7">
        <f t="array" ref="O240">_xll.GetPrice("FP-LBR-1349","Actual","Low",_SPECIFICvarPubDate)</f>
        <v>500</v>
      </c>
      <c r="P240" s="7">
        <f t="array" ref="P240">_xll.GetPrice("FP-LBR-1350","Actual","Low",_SPECIFICvarPubDate)</f>
        <v>425</v>
      </c>
      <c r="Q240" s="7">
        <f t="array" ref="Q240">_xll.GetPrice("FP-LBR-1351","Actual","Low",_SPECIFICvarPubDate)</f>
        <v>495</v>
      </c>
      <c r="R240" s="7">
        <f t="array" ref="R240">_xll.GetPrice("FP-LBR-1352","Actual","Low",_SPECIFICvarPubDate)</f>
        <v>635</v>
      </c>
      <c r="S240" s="7">
        <f t="array" ref="S240">_xll.GetPrice("FP-LBR-1353","Actual","Low",_SPECIFICvarPubDate)</f>
        <v>630</v>
      </c>
      <c r="T240" s="7">
        <f t="array" ref="T240">_xll.GetPrice("FP-LBR-1354","Actual","Low",_SPECIFICvarPubDate)</f>
        <v>1485</v>
      </c>
      <c r="U240" s="7">
        <f t="array" ref="U240">_xll.GetPrice("FP-LBR-1355","Actual","Low",_SPECIFICvarPubDate)</f>
        <v>1525</v>
      </c>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Q240" s="52"/>
    </row>
    <row r="241" spans="1:69" customFormat="1" x14ac:dyDescent="0.2">
      <c r="A241" s="24" t="s">
        <v>152</v>
      </c>
      <c r="B241" s="7">
        <f t="array" ref="B241">_xll.GetPrice("FP-LBR-1294","Actual","Low",_SPECIFICvarPubDate)</f>
        <v>595</v>
      </c>
      <c r="C241" s="7">
        <f t="array" ref="C241">_xll.GetPrice("FP-LBR-1295","Actual","Low",_SPECIFICvarPubDate)</f>
        <v>585</v>
      </c>
      <c r="D241" s="7">
        <f t="array" ref="D241">_xll.GetPrice("FP-LBR-1296","Actual","Low",_SPECIFICvarPubDate)</f>
        <v>575</v>
      </c>
      <c r="E241" s="7">
        <f t="array" ref="E241">_xll.GetPrice("FP-LBR-1297","Actual","Low",_SPECIFICvarPubDate)</f>
        <v>640</v>
      </c>
      <c r="F241" s="7">
        <f t="array" ref="F241">_xll.GetPrice("FP-LBR-1298","Actual","Low",_SPECIFICvarPubDate)</f>
        <v>650</v>
      </c>
      <c r="G241" s="3"/>
      <c r="H241" s="3"/>
      <c r="I241" s="3"/>
      <c r="J241" s="24" t="s">
        <v>40</v>
      </c>
      <c r="K241" s="7">
        <f t="array" ref="K241">_xll.GetPrice("FP-LBR-1358","Actual","Low",_SPECIFICvarPubDate)</f>
        <v>335</v>
      </c>
      <c r="L241" s="7">
        <f t="array" ref="L241">_xll.GetPrice("FP-LBR-1359","Actual","Low",_SPECIFICvarPubDate)</f>
        <v>330</v>
      </c>
      <c r="M241" s="7">
        <f t="array" ref="M241">_xll.GetPrice("FP-LBR-1360","Actual","Low",_SPECIFICvarPubDate)</f>
        <v>395</v>
      </c>
      <c r="N241" s="7">
        <f t="array" ref="N241">_xll.GetPrice("FP-LBR-1361","Actual","Low",_SPECIFICvarPubDate)</f>
        <v>395</v>
      </c>
      <c r="O241" s="7">
        <f t="array" ref="O241">_xll.GetPrice("FP-LBR-1362","Actual","Low",_SPECIFICvarPubDate)</f>
        <v>500</v>
      </c>
      <c r="P241" s="7">
        <f t="array" ref="P241">_xll.GetPrice("FP-LBR-1363","Actual","Low",_SPECIFICvarPubDate)</f>
        <v>420</v>
      </c>
      <c r="Q241" s="7">
        <f t="array" ref="Q241">_xll.GetPrice("FP-LBR-1364","Actual","Low",_SPECIFICvarPubDate)</f>
        <v>490</v>
      </c>
      <c r="R241" s="7">
        <f t="array" ref="R241">_xll.GetPrice("FP-LBR-1365","Actual","Low",_SPECIFICvarPubDate)</f>
        <v>690</v>
      </c>
      <c r="S241" s="7">
        <f t="array" ref="S241">_xll.GetPrice("FP-LBR-1366","Actual","Low",_SPECIFICvarPubDate)</f>
        <v>700</v>
      </c>
      <c r="T241" s="7">
        <f t="array" ref="T241">_xll.GetPrice("FP-LBR-1367","Actual","Low",_SPECIFICvarPubDate)</f>
        <v>1025</v>
      </c>
      <c r="U241" s="7">
        <f t="array" ref="U241">_xll.GetPrice("FP-LBR-1369","Actual","Low",_SPECIFICvarPubDate)</f>
        <v>1555</v>
      </c>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Q241" s="52"/>
    </row>
    <row r="242" spans="1:69" customFormat="1" x14ac:dyDescent="0.2">
      <c r="A242" s="139" t="s">
        <v>38</v>
      </c>
      <c r="B242" s="7" t="str" cm="1">
        <f t="array" ref="B242">_xll.GetPrice("FP-LBR-2251","Actual","Low",_SPECIFICvarPubDate)</f>
        <v>#N/A No price available for Actual</v>
      </c>
      <c r="C242" s="7" t="str" cm="1">
        <f t="array" ref="C242">_xll.GetPrice("FP-LBR-2252","Actual","Low",_SPECIFICvarPubDate)</f>
        <v>#N/A No price available for Actual</v>
      </c>
      <c r="D242" s="7" t="str" cm="1">
        <f t="array" ref="D242">_xll.GetPrice("FP-LBR-2253","Actual","Low",_SPECIFICvarPubDate)</f>
        <v>#N/A No price available for Actual</v>
      </c>
      <c r="E242" s="7" t="str" cm="1">
        <f t="array" ref="E242">_xll.GetPrice("FP-LBR-2254","Actual","Low",_SPECIFICvarPubDate)</f>
        <v>#N/A No price available for Actual</v>
      </c>
      <c r="F242" s="7" t="str" cm="1">
        <f t="array" ref="F242">_xll.GetPrice("FP-LBR-2255","Actual","Low",_SPECIFICvarPubDate)</f>
        <v>#N/A No price available for Actual</v>
      </c>
      <c r="G242" s="3"/>
      <c r="H242" s="3"/>
      <c r="I242" s="3"/>
      <c r="J242" s="24" t="s">
        <v>41</v>
      </c>
      <c r="K242" s="7">
        <f t="array" ref="K242">_xll.GetPrice("FP-LBR-1371","Actual","Low",_SPECIFICvarPubDate)</f>
        <v>310</v>
      </c>
      <c r="L242" s="7">
        <f t="array" ref="L242">_xll.GetPrice("FP-LBR-1372","Actual","Low",_SPECIFICvarPubDate)</f>
        <v>400</v>
      </c>
      <c r="M242" s="7">
        <f t="array" ref="M242">_xll.GetPrice("FP-LBR-1373","Actual","Low",_SPECIFICvarPubDate)</f>
        <v>525</v>
      </c>
      <c r="N242" s="7">
        <f t="array" ref="N242">_xll.GetPrice("FP-LBR-1374","Actual","Low",_SPECIFICvarPubDate)</f>
        <v>610</v>
      </c>
      <c r="O242" s="7">
        <f t="array" ref="O242">_xll.GetPrice("FP-LBR-1375","Actual","Low",_SPECIFICvarPubDate)</f>
        <v>625</v>
      </c>
      <c r="P242" s="7">
        <f t="array" ref="P242">_xll.GetPrice("FP-LBR-1376","Actual","Low",_SPECIFICvarPubDate)</f>
        <v>580</v>
      </c>
      <c r="Q242" s="7">
        <f t="array" ref="Q242">_xll.GetPrice("FP-LBR-1377","Actual","Low",_SPECIFICvarPubDate)</f>
        <v>580</v>
      </c>
      <c r="R242" s="7">
        <f t="array" ref="R242">_xll.GetPrice("FP-LBR-1378","Actual","Low",_SPECIFICvarPubDate)</f>
        <v>650</v>
      </c>
      <c r="S242" s="7">
        <f t="array" ref="S242">_xll.GetPrice("FP-LBR-1379","Actual","Low",_SPECIFICvarPubDate)</f>
        <v>640</v>
      </c>
      <c r="T242" s="7">
        <f t="array" ref="T242">_xll.GetPrice("FP-LBR-1381","Actual","Low",_SPECIFICvarPubDate)</f>
        <v>1090</v>
      </c>
      <c r="U242" s="7">
        <f t="array" ref="U242">_xll.GetPrice("FP-LBR-1382","Actual","Low",_SPECIFICvarPubDate)</f>
        <v>1525</v>
      </c>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Q242" s="52"/>
    </row>
    <row r="243" spans="1:69" customFormat="1" x14ac:dyDescent="0.2">
      <c r="A243" s="139" t="s">
        <v>65</v>
      </c>
      <c r="B243" s="7" t="str" cm="1">
        <f t="array" ref="B243">_xll.GetPrice("FP-LBR-2256","Actual","Low",_SPECIFICvarPubDate)</f>
        <v>#N/A No price available for Actual</v>
      </c>
      <c r="C243" s="7" t="str" cm="1">
        <f t="array" ref="C243">_xll.GetPrice("FP-LBR-2257","Actual","Low",_SPECIFICvarPubDate)</f>
        <v>#N/A No price available for Actual</v>
      </c>
      <c r="D243" s="7" t="str" cm="1">
        <f t="array" ref="D243">_xll.GetPrice("FP-LBR-2258","Actual","Low",_SPECIFICvarPubDate)</f>
        <v>#N/A No price available for Actual</v>
      </c>
      <c r="E243" s="7" t="str" cm="1">
        <f t="array" ref="E243">_xll.GetPrice("FP-LBR-2259","Actual","Low",_SPECIFICvarPubDate)</f>
        <v>#N/A No price available for Actual</v>
      </c>
      <c r="F243" s="7" t="str" cm="1">
        <f t="array" ref="F243">_xll.GetPrice("FP-LBR-2260","Actual","Low",_SPECIFICvarPubDate)</f>
        <v>#N/A No price available for Actual</v>
      </c>
      <c r="G243" s="3"/>
      <c r="H243" s="3"/>
      <c r="I243" s="3"/>
      <c r="J243" s="24" t="s">
        <v>42</v>
      </c>
      <c r="K243" s="7">
        <f t="array" ref="K243">_xll.GetPrice("FP-LBR-1384","Actual","Low",_SPECIFICvarPubDate)</f>
        <v>280</v>
      </c>
      <c r="L243" s="7">
        <f t="array" ref="L243">_xll.GetPrice("FP-LBR-1385","Actual","Low",_SPECIFICvarPubDate)</f>
        <v>460</v>
      </c>
      <c r="M243" s="7">
        <f t="array" ref="M243">_xll.GetPrice("FP-LBR-1386","Actual","Low",_SPECIFICvarPubDate)</f>
        <v>500</v>
      </c>
      <c r="N243" s="7">
        <f t="array" ref="N243">_xll.GetPrice("FP-LBR-1387","Actual","Low",_SPECIFICvarPubDate)</f>
        <v>500</v>
      </c>
      <c r="O243" s="7">
        <f t="array" ref="O243">_xll.GetPrice("FP-LBR-1388","Actual","Low",_SPECIFICvarPubDate)</f>
        <v>610</v>
      </c>
      <c r="P243" s="7">
        <f t="array" ref="P243">_xll.GetPrice("FP-LBR-1389","Actual","Low",_SPECIFICvarPubDate)</f>
        <v>530</v>
      </c>
      <c r="Q243" s="7">
        <f t="array" ref="Q243">_xll.GetPrice("FP-LBR-1390","Actual","Low",_SPECIFICvarPubDate)</f>
        <v>710</v>
      </c>
      <c r="R243" s="7">
        <f t="array" ref="R243">_xll.GetPrice("FP-LBR-1391","Actual","Low",_SPECIFICvarPubDate)</f>
        <v>975</v>
      </c>
      <c r="S243" s="7">
        <f t="array" ref="S243">_xll.GetPrice("FP-LBR-1356","Actual","Low",_SPECIFICvarPubDate)</f>
        <v>965</v>
      </c>
      <c r="T243" s="7">
        <f t="array" ref="T243">_xll.GetPrice("FP-LBR-1368","Actual","Low",_SPECIFICvarPubDate)</f>
        <v>1865</v>
      </c>
      <c r="U243" s="7">
        <f t="array" ref="U243">_xll.GetPrice("FP-LBR-1380","Actual","Low",_SPECIFICvarPubDate)</f>
        <v>1890</v>
      </c>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Q243" s="52"/>
    </row>
    <row r="244" spans="1:69" customFormat="1" x14ac:dyDescent="0.2">
      <c r="A244" s="3"/>
      <c r="B244" s="3"/>
      <c r="C244" s="3"/>
      <c r="D244" s="3"/>
      <c r="E244" s="3"/>
      <c r="F244" s="3"/>
      <c r="G244" s="3"/>
      <c r="H244" s="3"/>
      <c r="I244" s="3"/>
      <c r="J244" s="35" t="s">
        <v>153</v>
      </c>
      <c r="K244" s="35" t="s">
        <v>39</v>
      </c>
      <c r="L244" s="7">
        <f t="array" ref="L244">_xll.GetPrice("FP-LBR-1357","Actual","Low",_SPECIFICvarPubDate)</f>
        <v>635</v>
      </c>
      <c r="M244" s="35" t="s">
        <v>40</v>
      </c>
      <c r="N244" s="7">
        <f t="array" ref="N244">_xll.GetPrice("FP-LBR-1370","Actual","Low",_SPECIFICvarPubDate)</f>
        <v>695</v>
      </c>
      <c r="O244" s="35" t="s">
        <v>41</v>
      </c>
      <c r="P244" s="7">
        <f t="array" ref="P244">_xll.GetPrice("FP-LBR-1383","Actual","Low",_SPECIFICvarPubDate)</f>
        <v>645</v>
      </c>
      <c r="Q244" s="35" t="s">
        <v>42</v>
      </c>
      <c r="R244" s="7">
        <f t="array" ref="R244">_xll.GetPrice("FP-LBR-1392","Actual","Low",_SPECIFICvarPubDate)</f>
        <v>970</v>
      </c>
      <c r="S244" s="3"/>
      <c r="T244" s="3"/>
      <c r="U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Q244" s="52"/>
    </row>
    <row r="245" spans="1:69" customFormat="1" x14ac:dyDescent="0.2">
      <c r="A245" s="17" t="s">
        <v>154</v>
      </c>
      <c r="B245" s="2"/>
      <c r="C245" s="2"/>
      <c r="D245" s="2"/>
      <c r="E245" s="2"/>
      <c r="F245" s="2"/>
      <c r="G245" s="2"/>
      <c r="H245" s="2"/>
      <c r="I245" s="2"/>
      <c r="J245" s="2"/>
      <c r="K245" s="2"/>
      <c r="L245" s="2"/>
      <c r="M245" s="2"/>
      <c r="N245" s="2"/>
      <c r="O245" s="2"/>
      <c r="P245" s="2"/>
      <c r="Q245" s="2"/>
      <c r="R245" s="2"/>
      <c r="S245" s="2"/>
      <c r="T245" s="2"/>
      <c r="U245" s="2"/>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Q245" s="52"/>
    </row>
    <row r="246" spans="1:69" customFormat="1" x14ac:dyDescent="0.2">
      <c r="A246" s="2"/>
      <c r="B246" s="36" t="s">
        <v>155</v>
      </c>
      <c r="C246" s="2"/>
      <c r="D246" s="2"/>
      <c r="E246" s="2"/>
      <c r="F246" s="2"/>
      <c r="G246" s="36" t="s">
        <v>156</v>
      </c>
      <c r="H246" s="2"/>
      <c r="I246" s="2"/>
      <c r="J246" s="2"/>
      <c r="K246" s="36" t="s">
        <v>157</v>
      </c>
      <c r="L246" s="2"/>
      <c r="M246" s="2"/>
      <c r="N246" s="2"/>
      <c r="O246" s="2"/>
      <c r="P246" s="2"/>
      <c r="Q246" s="2"/>
      <c r="R246" s="2"/>
      <c r="S246" s="2"/>
      <c r="T246" s="2"/>
      <c r="U246" s="2"/>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row>
    <row r="247" spans="1:69" customFormat="1" x14ac:dyDescent="0.2">
      <c r="A247" s="2"/>
      <c r="B247" s="22" t="s">
        <v>23</v>
      </c>
      <c r="C247" s="22" t="s">
        <v>89</v>
      </c>
      <c r="D247" s="22" t="s">
        <v>158</v>
      </c>
      <c r="E247" s="15"/>
      <c r="F247" s="22" t="s">
        <v>13</v>
      </c>
      <c r="G247" s="22" t="s">
        <v>159</v>
      </c>
      <c r="H247" s="22" t="s">
        <v>89</v>
      </c>
      <c r="I247" s="22" t="s">
        <v>158</v>
      </c>
      <c r="J247" s="22" t="s">
        <v>13</v>
      </c>
      <c r="K247" s="22" t="s">
        <v>23</v>
      </c>
      <c r="L247" s="22" t="s">
        <v>89</v>
      </c>
      <c r="M247" s="22" t="s">
        <v>160</v>
      </c>
      <c r="N247" s="37"/>
      <c r="O247" s="22" t="s">
        <v>13</v>
      </c>
      <c r="P247" s="2"/>
      <c r="Q247" s="2"/>
      <c r="R247" s="2"/>
      <c r="S247" s="2"/>
      <c r="T247" s="2"/>
      <c r="U247" s="2"/>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row>
    <row r="248" spans="1:69" customFormat="1" x14ac:dyDescent="0.2">
      <c r="A248" s="2"/>
      <c r="B248" s="22" t="s">
        <v>73</v>
      </c>
      <c r="C248" s="22" t="s">
        <v>93</v>
      </c>
      <c r="D248" s="22" t="s">
        <v>26</v>
      </c>
      <c r="E248" s="22" t="s">
        <v>28</v>
      </c>
      <c r="F248" s="22" t="s">
        <v>161</v>
      </c>
      <c r="G248" s="22" t="s">
        <v>73</v>
      </c>
      <c r="H248" s="22" t="s">
        <v>93</v>
      </c>
      <c r="I248" s="22" t="s">
        <v>26</v>
      </c>
      <c r="J248" s="38" t="s">
        <v>161</v>
      </c>
      <c r="K248" s="22" t="s">
        <v>162</v>
      </c>
      <c r="L248" s="22" t="s">
        <v>93</v>
      </c>
      <c r="M248" s="22" t="s">
        <v>26</v>
      </c>
      <c r="N248" s="22" t="s">
        <v>28</v>
      </c>
      <c r="O248" s="22" t="s">
        <v>161</v>
      </c>
      <c r="T248" s="2"/>
      <c r="U248" s="2"/>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O248" s="52"/>
      <c r="BP248" s="52"/>
      <c r="BQ248" s="52"/>
    </row>
    <row r="249" spans="1:69" customFormat="1" x14ac:dyDescent="0.2">
      <c r="A249" s="24" t="s">
        <v>163</v>
      </c>
      <c r="B249" s="25" t="s">
        <v>37</v>
      </c>
      <c r="C249" s="7">
        <f t="array" ref="C249">_xll.GetPrice("FP-LBR-1843","Actual","Low",_SPECIFICvarPubDate)</f>
        <v>415</v>
      </c>
      <c r="D249" s="63">
        <f t="array" ref="D249">_xll.GetPrice("FP-LBR-0525","Actual","Low",_SPECIFICvarPubDate)</f>
        <v>633</v>
      </c>
      <c r="E249" s="7">
        <f t="array" ref="E249">_xll.GetPrice("FP-LBR-1870","Actual","Low",_SPECIFICvarPubDate)</f>
        <v>624</v>
      </c>
      <c r="F249" s="25" t="s">
        <v>37</v>
      </c>
      <c r="G249" s="25" t="s">
        <v>37</v>
      </c>
      <c r="H249" s="7">
        <f t="array" ref="H249">_xll.GetPrice("FP-LBR-1898","Actual","Low",_SPECIFICvarPubDate)</f>
        <v>370</v>
      </c>
      <c r="I249" s="7">
        <f t="array" ref="I249">_xll.GetPrice("FP-LBR-0528","Actual","Low",_SPECIFICvarPubDate)</f>
        <v>593</v>
      </c>
      <c r="J249" s="25" t="s">
        <v>37</v>
      </c>
      <c r="K249" s="25" t="s">
        <v>37</v>
      </c>
      <c r="L249" s="25" t="s">
        <v>37</v>
      </c>
      <c r="M249" s="7">
        <f t="array" ref="M249">_xll.GetPrice("FP-LBR-0546","Actual","Low",_SPECIFICvarPubDate)</f>
        <v>505</v>
      </c>
      <c r="N249" s="7">
        <f t="array" ref="N249">_xll.GetPrice("FP-LBR-1963","Actual","Low",_SPECIFICvarPubDate)</f>
        <v>534</v>
      </c>
      <c r="O249" s="25" t="s">
        <v>37</v>
      </c>
      <c r="T249" s="2"/>
      <c r="U249" s="2"/>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O249" s="52"/>
      <c r="BP249" s="52"/>
      <c r="BQ249" s="52"/>
    </row>
    <row r="250" spans="1:69" customFormat="1" x14ac:dyDescent="0.2">
      <c r="A250" s="24" t="s">
        <v>164</v>
      </c>
      <c r="B250" s="25" t="s">
        <v>37</v>
      </c>
      <c r="C250" s="7">
        <f t="array" ref="C250">_xll.GetPrice("FP-LBR-1844","Actual","Low",_SPECIFICvarPubDate)</f>
        <v>394</v>
      </c>
      <c r="D250" s="63">
        <f t="array" ref="D250">_xll.GetPrice("FP-LBR-1850","Actual","Low",_SPECIFICvarPubDate)</f>
        <v>634</v>
      </c>
      <c r="E250" s="7">
        <f t="array" ref="E250">_xll.GetPrice("FP-LBR-1871","Actual","Low",_SPECIFICvarPubDate)</f>
        <v>645</v>
      </c>
      <c r="F250" s="7">
        <f t="array" ref="F250">_xll.GetPrice("FP-LBR-1882","Actual","Low",_SPECIFICvarPubDate)</f>
        <v>590</v>
      </c>
      <c r="G250" s="25" t="s">
        <v>37</v>
      </c>
      <c r="H250" s="7">
        <f t="array" ref="H250">_xll.GetPrice("FP-LBR-1899","Actual","Low",_SPECIFICvarPubDate)</f>
        <v>329</v>
      </c>
      <c r="I250" s="7">
        <f t="array" ref="I250">_xll.GetPrice("FP-LBR-1908","Actual","Low",_SPECIFICvarPubDate)</f>
        <v>594</v>
      </c>
      <c r="J250" s="7">
        <f t="array" ref="J250">_xll.GetPrice("FP-LBR-1927","Actual","Low",_SPECIFICvarPubDate)</f>
        <v>720</v>
      </c>
      <c r="K250" s="25" t="s">
        <v>37</v>
      </c>
      <c r="L250" s="7">
        <f t="array" ref="L250">_xll.GetPrice("FP-LBR-1939","Actual","Low",_SPECIFICvarPubDate)</f>
        <v>425</v>
      </c>
      <c r="M250" s="7">
        <f t="array" ref="M250">_xll.GetPrice("FP-LBR-1944","Actual","Low",_SPECIFICvarPubDate)</f>
        <v>506</v>
      </c>
      <c r="N250" s="7">
        <f t="array" ref="N250">_xll.GetPrice("FP-LBR-1964","Actual","Low",_SPECIFICvarPubDate)</f>
        <v>555</v>
      </c>
      <c r="O250" s="25" t="s">
        <v>37</v>
      </c>
      <c r="T250" s="2"/>
      <c r="U250" s="2"/>
      <c r="V250" s="2"/>
      <c r="W250" s="2"/>
      <c r="X250" s="2"/>
      <c r="Y250" s="2"/>
      <c r="Z250" s="2"/>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O250" s="52"/>
      <c r="BP250" s="52"/>
      <c r="BQ250" s="52"/>
    </row>
    <row r="251" spans="1:69" customFormat="1" x14ac:dyDescent="0.2">
      <c r="A251" s="24" t="s">
        <v>165</v>
      </c>
      <c r="B251" s="7">
        <f t="array" ref="B251">_xll.GetPrice("FP-LBR-1835","Actual","Low",_SPECIFICvarPubDate)</f>
        <v>581</v>
      </c>
      <c r="C251" s="7">
        <f t="array" ref="C251">_xll.GetPrice("FP-LBR-1845","Actual","Low",_SPECIFICvarPubDate)</f>
        <v>402</v>
      </c>
      <c r="D251" s="7">
        <f t="array" ref="D251">_xll.GetPrice("FP-LBR-1851","Actual","Low",_SPECIFICvarPubDate)</f>
        <v>639</v>
      </c>
      <c r="E251" s="7">
        <f t="array" ref="E251">_xll.GetPrice("FP-LBR-1872","Actual","Low",_SPECIFICvarPubDate)</f>
        <v>646</v>
      </c>
      <c r="F251" s="25" t="s">
        <v>37</v>
      </c>
      <c r="G251" s="7">
        <f t="array" ref="G251">_xll.GetPrice("FP-LBR-1889","Actual","Low",_SPECIFICvarPubDate)</f>
        <v>519</v>
      </c>
      <c r="H251" s="7">
        <f t="array" ref="H251">_xll.GetPrice("FP-LBR-1900","Actual","Low",_SPECIFICvarPubDate)</f>
        <v>337</v>
      </c>
      <c r="I251" s="7">
        <f t="array" ref="I251">_xll.GetPrice("FP-LBR-1909","Actual","Low",_SPECIFICvarPubDate)</f>
        <v>601</v>
      </c>
      <c r="J251" s="25" t="s">
        <v>37</v>
      </c>
      <c r="K251" s="7">
        <f t="array" ref="K251">_xll.GetPrice("FP-LBR-1934","Actual","Low",_SPECIFICvarPubDate)</f>
        <v>479</v>
      </c>
      <c r="L251" s="7">
        <f t="array" ref="L251">_xll.GetPrice("FP-LBR-1940","Actual","Low",_SPECIFICvarPubDate)</f>
        <v>433</v>
      </c>
      <c r="M251" s="7">
        <f t="array" ref="M251">_xll.GetPrice("FP-LBR-1945","Actual","Low",_SPECIFICvarPubDate)</f>
        <v>511</v>
      </c>
      <c r="N251" s="7">
        <f t="array" ref="N251">_xll.GetPrice("FP-LBR-1965","Actual","Low",_SPECIFICvarPubDate)</f>
        <v>556</v>
      </c>
      <c r="O251" s="25" t="s">
        <v>37</v>
      </c>
      <c r="T251" s="2"/>
      <c r="U251" s="2"/>
      <c r="V251" s="2"/>
      <c r="W251" s="2"/>
      <c r="X251" s="2"/>
      <c r="Y251" s="2"/>
      <c r="Z251" s="2"/>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O251" s="52"/>
      <c r="BP251" s="52"/>
      <c r="BQ251" s="52"/>
    </row>
    <row r="252" spans="1:69" customFormat="1" x14ac:dyDescent="0.2">
      <c r="A252" s="24" t="s">
        <v>166</v>
      </c>
      <c r="B252" s="7">
        <f t="array" ref="B252">_xll.GetPrice("FP-LBR-1836","Actual","Low",_SPECIFICvarPubDate)</f>
        <v>585</v>
      </c>
      <c r="C252" s="25" t="s">
        <v>37</v>
      </c>
      <c r="D252" s="7">
        <f t="array" ref="D252">_xll.GetPrice("FP-LBR-1852","Actual","Low",_SPECIFICvarPubDate)</f>
        <v>600</v>
      </c>
      <c r="E252" s="7">
        <f t="array" ref="E252">_xll.GetPrice("FP-LBR-1873","Actual","Low",_SPECIFICvarPubDate)</f>
        <v>599</v>
      </c>
      <c r="F252" s="25" t="s">
        <v>37</v>
      </c>
      <c r="G252" s="7">
        <f t="array" ref="G252">_xll.GetPrice("FP-LBR-1890","Actual","Low",_SPECIFICvarPubDate)</f>
        <v>523</v>
      </c>
      <c r="H252" s="25" t="s">
        <v>37</v>
      </c>
      <c r="I252" s="7">
        <f t="array" ref="I252">_xll.GetPrice("FP-LBR-1910","Actual","Low",_SPECIFICvarPubDate)</f>
        <v>556</v>
      </c>
      <c r="J252" s="25" t="s">
        <v>37</v>
      </c>
      <c r="K252" s="7">
        <f t="array" ref="K252">_xll.GetPrice("FP-LBR-1935","Actual","Low",_SPECIFICvarPubDate)</f>
        <v>483</v>
      </c>
      <c r="L252" s="25" t="s">
        <v>37</v>
      </c>
      <c r="M252" s="7">
        <f t="array" ref="M252">_xll.GetPrice("FP-LBR-1946","Actual","Low",_SPECIFICvarPubDate)</f>
        <v>472</v>
      </c>
      <c r="N252" s="7">
        <f t="array" ref="N252">_xll.GetPrice("FP-LBR-1966","Actual","Low",_SPECIFICvarPubDate)</f>
        <v>509</v>
      </c>
      <c r="O252" s="25" t="s">
        <v>37</v>
      </c>
      <c r="T252" s="2"/>
      <c r="U252" s="2"/>
      <c r="V252" s="2"/>
      <c r="W252" s="2"/>
      <c r="X252" s="2"/>
      <c r="Y252" s="2"/>
      <c r="Z252" s="2"/>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O252" s="52"/>
      <c r="BP252" s="52"/>
      <c r="BQ252" s="52"/>
    </row>
    <row r="253" spans="1:69" customFormat="1" x14ac:dyDescent="0.2">
      <c r="A253" s="24" t="s">
        <v>167</v>
      </c>
      <c r="B253" s="7">
        <f t="array" ref="B253">_xll.GetPrice("FP-LBR-1837","Actual","Low",_SPECIFICvarPubDate)</f>
        <v>563</v>
      </c>
      <c r="C253" s="25" t="s">
        <v>37</v>
      </c>
      <c r="D253" s="63">
        <f t="array" ref="D253">_xll.GetPrice("FP-LBR-0515","Actual","Low",_SPECIFICvarPubDate)</f>
        <v>610</v>
      </c>
      <c r="E253" s="7">
        <f t="array" ref="E253">_xll.GetPrice("FP-LBR-1874","Actual","Low",_SPECIFICvarPubDate)</f>
        <v>609</v>
      </c>
      <c r="F253" s="7">
        <f t="array" ref="F253">_xll.GetPrice("FP-LBR-1883","Actual","Low",_SPECIFICvarPubDate)</f>
        <v>563</v>
      </c>
      <c r="G253" s="7">
        <f t="array" ref="G253">_xll.GetPrice("FP-LBR-1891","Actual","Low",_SPECIFICvarPubDate)</f>
        <v>498</v>
      </c>
      <c r="H253" s="7">
        <f t="array" ref="H253">_xll.GetPrice("FP-LBR-1901","Actual","Low",_SPECIFICvarPubDate)</f>
        <v>317</v>
      </c>
      <c r="I253" s="7">
        <f t="array" ref="I253">_xll.GetPrice("FP-LBR-0518","Actual","Low",_SPECIFICvarPubDate)</f>
        <v>569</v>
      </c>
      <c r="J253" s="7">
        <f t="array" ref="J253">_xll.GetPrice("FP-LBR-1928","Actual","Low",_SPECIFICvarPubDate)</f>
        <v>693</v>
      </c>
      <c r="K253" s="7">
        <f t="array" ref="K253">_xll.GetPrice("FP-LBR-1936","Actual","Low",_SPECIFICvarPubDate)</f>
        <v>461</v>
      </c>
      <c r="L253" s="25" t="s">
        <v>37</v>
      </c>
      <c r="M253" s="7">
        <f t="array" ref="M253">_xll.GetPrice("FP-LBR-0536","Actual","Low",_SPECIFICvarPubDate)</f>
        <v>482</v>
      </c>
      <c r="N253" s="7">
        <f t="array" ref="N253">_xll.GetPrice("FP-LBR-1967","Actual","Low",_SPECIFICvarPubDate)</f>
        <v>519</v>
      </c>
      <c r="O253" s="7">
        <f t="array" ref="O253">_xll.GetPrice("FP-LBR-1975","Actual","Low",_SPECIFICvarPubDate)</f>
        <v>473</v>
      </c>
      <c r="T253" s="2"/>
      <c r="U253" s="2"/>
      <c r="V253" s="2"/>
      <c r="W253" s="2"/>
      <c r="X253" s="2"/>
      <c r="Y253" s="2"/>
      <c r="Z253" s="2"/>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52"/>
      <c r="BB253" s="52"/>
      <c r="BC253" s="52"/>
      <c r="BD253" s="52"/>
      <c r="BE253" s="52"/>
      <c r="BF253" s="52"/>
      <c r="BG253" s="52"/>
      <c r="BH253" s="52"/>
      <c r="BI253" s="52"/>
      <c r="BJ253" s="52"/>
      <c r="BK253" s="52"/>
      <c r="BL253" s="52"/>
      <c r="BM253" s="52"/>
      <c r="BN253" s="52"/>
      <c r="BO253" s="52"/>
      <c r="BP253" s="52"/>
      <c r="BQ253" s="52"/>
    </row>
    <row r="254" spans="1:69" customFormat="1" x14ac:dyDescent="0.2">
      <c r="A254" s="24" t="s">
        <v>168</v>
      </c>
      <c r="B254" s="7">
        <f t="array" ref="B254">_xll.GetPrice("FP-LBR-1838","Actual","Low",_SPECIFICvarPubDate)</f>
        <v>564</v>
      </c>
      <c r="C254" s="7">
        <f t="array" ref="C254">_xll.GetPrice("FP-LBR-1846","Actual","Low",_SPECIFICvarPubDate)</f>
        <v>407</v>
      </c>
      <c r="D254" s="63">
        <f t="array" ref="D254">_xll.GetPrice("FP-LBR-1853","Actual","Low",_SPECIFICvarPubDate)</f>
        <v>616</v>
      </c>
      <c r="E254" s="25" t="s">
        <v>37</v>
      </c>
      <c r="F254" s="7">
        <f t="array" ref="F254">_xll.GetPrice("FP-LBR-1884","Actual","Low",_SPECIFICvarPubDate)</f>
        <v>577</v>
      </c>
      <c r="G254" s="7">
        <f t="array" ref="G254">_xll.GetPrice("FP-LBR-1892","Actual","Low",_SPECIFICvarPubDate)</f>
        <v>499</v>
      </c>
      <c r="H254" s="7">
        <f t="array" ref="H254">_xll.GetPrice("FP-LBR-1902","Actual","Low",_SPECIFICvarPubDate)</f>
        <v>342</v>
      </c>
      <c r="I254" s="7">
        <f t="array" ref="I254">_xll.GetPrice("FP-LBR-1911","Actual","Low",_SPECIFICvarPubDate)</f>
        <v>576</v>
      </c>
      <c r="J254" s="7">
        <f t="array" ref="J254">_xll.GetPrice("FP-LBR-1929","Actual","Low",_SPECIFICvarPubDate)</f>
        <v>707</v>
      </c>
      <c r="K254" s="7">
        <f t="array" ref="K254">_xll.GetPrice("FP-LBR-1937","Actual","Low",_SPECIFICvarPubDate)</f>
        <v>462</v>
      </c>
      <c r="L254" s="7">
        <f t="array" ref="L254">_xll.GetPrice("FP-LBR-1941","Actual","Low",_SPECIFICvarPubDate)</f>
        <v>438</v>
      </c>
      <c r="M254" s="7">
        <f t="array" ref="M254">_xll.GetPrice("FP-LBR-1947","Actual","Low",_SPECIFICvarPubDate)</f>
        <v>488</v>
      </c>
      <c r="N254" s="25" t="s">
        <v>37</v>
      </c>
      <c r="O254" s="7">
        <f t="array" ref="O254">_xll.GetPrice("FP-LBR-1976","Actual","Low",_SPECIFICvarPubDate)</f>
        <v>487</v>
      </c>
      <c r="T254" s="2"/>
      <c r="U254" s="2"/>
      <c r="V254" s="2"/>
      <c r="W254" s="2"/>
      <c r="X254" s="2"/>
      <c r="Y254" s="2"/>
      <c r="Z254" s="2"/>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52"/>
      <c r="BB254" s="52"/>
      <c r="BC254" s="52"/>
      <c r="BD254" s="52"/>
      <c r="BE254" s="52"/>
      <c r="BF254" s="52"/>
      <c r="BG254" s="52"/>
      <c r="BH254" s="52"/>
      <c r="BI254" s="52"/>
      <c r="BJ254" s="52"/>
      <c r="BK254" s="52"/>
      <c r="BL254" s="52"/>
      <c r="BM254" s="52"/>
      <c r="BN254" s="52"/>
      <c r="BO254" s="52"/>
      <c r="BP254" s="52"/>
      <c r="BQ254" s="52"/>
    </row>
    <row r="255" spans="1:69" customFormat="1" x14ac:dyDescent="0.2">
      <c r="A255" s="24" t="s">
        <v>169</v>
      </c>
      <c r="B255" s="7">
        <f t="array" ref="B255">_xll.GetPrice("FP-LBR-1839","Actual","Low",_SPECIFICvarPubDate)</f>
        <v>562</v>
      </c>
      <c r="C255" s="25" t="s">
        <v>37</v>
      </c>
      <c r="D255" s="63">
        <f t="array" ref="D255">_xll.GetPrice("FP-LBR-1854","Actual","Low",_SPECIFICvarPubDate)</f>
        <v>599</v>
      </c>
      <c r="E255" s="25" t="s">
        <v>37</v>
      </c>
      <c r="F255" s="25" t="s">
        <v>37</v>
      </c>
      <c r="G255" s="7">
        <f t="array" ref="G255">_xll.GetPrice("FP-LBR-1893","Actual","Low",_SPECIFICvarPubDate)</f>
        <v>495</v>
      </c>
      <c r="H255" s="25" t="s">
        <v>37</v>
      </c>
      <c r="I255" s="7">
        <f t="array" ref="I255">_xll.GetPrice("FP-LBR-1912","Actual","Low",_SPECIFICvarPubDate)</f>
        <v>554</v>
      </c>
      <c r="J255" s="25" t="s">
        <v>37</v>
      </c>
      <c r="K255" s="7">
        <f t="array" ref="K255">_xll.GetPrice("FP-LBR-1938","Actual","Low",_SPECIFICvarPubDate)</f>
        <v>460</v>
      </c>
      <c r="L255" s="25" t="s">
        <v>37</v>
      </c>
      <c r="M255" s="7">
        <f t="array" ref="M255">_xll.GetPrice("FP-LBR-1948","Actual","Low",_SPECIFICvarPubDate)</f>
        <v>471</v>
      </c>
      <c r="N255" s="25" t="s">
        <v>37</v>
      </c>
      <c r="O255" s="25" t="s">
        <v>37</v>
      </c>
      <c r="T255" s="2"/>
      <c r="U255" s="2"/>
      <c r="V255" s="2"/>
      <c r="W255" s="2"/>
      <c r="X255" s="2"/>
      <c r="Y255" s="2"/>
      <c r="Z255" s="2"/>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52"/>
      <c r="BB255" s="52"/>
      <c r="BC255" s="52"/>
      <c r="BD255" s="52"/>
      <c r="BE255" s="52"/>
      <c r="BF255" s="52"/>
      <c r="BG255" s="52"/>
      <c r="BH255" s="52"/>
      <c r="BI255" s="52"/>
      <c r="BJ255" s="52"/>
      <c r="BK255" s="52"/>
      <c r="BL255" s="52"/>
      <c r="BM255" s="52"/>
      <c r="BN255" s="52"/>
      <c r="BO255" s="52"/>
      <c r="BP255" s="52"/>
      <c r="BQ255" s="52"/>
    </row>
    <row r="256" spans="1:69" customFormat="1" x14ac:dyDescent="0.2">
      <c r="A256" s="27" t="s">
        <v>170</v>
      </c>
      <c r="B256" s="25" t="s">
        <v>37</v>
      </c>
      <c r="C256" s="7">
        <f t="array" ref="C256">_xll.GetPrice("FP-LBR-1847","Actual","Low",_SPECIFICvarPubDate)</f>
        <v>380</v>
      </c>
      <c r="D256" s="63">
        <f t="array" ref="D256">_xll.GetPrice("FP-LBR-1855","Actual","Low",_SPECIFICvarPubDate)</f>
        <v>620</v>
      </c>
      <c r="E256" s="25" t="s">
        <v>37</v>
      </c>
      <c r="F256" s="25" t="s">
        <v>37</v>
      </c>
      <c r="G256" s="25" t="s">
        <v>37</v>
      </c>
      <c r="H256" s="7">
        <f t="array" ref="H256">_xll.GetPrice("FP-LBR-1903","Actual","Low",_SPECIFICvarPubDate)</f>
        <v>333</v>
      </c>
      <c r="I256" s="7">
        <f t="array" ref="I256">_xll.GetPrice("FP-LBR-1913","Actual","Low",_SPECIFICvarPubDate)</f>
        <v>580</v>
      </c>
      <c r="J256" s="25" t="s">
        <v>37</v>
      </c>
      <c r="K256" s="25" t="s">
        <v>37</v>
      </c>
      <c r="L256" s="7">
        <f t="array" ref="L256">_xll.GetPrice("FP-LBR-1942","Actual","Low",_SPECIFICvarPubDate)</f>
        <v>422</v>
      </c>
      <c r="M256" s="7">
        <f t="array" ref="M256">_xll.GetPrice("FP-LBR-1949","Actual","Low",_SPECIFICvarPubDate)</f>
        <v>492</v>
      </c>
      <c r="N256" s="25" t="s">
        <v>37</v>
      </c>
      <c r="O256" s="39" t="s">
        <v>37</v>
      </c>
      <c r="T256" s="2"/>
      <c r="U256" s="2"/>
      <c r="V256" s="2"/>
      <c r="W256" s="2"/>
      <c r="X256" s="2"/>
      <c r="Y256" s="2"/>
      <c r="Z256" s="2"/>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52"/>
      <c r="BB256" s="52"/>
      <c r="BC256" s="52"/>
      <c r="BD256" s="52"/>
      <c r="BE256" s="52"/>
      <c r="BF256" s="52"/>
      <c r="BG256" s="52"/>
      <c r="BH256" s="52"/>
      <c r="BI256" s="52"/>
      <c r="BJ256" s="52"/>
      <c r="BK256" s="52"/>
      <c r="BL256" s="52"/>
      <c r="BM256" s="52"/>
      <c r="BN256" s="52"/>
      <c r="BO256" s="52"/>
      <c r="BP256" s="52"/>
      <c r="BQ256" s="52"/>
    </row>
    <row r="257" spans="1:69" customFormat="1" x14ac:dyDescent="0.2">
      <c r="A257" s="27" t="s">
        <v>171</v>
      </c>
      <c r="B257" s="7">
        <f t="array" ref="B257">_xll.GetPrice("FP-LBR-1840","Actual","Low",_SPECIFICvarPubDate)</f>
        <v>609</v>
      </c>
      <c r="C257" s="25" t="s">
        <v>37</v>
      </c>
      <c r="D257" s="7">
        <f t="array" ref="D257">_xll.GetPrice("FP-LBR-1856","Actual","Low",_SPECIFICvarPubDate)</f>
        <v>638</v>
      </c>
      <c r="E257" s="7">
        <f t="array" ref="E257">_xll.GetPrice("FP-LBR-1212","Actual","Low",_SPECIFICvarPubDate)</f>
        <v>580</v>
      </c>
      <c r="F257" s="25" t="s">
        <v>37</v>
      </c>
      <c r="G257" s="7">
        <f t="array" ref="G257">_xll.GetPrice("FP-LBR-1894","Actual","Low",_SPECIFICvarPubDate)</f>
        <v>550</v>
      </c>
      <c r="H257" s="25" t="s">
        <v>37</v>
      </c>
      <c r="I257" s="7">
        <f t="array" ref="I257">_xll.GetPrice("FP-LBR-1914","Actual","Low",_SPECIFICvarPubDate)</f>
        <v>600</v>
      </c>
      <c r="J257" s="25" t="s">
        <v>37</v>
      </c>
      <c r="K257" s="25" t="s">
        <v>37</v>
      </c>
      <c r="L257" s="25" t="s">
        <v>37</v>
      </c>
      <c r="M257" s="7">
        <f t="array" ref="M257">_xll.GetPrice("FP-LBR-1950","Actual","Low",_SPECIFICvarPubDate)</f>
        <v>510</v>
      </c>
      <c r="N257" s="7">
        <f t="array" ref="N257">_xll.GetPrice("FP-LBR-1244","Actual","Low",_SPECIFICvarPubDate)</f>
        <v>510</v>
      </c>
      <c r="O257" s="25" t="s">
        <v>37</v>
      </c>
      <c r="T257" s="2"/>
      <c r="U257" s="2"/>
      <c r="V257" s="2"/>
      <c r="W257" s="2"/>
      <c r="X257" s="2"/>
      <c r="Y257" s="2"/>
      <c r="Z257" s="2"/>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52"/>
      <c r="BB257" s="52"/>
      <c r="BC257" s="52"/>
      <c r="BD257" s="52"/>
      <c r="BE257" s="52"/>
      <c r="BF257" s="52"/>
      <c r="BG257" s="52"/>
      <c r="BH257" s="52"/>
      <c r="BI257" s="52"/>
      <c r="BJ257" s="52"/>
      <c r="BK257" s="52"/>
      <c r="BL257" s="52"/>
      <c r="BM257" s="52"/>
      <c r="BN257" s="52"/>
      <c r="BO257" s="52"/>
      <c r="BP257" s="52"/>
      <c r="BQ257" s="52"/>
    </row>
    <row r="258" spans="1:69" customFormat="1" x14ac:dyDescent="0.2">
      <c r="A258" s="24" t="s">
        <v>172</v>
      </c>
      <c r="B258" s="7">
        <f t="array" ref="B258">_xll.GetPrice("FP-LBR-1841","Actual","Low",_SPECIFICvarPubDate)</f>
        <v>598</v>
      </c>
      <c r="C258" s="25" t="s">
        <v>37</v>
      </c>
      <c r="D258" s="7">
        <f t="array" ref="D258">_xll.GetPrice("FP-LBR-1857","Actual","Low",_SPECIFICvarPubDate)</f>
        <v>640</v>
      </c>
      <c r="E258" s="7">
        <f t="array" ref="E258">_xll.GetPrice("FP-LBR-1875","Actual","Low",_SPECIFICvarPubDate)</f>
        <v>607</v>
      </c>
      <c r="F258" s="7">
        <f t="array" ref="F258">_xll.GetPrice("FP-LBR-1885","Actual","Low",_SPECIFICvarPubDate)</f>
        <v>608</v>
      </c>
      <c r="G258" s="7">
        <f t="array" ref="G258">_xll.GetPrice("FP-LBR-1895","Actual","Low",_SPECIFICvarPubDate)</f>
        <v>537</v>
      </c>
      <c r="H258" s="25" t="s">
        <v>37</v>
      </c>
      <c r="I258" s="7">
        <f t="array" ref="I258">_xll.GetPrice("FP-LBR-1915","Actual","Low",_SPECIFICvarPubDate)</f>
        <v>601</v>
      </c>
      <c r="J258" s="7">
        <f t="array" ref="J258">_xll.GetPrice("FP-LBR-1930","Actual","Low",_SPECIFICvarPubDate)</f>
        <v>738</v>
      </c>
      <c r="K258" s="25" t="s">
        <v>37</v>
      </c>
      <c r="L258" s="25" t="s">
        <v>37</v>
      </c>
      <c r="M258" s="7">
        <f t="array" ref="M258">_xll.GetPrice("FP-LBR-1951","Actual","Low",_SPECIFICvarPubDate)</f>
        <v>512</v>
      </c>
      <c r="N258" s="7">
        <f t="array" ref="N258">_xll.GetPrice("FP-LBR-1968","Actual","Low",_SPECIFICvarPubDate)</f>
        <v>537</v>
      </c>
      <c r="O258" s="7">
        <f t="array" ref="O258">_xll.GetPrice("FP-LBR-1977","Actual","Low",_SPECIFICvarPubDate)</f>
        <v>518</v>
      </c>
      <c r="U258" s="2"/>
      <c r="V258" s="2"/>
      <c r="W258" s="2"/>
      <c r="X258" s="2"/>
      <c r="Y258" s="2"/>
      <c r="Z258" s="2"/>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52"/>
      <c r="BB258" s="52"/>
      <c r="BC258" s="52"/>
      <c r="BD258" s="52"/>
      <c r="BE258" s="52"/>
      <c r="BF258" s="52"/>
      <c r="BG258" s="52"/>
      <c r="BH258" s="52"/>
      <c r="BI258" s="52"/>
      <c r="BJ258" s="52"/>
      <c r="BK258" s="52"/>
      <c r="BL258" s="52"/>
      <c r="BM258" s="52"/>
      <c r="BN258" s="52"/>
      <c r="BO258" s="52"/>
      <c r="BP258" s="52"/>
      <c r="BQ258" s="52"/>
    </row>
    <row r="259" spans="1:69" customFormat="1" x14ac:dyDescent="0.2">
      <c r="A259" s="24" t="s">
        <v>173</v>
      </c>
      <c r="B259" s="25" t="s">
        <v>37</v>
      </c>
      <c r="C259" s="25" t="s">
        <v>37</v>
      </c>
      <c r="D259" s="7">
        <f t="array" ref="D259">_xll.GetPrice("FP-LBR-1858","Actual","Low",_SPECIFICvarPubDate)</f>
        <v>630</v>
      </c>
      <c r="E259" s="7">
        <f t="array" ref="E259">_xll.GetPrice("FP-LBR-1876","Actual","Low",_SPECIFICvarPubDate)</f>
        <v>607</v>
      </c>
      <c r="F259" s="25" t="s">
        <v>37</v>
      </c>
      <c r="G259" s="25" t="s">
        <v>37</v>
      </c>
      <c r="H259" s="25" t="s">
        <v>37</v>
      </c>
      <c r="I259" s="7">
        <f t="array" ref="I259">_xll.GetPrice("FP-LBR-1916","Actual","Low",_SPECIFICvarPubDate)</f>
        <v>591</v>
      </c>
      <c r="J259" s="25" t="s">
        <v>37</v>
      </c>
      <c r="K259" s="25" t="s">
        <v>37</v>
      </c>
      <c r="L259" s="25" t="s">
        <v>37</v>
      </c>
      <c r="M259" s="7">
        <f t="array" ref="M259">_xll.GetPrice("FP-LBR-1952","Actual","Low",_SPECIFICvarPubDate)</f>
        <v>502</v>
      </c>
      <c r="N259" s="7">
        <f t="array" ref="N259">_xll.GetPrice("FP-LBR-1969","Actual","Low",_SPECIFICvarPubDate)</f>
        <v>537</v>
      </c>
      <c r="O259" s="25" t="s">
        <v>37</v>
      </c>
      <c r="T259" s="2"/>
      <c r="U259" s="2"/>
      <c r="V259" s="2"/>
      <c r="W259" s="2"/>
      <c r="X259" s="2"/>
      <c r="Y259" s="2"/>
      <c r="Z259" s="2"/>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52"/>
      <c r="BB259" s="52"/>
      <c r="BC259" s="52"/>
      <c r="BD259" s="52"/>
      <c r="BE259" s="52"/>
      <c r="BF259" s="52"/>
      <c r="BG259" s="52"/>
      <c r="BH259" s="52"/>
      <c r="BI259" s="52"/>
      <c r="BJ259" s="52"/>
      <c r="BK259" s="52"/>
      <c r="BL259" s="52"/>
      <c r="BM259" s="52"/>
      <c r="BN259" s="52"/>
      <c r="BO259" s="52"/>
      <c r="BP259" s="52"/>
      <c r="BQ259" s="52"/>
    </row>
    <row r="260" spans="1:69" customFormat="1" x14ac:dyDescent="0.2">
      <c r="A260" s="24" t="s">
        <v>174</v>
      </c>
      <c r="B260" s="25" t="s">
        <v>37</v>
      </c>
      <c r="C260" s="25" t="s">
        <v>37</v>
      </c>
      <c r="D260" s="7">
        <f t="array" ref="D260">_xll.GetPrice("FP-LBR-1859","Actual","Low",_SPECIFICvarPubDate)</f>
        <v>631</v>
      </c>
      <c r="E260" s="7">
        <f t="array" ref="E260">_xll.GetPrice("FP-LBR-1877","Actual","Low",_SPECIFICvarPubDate)</f>
        <v>609</v>
      </c>
      <c r="F260" s="25" t="s">
        <v>37</v>
      </c>
      <c r="G260" s="25" t="s">
        <v>37</v>
      </c>
      <c r="H260" s="7">
        <f t="array" ref="H260">_xll.GetPrice("FP-LBR-1904","Actual","Low",_SPECIFICvarPubDate)</f>
        <v>375</v>
      </c>
      <c r="I260" s="7">
        <f t="array" ref="I260">_xll.GetPrice("FP-LBR-1917","Actual","Low",_SPECIFICvarPubDate)</f>
        <v>591</v>
      </c>
      <c r="J260" s="25" t="s">
        <v>37</v>
      </c>
      <c r="K260" s="25" t="s">
        <v>37</v>
      </c>
      <c r="L260" s="25" t="s">
        <v>37</v>
      </c>
      <c r="M260" s="7">
        <f t="array" ref="M260">_xll.GetPrice("FP-LBR-1953","Actual","Low",_SPECIFICvarPubDate)</f>
        <v>503</v>
      </c>
      <c r="N260" s="7">
        <f t="array" ref="N260">_xll.GetPrice("FP-LBR-1970","Actual","Low",_SPECIFICvarPubDate)</f>
        <v>539</v>
      </c>
      <c r="O260" s="25" t="s">
        <v>37</v>
      </c>
      <c r="T260" s="2"/>
      <c r="U260" s="2"/>
      <c r="V260" s="2"/>
      <c r="W260" s="2"/>
      <c r="X260" s="2"/>
      <c r="Y260" s="2"/>
      <c r="Z260" s="2"/>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52"/>
      <c r="BB260" s="52"/>
      <c r="BC260" s="52"/>
      <c r="BD260" s="52"/>
      <c r="BE260" s="52"/>
      <c r="BF260" s="52"/>
      <c r="BG260" s="52"/>
      <c r="BH260" s="52"/>
      <c r="BI260" s="52"/>
      <c r="BJ260" s="52"/>
      <c r="BK260" s="52"/>
      <c r="BL260" s="52"/>
      <c r="BM260" s="52"/>
      <c r="BN260" s="52"/>
      <c r="BO260" s="52"/>
      <c r="BP260" s="52"/>
      <c r="BQ260" s="52"/>
    </row>
    <row r="261" spans="1:69" customFormat="1" x14ac:dyDescent="0.2">
      <c r="A261" s="27" t="s">
        <v>175</v>
      </c>
      <c r="B261" s="25" t="s">
        <v>37</v>
      </c>
      <c r="C261" s="25" t="s">
        <v>37</v>
      </c>
      <c r="D261" s="63">
        <f t="array" ref="D261">_xll.GetPrice("FP-LBR-1860","Actual","Low",_SPECIFICvarPubDate)</f>
        <v>608</v>
      </c>
      <c r="E261" s="58" t="s">
        <v>37</v>
      </c>
      <c r="F261" s="25" t="s">
        <v>37</v>
      </c>
      <c r="G261" s="25" t="s">
        <v>37</v>
      </c>
      <c r="H261" s="25" t="s">
        <v>37</v>
      </c>
      <c r="I261" s="7">
        <f t="array" ref="I261">_xll.GetPrice("FP-LBR-1918","Actual","Low",_SPECIFICvarPubDate)</f>
        <v>566</v>
      </c>
      <c r="J261" s="25" t="s">
        <v>37</v>
      </c>
      <c r="K261" s="25" t="s">
        <v>37</v>
      </c>
      <c r="L261" s="25" t="s">
        <v>37</v>
      </c>
      <c r="M261" s="7">
        <f t="array" ref="M261">_xll.GetPrice("FP-LBR-1954","Actual","Low",_SPECIFICvarPubDate)</f>
        <v>480</v>
      </c>
      <c r="N261" s="25" t="s">
        <v>37</v>
      </c>
      <c r="O261" s="25" t="s">
        <v>37</v>
      </c>
      <c r="T261" s="2"/>
      <c r="U261" s="2"/>
      <c r="V261" s="2"/>
      <c r="W261" s="2"/>
      <c r="X261" s="2"/>
      <c r="Y261" s="2"/>
      <c r="Z261" s="2"/>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52"/>
      <c r="BB261" s="52"/>
      <c r="BC261" s="52"/>
      <c r="BD261" s="52"/>
      <c r="BE261" s="52"/>
      <c r="BF261" s="52"/>
      <c r="BG261" s="52"/>
      <c r="BH261" s="52"/>
      <c r="BI261" s="52"/>
      <c r="BJ261" s="52"/>
      <c r="BK261" s="52"/>
      <c r="BL261" s="52"/>
      <c r="BM261" s="52"/>
      <c r="BN261" s="52"/>
      <c r="BO261" s="52"/>
      <c r="BP261" s="52"/>
      <c r="BQ261" s="52"/>
    </row>
    <row r="262" spans="1:69" customFormat="1" x14ac:dyDescent="0.2">
      <c r="A262" s="24" t="s">
        <v>176</v>
      </c>
      <c r="B262" s="7">
        <f t="array" ref="B262">_xll.GetPrice("FP-LBR-1842","Actual","Low",_SPECIFICvarPubDate)</f>
        <v>588</v>
      </c>
      <c r="C262" s="25" t="s">
        <v>37</v>
      </c>
      <c r="D262" s="7">
        <f t="array" ref="D262">_xll.GetPrice("FP-LBR-1861","Actual","Low",_SPECIFICvarPubDate)</f>
        <v>619</v>
      </c>
      <c r="E262" s="7">
        <f t="array" ref="E262">_xll.GetPrice("FP-LBR-1878","Actual","Low",_SPECIFICvarPubDate)</f>
        <v>605</v>
      </c>
      <c r="F262" s="25" t="s">
        <v>37</v>
      </c>
      <c r="G262" s="7">
        <f t="array" ref="G262">_xll.GetPrice("FP-LBR-1896","Actual","Low",_SPECIFICvarPubDate)</f>
        <v>526</v>
      </c>
      <c r="H262" s="25" t="s">
        <v>37</v>
      </c>
      <c r="I262" s="7">
        <f t="array" ref="I262">_xll.GetPrice("FP-LBR-1919","Actual","Low",_SPECIFICvarPubDate)</f>
        <v>578</v>
      </c>
      <c r="J262" s="25" t="s">
        <v>37</v>
      </c>
      <c r="K262" s="25" t="s">
        <v>37</v>
      </c>
      <c r="L262" s="25" t="s">
        <v>37</v>
      </c>
      <c r="M262" s="7">
        <f t="array" ref="M262">_xll.GetPrice("FP-LBR-1955","Actual","Low",_SPECIFICvarPubDate)</f>
        <v>491</v>
      </c>
      <c r="N262" s="7">
        <f t="array" ref="N262">_xll.GetPrice("FP-LBR-1971","Actual","Low",_SPECIFICvarPubDate)</f>
        <v>515</v>
      </c>
      <c r="O262" s="25" t="s">
        <v>37</v>
      </c>
      <c r="T262" s="2"/>
      <c r="U262" s="2"/>
      <c r="V262" s="2"/>
      <c r="W262" s="2"/>
      <c r="X262" s="2"/>
      <c r="Y262" s="2"/>
      <c r="Z262" s="2"/>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52"/>
      <c r="BB262" s="52"/>
      <c r="BC262" s="52"/>
      <c r="BD262" s="52"/>
      <c r="BE262" s="52"/>
      <c r="BF262" s="52"/>
      <c r="BG262" s="52"/>
      <c r="BH262" s="52"/>
      <c r="BI262" s="52"/>
      <c r="BJ262" s="52"/>
      <c r="BK262" s="52"/>
      <c r="BL262" s="52"/>
      <c r="BM262" s="52"/>
      <c r="BN262" s="52"/>
      <c r="BO262" s="52"/>
      <c r="BP262" s="52"/>
      <c r="BQ262" s="52"/>
    </row>
    <row r="263" spans="1:69" customFormat="1" x14ac:dyDescent="0.2">
      <c r="A263" s="24" t="s">
        <v>177</v>
      </c>
      <c r="B263" s="25" t="s">
        <v>37</v>
      </c>
      <c r="C263" s="25" t="s">
        <v>37</v>
      </c>
      <c r="D263" s="7">
        <f t="array" ref="D263">_xll.GetPrice("FP-LBR-1862","Actual","Low",_SPECIFICvarPubDate)</f>
        <v>625</v>
      </c>
      <c r="E263" s="7">
        <f t="array" ref="E263">_xll.GetPrice("FP-LBR-1879","Actual","Low",_SPECIFICvarPubDate)</f>
        <v>605</v>
      </c>
      <c r="F263" s="25" t="s">
        <v>37</v>
      </c>
      <c r="G263" s="25" t="s">
        <v>37</v>
      </c>
      <c r="H263" s="7">
        <f t="array" ref="H263">_xll.GetPrice("FP-LBR-1905","Actual","Low",_SPECIFICvarPubDate)</f>
        <v>345</v>
      </c>
      <c r="I263" s="7">
        <f t="array" ref="I263">_xll.GetPrice("FP-LBR-1920","Actual","Low",_SPECIFICvarPubDate)</f>
        <v>585</v>
      </c>
      <c r="J263" s="25" t="s">
        <v>37</v>
      </c>
      <c r="K263" s="25" t="s">
        <v>37</v>
      </c>
      <c r="L263" s="25" t="s">
        <v>37</v>
      </c>
      <c r="M263" s="7">
        <f t="array" ref="M263">_xll.GetPrice("FP-LBR-1956","Actual","Low",_SPECIFICvarPubDate)</f>
        <v>497</v>
      </c>
      <c r="N263" s="7">
        <f t="array" ref="N263">_xll.GetPrice("FP-LBR-1972","Actual","Low",_SPECIFICvarPubDate)</f>
        <v>515</v>
      </c>
      <c r="O263" s="25" t="s">
        <v>37</v>
      </c>
      <c r="T263" s="2"/>
      <c r="U263" s="2"/>
      <c r="V263" s="2"/>
      <c r="W263" s="2"/>
      <c r="X263" s="2"/>
      <c r="Y263" s="2"/>
      <c r="Z263" s="2"/>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52"/>
      <c r="BB263" s="52"/>
      <c r="BC263" s="52"/>
      <c r="BD263" s="52"/>
      <c r="BE263" s="52"/>
      <c r="BF263" s="52"/>
      <c r="BG263" s="52"/>
      <c r="BH263" s="52"/>
      <c r="BI263" s="52"/>
      <c r="BJ263" s="52"/>
      <c r="BK263" s="52"/>
      <c r="BL263" s="52"/>
      <c r="BM263" s="52"/>
      <c r="BN263" s="52"/>
      <c r="BO263" s="52"/>
      <c r="BP263" s="52"/>
      <c r="BQ263" s="52"/>
    </row>
    <row r="264" spans="1:69" customFormat="1" x14ac:dyDescent="0.2">
      <c r="A264" s="27" t="s">
        <v>178</v>
      </c>
      <c r="B264" s="25" t="s">
        <v>37</v>
      </c>
      <c r="C264" s="7">
        <f t="array" ref="C264">_xll.GetPrice("FP-LBR-1848","Actual","Low",_SPECIFICvarPubDate)</f>
        <v>355</v>
      </c>
      <c r="D264" s="7">
        <f t="array" ref="D264">_xll.GetPrice("FP-LBR-1863","Actual","Low",_SPECIFICvarPubDate)</f>
        <v>618</v>
      </c>
      <c r="E264" s="25" t="s">
        <v>37</v>
      </c>
      <c r="F264" s="25" t="s">
        <v>37</v>
      </c>
      <c r="G264" s="25" t="s">
        <v>37</v>
      </c>
      <c r="H264" s="7">
        <f t="array" ref="H264">_xll.GetPrice("FP-LBR-1906","Actual","Low",_SPECIFICvarPubDate)</f>
        <v>307</v>
      </c>
      <c r="I264" s="7">
        <f t="array" ref="I264">_xll.GetPrice("FP-LBR-1921","Actual","Low",_SPECIFICvarPubDate)</f>
        <v>574</v>
      </c>
      <c r="J264" s="25" t="s">
        <v>37</v>
      </c>
      <c r="K264" s="25" t="s">
        <v>37</v>
      </c>
      <c r="L264" s="7">
        <f t="array" ref="L264">_xll.GetPrice("FP-LBR-1943","Actual","Low",_SPECIFICvarPubDate)</f>
        <v>405</v>
      </c>
      <c r="M264" s="7">
        <f t="array" ref="M264">_xll.GetPrice("FP-LBR-1957","Actual","Low",_SPECIFICvarPubDate)</f>
        <v>490</v>
      </c>
      <c r="N264" s="25" t="s">
        <v>37</v>
      </c>
      <c r="O264" s="25" t="s">
        <v>37</v>
      </c>
      <c r="T264" s="2"/>
      <c r="U264" s="2"/>
      <c r="V264" s="2"/>
      <c r="W264" s="2"/>
      <c r="X264" s="2"/>
      <c r="Y264" s="2"/>
      <c r="Z264" s="2"/>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52"/>
      <c r="BB264" s="52"/>
      <c r="BC264" s="52"/>
      <c r="BD264" s="52"/>
      <c r="BE264" s="52"/>
      <c r="BF264" s="52"/>
      <c r="BG264" s="52"/>
      <c r="BH264" s="52"/>
      <c r="BI264" s="52"/>
      <c r="BJ264" s="52"/>
      <c r="BK264" s="52"/>
      <c r="BL264" s="52"/>
      <c r="BM264" s="52"/>
      <c r="BN264" s="52"/>
      <c r="BO264" s="52"/>
      <c r="BP264" s="52"/>
      <c r="BQ264" s="52"/>
    </row>
    <row r="265" spans="1:69" customFormat="1" x14ac:dyDescent="0.2">
      <c r="A265" s="24" t="s">
        <v>179</v>
      </c>
      <c r="B265" s="25" t="s">
        <v>37</v>
      </c>
      <c r="C265" s="25" t="s">
        <v>37</v>
      </c>
      <c r="D265" s="63">
        <f t="array" ref="D265">_xll.GetPrice("FP-LBR-1864","Actual","Low",_SPECIFICvarPubDate)</f>
        <v>642</v>
      </c>
      <c r="E265" s="7">
        <f t="array" ref="E265">_xll.GetPrice("FP-LBR-1880","Actual","Low",_SPECIFICvarPubDate)</f>
        <v>630</v>
      </c>
      <c r="F265" s="25" t="s">
        <v>37</v>
      </c>
      <c r="G265" s="25" t="s">
        <v>37</v>
      </c>
      <c r="H265" s="25" t="s">
        <v>37</v>
      </c>
      <c r="I265" s="7">
        <f t="array" ref="I265">_xll.GetPrice("FP-LBR-1922","Actual","Low",_SPECIFICvarPubDate)</f>
        <v>605</v>
      </c>
      <c r="J265" s="25" t="s">
        <v>37</v>
      </c>
      <c r="K265" s="25" t="s">
        <v>37</v>
      </c>
      <c r="L265" s="25" t="s">
        <v>37</v>
      </c>
      <c r="M265" s="7">
        <f t="array" ref="M265">_xll.GetPrice("FP-LBR-1958","Actual","Low",_SPECIFICvarPubDate)</f>
        <v>514</v>
      </c>
      <c r="N265" s="7">
        <f t="array" ref="N265">_xll.GetPrice("FP-LBR-1973","Actual","Low",_SPECIFICvarPubDate)</f>
        <v>540</v>
      </c>
      <c r="O265" s="25" t="s">
        <v>37</v>
      </c>
      <c r="T265" s="2"/>
      <c r="U265" s="2"/>
      <c r="V265" s="2"/>
      <c r="W265" s="2"/>
      <c r="X265" s="2"/>
      <c r="Y265" s="2"/>
      <c r="Z265" s="2"/>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52"/>
      <c r="BB265" s="52"/>
      <c r="BC265" s="52"/>
      <c r="BD265" s="52"/>
      <c r="BE265" s="52"/>
      <c r="BF265" s="52"/>
      <c r="BG265" s="52"/>
      <c r="BH265" s="52"/>
      <c r="BI265" s="52"/>
      <c r="BJ265" s="52"/>
      <c r="BK265" s="52"/>
      <c r="BL265" s="52"/>
      <c r="BM265" s="52"/>
      <c r="BN265" s="52"/>
      <c r="BO265" s="52"/>
      <c r="BP265" s="52"/>
      <c r="BQ265" s="52"/>
    </row>
    <row r="266" spans="1:69" customFormat="1" x14ac:dyDescent="0.2">
      <c r="A266" s="24" t="s">
        <v>180</v>
      </c>
      <c r="B266" s="25" t="s">
        <v>37</v>
      </c>
      <c r="C266" s="7">
        <f t="array" ref="C266">_xll.GetPrice("FP-LBR-1849","Actual","Low",_SPECIFICvarPubDate)</f>
        <v>423</v>
      </c>
      <c r="D266" s="63">
        <f t="array" ref="D266">_xll.GetPrice("FP-LBR-1865","Actual","Low",_SPECIFICvarPubDate)</f>
        <v>638</v>
      </c>
      <c r="E266" s="7">
        <f t="array" ref="E266">_xll.GetPrice("FP-LBR-1881","Actual","Low",_SPECIFICvarPubDate)</f>
        <v>621</v>
      </c>
      <c r="F266" s="25" t="s">
        <v>37</v>
      </c>
      <c r="G266" s="25" t="s">
        <v>37</v>
      </c>
      <c r="H266" s="7">
        <f t="array" ref="H266">_xll.GetPrice("FP-LBR-1907","Actual","Low",_SPECIFICvarPubDate)</f>
        <v>378</v>
      </c>
      <c r="I266" s="7">
        <f t="array" ref="I266">_xll.GetPrice("FP-LBR-1923","Actual","Low",_SPECIFICvarPubDate)</f>
        <v>600</v>
      </c>
      <c r="J266" s="25" t="s">
        <v>37</v>
      </c>
      <c r="K266" s="25" t="s">
        <v>37</v>
      </c>
      <c r="L266" s="25" t="s">
        <v>37</v>
      </c>
      <c r="M266" s="7">
        <f t="array" ref="M266">_xll.GetPrice("FP-LBR-1959","Actual","Low",_SPECIFICvarPubDate)</f>
        <v>510</v>
      </c>
      <c r="N266" s="7">
        <f t="array" ref="N266">_xll.GetPrice("FP-LBR-1974","Actual","Low",_SPECIFICvarPubDate)</f>
        <v>531</v>
      </c>
      <c r="O266" s="25" t="s">
        <v>37</v>
      </c>
      <c r="P266" s="2"/>
      <c r="Q266" s="2"/>
      <c r="R266" s="2"/>
      <c r="S266" s="2"/>
      <c r="T266" s="2"/>
      <c r="U266" s="2"/>
      <c r="V266" s="2"/>
      <c r="W266" s="2"/>
      <c r="X266" s="2"/>
      <c r="Y266" s="2"/>
      <c r="Z266" s="2"/>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52"/>
      <c r="BB266" s="52"/>
      <c r="BC266" s="52"/>
      <c r="BD266" s="52"/>
      <c r="BE266" s="52"/>
      <c r="BF266" s="52"/>
      <c r="BG266" s="52"/>
      <c r="BH266" s="52"/>
      <c r="BI266" s="52"/>
      <c r="BJ266" s="52"/>
      <c r="BK266" s="52"/>
      <c r="BL266" s="52"/>
      <c r="BM266" s="52"/>
      <c r="BN266" s="52"/>
      <c r="BO266" s="52"/>
      <c r="BP266" s="52"/>
      <c r="BQ266" s="52"/>
    </row>
    <row r="267" spans="1:69" customFormat="1" x14ac:dyDescent="0.2">
      <c r="A267" s="24" t="s">
        <v>181</v>
      </c>
      <c r="B267" s="25" t="s">
        <v>37</v>
      </c>
      <c r="C267" s="25" t="s">
        <v>37</v>
      </c>
      <c r="D267" s="7">
        <f t="array" ref="D267">_xll.GetPrice("FP-LBR-1866","Actual","Low",_SPECIFICvarPubDate)</f>
        <v>600</v>
      </c>
      <c r="E267" s="25" t="s">
        <v>37</v>
      </c>
      <c r="F267" s="7">
        <f t="array" ref="F267">_xll.GetPrice("FP-LBR-1886","Actual","Low",_SPECIFICvarPubDate)</f>
        <v>514</v>
      </c>
      <c r="G267" s="25" t="s">
        <v>37</v>
      </c>
      <c r="H267" s="25" t="s">
        <v>37</v>
      </c>
      <c r="I267" s="7">
        <f t="array" ref="I267">_xll.GetPrice("FP-LBR-1924","Actual","Low",_SPECIFICvarPubDate)</f>
        <v>558</v>
      </c>
      <c r="J267" s="7">
        <f t="array" ref="J267">_xll.GetPrice("FP-LBR-1931","Actual","Low",_SPECIFICvarPubDate)</f>
        <v>644</v>
      </c>
      <c r="K267" s="25" t="s">
        <v>37</v>
      </c>
      <c r="L267" s="25" t="s">
        <v>37</v>
      </c>
      <c r="M267" s="7">
        <f t="array" ref="M267">_xll.GetPrice("FP-LBR-1960","Actual","Low",_SPECIFICvarPubDate)</f>
        <v>472</v>
      </c>
      <c r="N267" s="25" t="s">
        <v>37</v>
      </c>
      <c r="O267" s="7">
        <f t="array" ref="O267">_xll.GetPrice("FP-LBR-1978","Actual","Low",_SPECIFICvarPubDate)</f>
        <v>424</v>
      </c>
      <c r="P267" s="2"/>
      <c r="Q267" s="2"/>
      <c r="R267" s="2"/>
      <c r="S267" s="2"/>
      <c r="T267" s="2"/>
      <c r="U267" s="2"/>
      <c r="V267" s="2"/>
      <c r="W267" s="2"/>
      <c r="X267" s="2"/>
      <c r="Y267" s="2"/>
      <c r="Z267" s="2"/>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52"/>
      <c r="BB267" s="52"/>
      <c r="BC267" s="52"/>
      <c r="BD267" s="52"/>
      <c r="BE267" s="52"/>
      <c r="BF267" s="52"/>
      <c r="BG267" s="52"/>
      <c r="BH267" s="52"/>
      <c r="BI267" s="52"/>
      <c r="BJ267" s="52"/>
      <c r="BK267" s="52"/>
      <c r="BL267" s="52"/>
      <c r="BM267" s="52"/>
      <c r="BN267" s="52"/>
      <c r="BO267" s="52"/>
      <c r="BP267" s="52"/>
      <c r="BQ267" s="52"/>
    </row>
    <row r="268" spans="1:69" customFormat="1" x14ac:dyDescent="0.2">
      <c r="A268" s="24" t="s">
        <v>182</v>
      </c>
      <c r="B268" s="25" t="s">
        <v>37</v>
      </c>
      <c r="C268" s="25" t="s">
        <v>37</v>
      </c>
      <c r="D268" s="7">
        <f t="array" ref="D268">_xll.GetPrice("FP-LBR-1867","Actual","Low",_SPECIFICvarPubDate)</f>
        <v>616</v>
      </c>
      <c r="E268" s="25" t="s">
        <v>37</v>
      </c>
      <c r="F268" s="7">
        <f t="array" ref="F268">_xll.GetPrice("FP-LBR-1887","Actual","Low",_SPECIFICvarPubDate)</f>
        <v>540</v>
      </c>
      <c r="G268" s="25" t="s">
        <v>37</v>
      </c>
      <c r="H268" s="25" t="s">
        <v>37</v>
      </c>
      <c r="I268" s="7">
        <f t="array" ref="I268">_xll.GetPrice("FP-LBR-1925","Actual","Low",_SPECIFICvarPubDate)</f>
        <v>575</v>
      </c>
      <c r="J268" s="7">
        <f t="array" ref="J268">_xll.GetPrice("FP-LBR-1932","Actual","Low",_SPECIFICvarPubDate)</f>
        <v>670</v>
      </c>
      <c r="K268" s="25" t="s">
        <v>37</v>
      </c>
      <c r="L268" s="25" t="s">
        <v>37</v>
      </c>
      <c r="M268" s="7">
        <f t="array" ref="M268">_xll.GetPrice("FP-LBR-1961","Actual","Low",_SPECIFICvarPubDate)</f>
        <v>488</v>
      </c>
      <c r="N268" s="25" t="s">
        <v>37</v>
      </c>
      <c r="O268" s="7">
        <f t="array" ref="O268">_xll.GetPrice("FP-LBR-1979","Actual","Low",_SPECIFICvarPubDate)</f>
        <v>450</v>
      </c>
      <c r="P268" s="2"/>
      <c r="Q268" s="2"/>
      <c r="R268" s="2"/>
      <c r="S268" s="2"/>
      <c r="T268" s="2"/>
      <c r="U268" s="2"/>
      <c r="V268" s="2"/>
      <c r="W268" s="2"/>
      <c r="X268" s="2"/>
      <c r="Y268" s="2"/>
      <c r="Z268" s="2"/>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52"/>
      <c r="BB268" s="52"/>
      <c r="BC268" s="52"/>
      <c r="BD268" s="52"/>
      <c r="BE268" s="52"/>
      <c r="BF268" s="52"/>
      <c r="BG268" s="52"/>
      <c r="BH268" s="52"/>
      <c r="BI268" s="52"/>
      <c r="BJ268" s="52"/>
      <c r="BK268" s="52"/>
      <c r="BL268" s="52"/>
      <c r="BM268" s="52"/>
      <c r="BN268" s="52"/>
      <c r="BO268" s="52"/>
      <c r="BP268" s="52"/>
      <c r="BQ268" s="52"/>
    </row>
    <row r="269" spans="1:69" customFormat="1" x14ac:dyDescent="0.2">
      <c r="A269" s="24" t="s">
        <v>183</v>
      </c>
      <c r="B269" s="25" t="s">
        <v>37</v>
      </c>
      <c r="C269" s="25" t="s">
        <v>37</v>
      </c>
      <c r="D269" s="7">
        <f t="array" ref="D269">_xll.GetPrice("FP-LBR-1868","Actual","Low",_SPECIFICvarPubDate)</f>
        <v>615</v>
      </c>
      <c r="E269" s="25" t="s">
        <v>37</v>
      </c>
      <c r="F269" s="7">
        <f t="array" ref="F269">_xll.GetPrice("FP-LBR-1888","Actual","Low",_SPECIFICvarPubDate)</f>
        <v>579</v>
      </c>
      <c r="G269" s="25" t="s">
        <v>37</v>
      </c>
      <c r="H269" s="25" t="s">
        <v>37</v>
      </c>
      <c r="I269" s="7">
        <f t="array" ref="I269">_xll.GetPrice("FP-LBR-1926","Actual","Low",_SPECIFICvarPubDate)</f>
        <v>574</v>
      </c>
      <c r="J269" s="7">
        <f t="array" ref="J269">_xll.GetPrice("FP-LBR-1933","Actual","Low",_SPECIFICvarPubDate)</f>
        <v>709</v>
      </c>
      <c r="K269" s="25" t="s">
        <v>37</v>
      </c>
      <c r="L269" s="25" t="s">
        <v>37</v>
      </c>
      <c r="M269" s="7">
        <f t="array" ref="M269">_xll.GetPrice("FP-LBR-1962","Actual","Low",_SPECIFICvarPubDate)</f>
        <v>487</v>
      </c>
      <c r="N269" s="25" t="s">
        <v>37</v>
      </c>
      <c r="O269" s="25" t="s">
        <v>37</v>
      </c>
      <c r="P269" s="2"/>
      <c r="Q269" s="2"/>
      <c r="R269" s="2"/>
      <c r="S269" s="2"/>
      <c r="T269" s="2"/>
      <c r="U269" s="2"/>
      <c r="V269" s="2"/>
      <c r="W269" s="2"/>
      <c r="X269" s="2"/>
      <c r="Y269" s="2"/>
      <c r="Z269" s="2"/>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52"/>
      <c r="BB269" s="52"/>
      <c r="BC269" s="52"/>
      <c r="BD269" s="52"/>
      <c r="BE269" s="52"/>
      <c r="BF269" s="52"/>
      <c r="BG269" s="52"/>
      <c r="BH269" s="52"/>
      <c r="BI269" s="52"/>
      <c r="BJ269" s="52"/>
      <c r="BK269" s="52"/>
      <c r="BL269" s="52"/>
      <c r="BM269" s="52"/>
      <c r="BN269" s="52"/>
      <c r="BO269" s="52"/>
      <c r="BP269" s="52"/>
      <c r="BQ269" s="52"/>
    </row>
    <row r="270" spans="1:69" customFormat="1" x14ac:dyDescent="0.2">
      <c r="A270" s="29" t="s">
        <v>184</v>
      </c>
      <c r="C270" s="7">
        <f t="array" ref="C270">_xll.GetPrice("FP-LBR-1869","Actual","Low",_SPECIFICvarPubDate)</f>
        <v>415</v>
      </c>
      <c r="D270" s="29" t="s">
        <v>185</v>
      </c>
      <c r="F270" s="7">
        <f t="array" ref="F270">_xll.GetPrice("FP-LBR-1897","Actual","Low",_SPECIFICvarPubDate)</f>
        <v>492</v>
      </c>
      <c r="P270" s="2"/>
      <c r="Q270" s="2"/>
      <c r="R270" s="2"/>
      <c r="S270" s="2"/>
      <c r="T270" s="2"/>
      <c r="U270" s="2"/>
      <c r="V270" s="2"/>
      <c r="W270" s="2"/>
      <c r="X270" s="2"/>
      <c r="Y270" s="2"/>
      <c r="Z270" s="2"/>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52"/>
      <c r="BB270" s="52"/>
      <c r="BC270" s="52"/>
      <c r="BD270" s="52"/>
      <c r="BE270" s="52"/>
      <c r="BF270" s="52"/>
      <c r="BG270" s="52"/>
      <c r="BH270" s="52"/>
      <c r="BI270" s="52"/>
      <c r="BJ270" s="52"/>
      <c r="BK270" s="52"/>
      <c r="BL270" s="52"/>
      <c r="BM270" s="52"/>
      <c r="BN270" s="52"/>
      <c r="BO270" s="52"/>
      <c r="BP270" s="52"/>
      <c r="BQ270" s="52"/>
    </row>
    <row r="271" spans="1:69" customForma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52"/>
      <c r="BB271" s="52"/>
      <c r="BC271" s="52"/>
      <c r="BD271" s="52"/>
      <c r="BE271" s="52"/>
      <c r="BF271" s="52"/>
      <c r="BG271" s="52"/>
      <c r="BH271" s="52"/>
      <c r="BI271" s="52"/>
      <c r="BJ271" s="52"/>
      <c r="BK271" s="52"/>
      <c r="BL271" s="52"/>
      <c r="BM271" s="52"/>
      <c r="BN271" s="52"/>
      <c r="BO271" s="52"/>
      <c r="BP271" s="52"/>
      <c r="BQ271" s="52"/>
    </row>
    <row r="272" spans="1:69" customForma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52"/>
      <c r="BB272" s="52"/>
      <c r="BC272" s="52"/>
      <c r="BD272" s="52"/>
      <c r="BE272" s="52"/>
      <c r="BF272" s="52"/>
      <c r="BG272" s="52"/>
      <c r="BH272" s="52"/>
      <c r="BI272" s="52"/>
      <c r="BJ272" s="52"/>
      <c r="BK272" s="52"/>
      <c r="BL272" s="52"/>
      <c r="BM272" s="52"/>
      <c r="BN272" s="52"/>
      <c r="BO272" s="52"/>
      <c r="BP272" s="52"/>
      <c r="BQ272" s="52"/>
    </row>
    <row r="273" spans="1:69" customForma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52"/>
      <c r="BB273" s="52"/>
      <c r="BC273" s="52"/>
      <c r="BD273" s="52"/>
      <c r="BE273" s="52"/>
      <c r="BF273" s="52"/>
      <c r="BG273" s="52"/>
      <c r="BH273" s="52"/>
      <c r="BI273" s="52"/>
      <c r="BJ273" s="52"/>
      <c r="BK273" s="52"/>
      <c r="BL273" s="52"/>
      <c r="BM273" s="52"/>
      <c r="BN273" s="52"/>
      <c r="BO273" s="52"/>
      <c r="BP273" s="52"/>
      <c r="BQ273" s="52"/>
    </row>
    <row r="274" spans="1:69" customForma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52"/>
      <c r="BB274" s="52"/>
      <c r="BC274" s="52"/>
      <c r="BD274" s="52"/>
      <c r="BE274" s="52"/>
      <c r="BF274" s="52"/>
      <c r="BG274" s="52"/>
      <c r="BH274" s="52"/>
      <c r="BI274" s="52"/>
      <c r="BJ274" s="52"/>
      <c r="BK274" s="52"/>
      <c r="BL274" s="52"/>
      <c r="BM274" s="52"/>
      <c r="BN274" s="52"/>
      <c r="BO274" s="52"/>
      <c r="BP274" s="52"/>
      <c r="BQ274" s="52"/>
    </row>
    <row r="275" spans="1:69" customForma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52"/>
      <c r="BB275" s="52"/>
      <c r="BC275" s="52"/>
      <c r="BD275" s="52"/>
      <c r="BE275" s="52"/>
      <c r="BF275" s="52"/>
      <c r="BG275" s="52"/>
      <c r="BH275" s="52"/>
      <c r="BI275" s="52"/>
      <c r="BJ275" s="52"/>
      <c r="BK275" s="52"/>
      <c r="BL275" s="52"/>
      <c r="BM275" s="52"/>
      <c r="BN275" s="52"/>
      <c r="BO275" s="52"/>
      <c r="BP275" s="52"/>
      <c r="BQ275" s="52"/>
    </row>
    <row r="276" spans="1:69" customFormat="1" x14ac:dyDescent="0.2">
      <c r="A276" s="2"/>
      <c r="B276" s="2"/>
      <c r="C276" s="2"/>
      <c r="D276" s="2"/>
      <c r="E276" s="2"/>
      <c r="F276" s="2"/>
      <c r="I276" s="2"/>
      <c r="J276" s="2"/>
      <c r="K276" s="2"/>
      <c r="L276" s="2"/>
      <c r="M276" s="2"/>
      <c r="N276" s="2"/>
      <c r="O276" s="2"/>
      <c r="P276" s="2"/>
      <c r="Q276" s="2"/>
      <c r="R276" s="2"/>
      <c r="S276" s="2"/>
      <c r="T276" s="2"/>
      <c r="U276" s="2"/>
      <c r="V276" s="2"/>
      <c r="W276" s="2"/>
      <c r="X276" s="2"/>
      <c r="Y276" s="2"/>
      <c r="Z276" s="2"/>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52"/>
      <c r="BB276" s="52"/>
      <c r="BC276" s="52"/>
      <c r="BD276" s="52"/>
      <c r="BE276" s="52"/>
      <c r="BF276" s="52"/>
      <c r="BG276" s="52"/>
      <c r="BH276" s="52"/>
      <c r="BI276" s="52"/>
      <c r="BJ276" s="52"/>
      <c r="BK276" s="52"/>
      <c r="BL276" s="52"/>
      <c r="BM276" s="52"/>
      <c r="BN276" s="52"/>
      <c r="BO276" s="52"/>
      <c r="BP276" s="52"/>
      <c r="BQ276" s="52"/>
    </row>
    <row r="277" spans="1:69" customFormat="1" x14ac:dyDescent="0.2">
      <c r="A277" s="2"/>
      <c r="B277" s="2"/>
      <c r="C277" s="2"/>
      <c r="D277" s="2"/>
      <c r="E277" s="2"/>
      <c r="F277" s="2"/>
      <c r="I277" s="2"/>
      <c r="J277" s="2"/>
      <c r="K277" s="2"/>
      <c r="L277" s="2"/>
      <c r="M277" s="2"/>
      <c r="N277" s="2"/>
      <c r="O277" s="2"/>
      <c r="P277" s="2"/>
      <c r="Q277" s="2"/>
      <c r="R277" s="2"/>
      <c r="S277" s="2"/>
      <c r="T277" s="2"/>
      <c r="U277" s="2"/>
      <c r="V277" s="2"/>
      <c r="W277" s="2"/>
      <c r="X277" s="2"/>
      <c r="Y277" s="2"/>
      <c r="Z277" s="2"/>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52"/>
      <c r="BB277" s="52"/>
      <c r="BC277" s="52"/>
      <c r="BD277" s="52"/>
      <c r="BE277" s="52"/>
      <c r="BF277" s="52"/>
      <c r="BG277" s="52"/>
      <c r="BH277" s="52"/>
      <c r="BI277" s="52"/>
      <c r="BJ277" s="52"/>
      <c r="BK277" s="52"/>
      <c r="BL277" s="52"/>
      <c r="BM277" s="52"/>
      <c r="BN277" s="52"/>
      <c r="BO277" s="52"/>
      <c r="BP277" s="52"/>
      <c r="BQ277" s="52"/>
    </row>
    <row r="278" spans="1:69" customFormat="1" x14ac:dyDescent="0.2">
      <c r="A278" s="2"/>
      <c r="B278" s="2"/>
      <c r="C278" s="2"/>
      <c r="D278" s="2"/>
      <c r="E278" s="2"/>
      <c r="F278" s="2"/>
      <c r="I278" s="2"/>
      <c r="J278" s="2"/>
      <c r="K278" s="2"/>
      <c r="L278" s="2"/>
      <c r="M278" s="2"/>
      <c r="N278" s="2"/>
      <c r="O278" s="2"/>
      <c r="P278" s="2"/>
      <c r="Q278" s="2"/>
      <c r="R278" s="2"/>
      <c r="S278" s="2"/>
      <c r="T278" s="2"/>
      <c r="U278" s="2"/>
      <c r="V278" s="2"/>
      <c r="W278" s="2"/>
      <c r="X278" s="2"/>
      <c r="Y278" s="2"/>
      <c r="Z278" s="2"/>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52"/>
      <c r="BB278" s="52"/>
      <c r="BC278" s="52"/>
      <c r="BD278" s="52"/>
      <c r="BE278" s="52"/>
      <c r="BF278" s="52"/>
      <c r="BG278" s="52"/>
      <c r="BH278" s="52"/>
      <c r="BI278" s="52"/>
      <c r="BJ278" s="52"/>
      <c r="BK278" s="52"/>
      <c r="BL278" s="52"/>
      <c r="BM278" s="52"/>
      <c r="BN278" s="52"/>
      <c r="BO278" s="52"/>
      <c r="BP278" s="52"/>
      <c r="BQ278" s="52"/>
    </row>
    <row r="279" spans="1:69" customFormat="1" x14ac:dyDescent="0.2">
      <c r="A279" s="2"/>
      <c r="B279" s="2"/>
      <c r="C279" s="2"/>
      <c r="D279" s="2"/>
      <c r="E279" s="2"/>
      <c r="F279" s="2"/>
      <c r="I279" s="2"/>
      <c r="J279" s="2"/>
      <c r="K279" s="2"/>
      <c r="L279" s="2"/>
      <c r="M279" s="2"/>
      <c r="N279" s="2"/>
      <c r="O279" s="2"/>
      <c r="P279" s="2"/>
      <c r="Q279" s="2"/>
      <c r="R279" s="2"/>
      <c r="S279" s="2"/>
      <c r="T279" s="2"/>
      <c r="U279" s="2"/>
      <c r="V279" s="2"/>
      <c r="W279" s="2"/>
      <c r="X279" s="2"/>
      <c r="Y279" s="2"/>
      <c r="Z279" s="2"/>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52"/>
      <c r="BB279" s="52"/>
      <c r="BC279" s="52"/>
      <c r="BD279" s="52"/>
      <c r="BE279" s="52"/>
      <c r="BF279" s="52"/>
      <c r="BG279" s="52"/>
      <c r="BH279" s="52"/>
      <c r="BI279" s="52"/>
      <c r="BJ279" s="52"/>
      <c r="BK279" s="52"/>
      <c r="BL279" s="52"/>
      <c r="BM279" s="52"/>
      <c r="BN279" s="52"/>
      <c r="BO279" s="52"/>
      <c r="BP279" s="52"/>
      <c r="BQ279" s="52"/>
    </row>
    <row r="280" spans="1:69" customFormat="1" x14ac:dyDescent="0.2">
      <c r="A280" s="2"/>
      <c r="B280" s="2"/>
      <c r="C280" s="2"/>
      <c r="D280" s="2"/>
      <c r="E280" s="2"/>
      <c r="F280" s="2"/>
      <c r="I280" s="2"/>
      <c r="J280" s="2"/>
      <c r="K280" s="2"/>
      <c r="L280" s="2"/>
      <c r="M280" s="2"/>
      <c r="N280" s="2"/>
      <c r="O280" s="2"/>
      <c r="P280" s="2"/>
      <c r="Q280" s="2"/>
      <c r="R280" s="2"/>
      <c r="S280" s="2"/>
      <c r="T280" s="2"/>
      <c r="U280" s="2"/>
      <c r="V280" s="2"/>
      <c r="W280" s="2"/>
      <c r="X280" s="2"/>
      <c r="Y280" s="2"/>
      <c r="Z280" s="2"/>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52"/>
      <c r="BB280" s="52"/>
      <c r="BC280" s="52"/>
      <c r="BD280" s="52"/>
      <c r="BE280" s="52"/>
      <c r="BF280" s="52"/>
      <c r="BG280" s="52"/>
      <c r="BH280" s="52"/>
      <c r="BI280" s="52"/>
      <c r="BJ280" s="52"/>
      <c r="BK280" s="52"/>
      <c r="BL280" s="52"/>
      <c r="BM280" s="52"/>
      <c r="BN280" s="52"/>
      <c r="BO280" s="52"/>
      <c r="BP280" s="52"/>
      <c r="BQ280" s="52"/>
    </row>
    <row r="281" spans="1:69" customFormat="1" x14ac:dyDescent="0.2">
      <c r="A281" s="2"/>
      <c r="B281" s="2"/>
      <c r="C281" s="2"/>
      <c r="D281" s="2"/>
      <c r="E281" s="2"/>
      <c r="F281" s="2"/>
      <c r="I281" s="2"/>
      <c r="J281" s="2"/>
      <c r="K281" s="2"/>
      <c r="L281" s="2"/>
      <c r="M281" s="2"/>
      <c r="N281" s="2"/>
      <c r="O281" s="2"/>
      <c r="P281" s="2"/>
      <c r="Q281" s="2"/>
      <c r="R281" s="2"/>
      <c r="S281" s="2"/>
      <c r="T281" s="2"/>
      <c r="U281" s="2"/>
      <c r="V281" s="2"/>
      <c r="W281" s="2"/>
      <c r="X281" s="2"/>
      <c r="Y281" s="2"/>
      <c r="Z281" s="2"/>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52"/>
      <c r="BB281" s="52"/>
      <c r="BC281" s="52"/>
      <c r="BD281" s="52"/>
      <c r="BE281" s="52"/>
      <c r="BF281" s="52"/>
      <c r="BG281" s="52"/>
      <c r="BH281" s="52"/>
      <c r="BI281" s="52"/>
      <c r="BJ281" s="52"/>
      <c r="BK281" s="52"/>
      <c r="BL281" s="52"/>
      <c r="BM281" s="52"/>
      <c r="BN281" s="52"/>
      <c r="BO281" s="52"/>
      <c r="BP281" s="52"/>
      <c r="BQ281" s="52"/>
    </row>
    <row r="282" spans="1:69" customFormat="1" x14ac:dyDescent="0.2">
      <c r="A282" s="2"/>
      <c r="B282" s="2"/>
      <c r="C282" s="2"/>
      <c r="D282" s="2"/>
      <c r="E282" s="2"/>
      <c r="F282" s="2"/>
      <c r="I282" s="2"/>
      <c r="J282" s="2"/>
      <c r="K282" s="2"/>
      <c r="L282" s="2"/>
      <c r="M282" s="2"/>
      <c r="N282" s="2"/>
      <c r="O282" s="2"/>
      <c r="P282" s="2"/>
      <c r="Q282" s="2"/>
      <c r="R282" s="2"/>
      <c r="S282" s="2"/>
      <c r="T282" s="2"/>
      <c r="U282" s="2"/>
      <c r="V282" s="2"/>
      <c r="W282" s="2"/>
      <c r="X282" s="2"/>
      <c r="Y282" s="2"/>
      <c r="Z282" s="2"/>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52"/>
      <c r="BB282" s="52"/>
      <c r="BC282" s="52"/>
      <c r="BD282" s="52"/>
      <c r="BE282" s="52"/>
      <c r="BF282" s="52"/>
      <c r="BG282" s="52"/>
      <c r="BH282" s="52"/>
      <c r="BI282" s="52"/>
      <c r="BJ282" s="52"/>
      <c r="BK282" s="52"/>
      <c r="BL282" s="52"/>
      <c r="BM282" s="52"/>
      <c r="BN282" s="52"/>
      <c r="BO282" s="52"/>
      <c r="BP282" s="52"/>
      <c r="BQ282" s="52"/>
    </row>
    <row r="283" spans="1:69" customFormat="1" x14ac:dyDescent="0.2">
      <c r="A283" s="2"/>
      <c r="B283" s="2"/>
      <c r="C283" s="2"/>
      <c r="D283" s="2"/>
      <c r="E283" s="2"/>
      <c r="F283" s="2"/>
      <c r="I283" s="2"/>
      <c r="J283" s="2"/>
      <c r="K283" s="2"/>
      <c r="L283" s="2"/>
      <c r="M283" s="2"/>
      <c r="N283" s="2"/>
      <c r="O283" s="2"/>
      <c r="P283" s="2"/>
      <c r="Q283" s="2"/>
      <c r="R283" s="2"/>
      <c r="S283" s="2"/>
      <c r="T283" s="2"/>
      <c r="U283" s="2"/>
      <c r="V283" s="2"/>
      <c r="W283" s="2"/>
      <c r="X283" s="2"/>
      <c r="Y283" s="2"/>
      <c r="Z283" s="2"/>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52"/>
      <c r="BB283" s="52"/>
      <c r="BC283" s="52"/>
      <c r="BD283" s="52"/>
      <c r="BE283" s="52"/>
      <c r="BF283" s="52"/>
      <c r="BG283" s="52"/>
      <c r="BH283" s="52"/>
      <c r="BI283" s="52"/>
      <c r="BJ283" s="52"/>
      <c r="BK283" s="52"/>
      <c r="BL283" s="52"/>
      <c r="BM283" s="52"/>
      <c r="BN283" s="52"/>
      <c r="BO283" s="52"/>
      <c r="BP283" s="52"/>
      <c r="BQ283" s="52"/>
    </row>
    <row r="284" spans="1:69" customForma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52"/>
      <c r="BB284" s="52"/>
      <c r="BC284" s="52"/>
      <c r="BD284" s="52"/>
      <c r="BE284" s="52"/>
      <c r="BF284" s="52"/>
      <c r="BG284" s="52"/>
      <c r="BH284" s="52"/>
      <c r="BI284" s="52"/>
      <c r="BJ284" s="52"/>
      <c r="BK284" s="52"/>
      <c r="BL284" s="52"/>
      <c r="BM284" s="52"/>
      <c r="BN284" s="52"/>
      <c r="BO284" s="52"/>
      <c r="BP284" s="52"/>
      <c r="BQ284" s="52"/>
    </row>
    <row r="285" spans="1:69" customForma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52"/>
      <c r="BB285" s="52"/>
      <c r="BC285" s="52"/>
      <c r="BD285" s="52"/>
      <c r="BE285" s="52"/>
      <c r="BF285" s="52"/>
      <c r="BG285" s="52"/>
      <c r="BH285" s="52"/>
      <c r="BI285" s="52"/>
      <c r="BJ285" s="52"/>
      <c r="BK285" s="52"/>
      <c r="BL285" s="52"/>
      <c r="BM285" s="52"/>
      <c r="BN285" s="52"/>
      <c r="BO285" s="52"/>
      <c r="BP285" s="52"/>
      <c r="BQ285" s="52"/>
    </row>
    <row r="286" spans="1:69" customForma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52"/>
      <c r="BB286" s="52"/>
      <c r="BC286" s="52"/>
      <c r="BD286" s="52"/>
      <c r="BE286" s="52"/>
      <c r="BF286" s="52"/>
      <c r="BG286" s="52"/>
      <c r="BH286" s="52"/>
      <c r="BI286" s="52"/>
      <c r="BJ286" s="52"/>
      <c r="BK286" s="52"/>
      <c r="BL286" s="52"/>
      <c r="BM286" s="52"/>
      <c r="BN286" s="52"/>
      <c r="BO286" s="52"/>
      <c r="BP286" s="52"/>
      <c r="BQ286" s="52"/>
    </row>
    <row r="287" spans="1:69" customForma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52"/>
      <c r="BB287" s="52"/>
      <c r="BC287" s="52"/>
      <c r="BD287" s="52"/>
      <c r="BE287" s="52"/>
      <c r="BF287" s="52"/>
      <c r="BG287" s="52"/>
      <c r="BH287" s="52"/>
      <c r="BI287" s="52"/>
      <c r="BJ287" s="52"/>
      <c r="BK287" s="52"/>
      <c r="BL287" s="52"/>
      <c r="BM287" s="52"/>
      <c r="BN287" s="52"/>
      <c r="BO287" s="52"/>
      <c r="BP287" s="52"/>
      <c r="BQ287" s="52"/>
    </row>
    <row r="288" spans="1:69" customForma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52"/>
      <c r="BB288" s="52"/>
      <c r="BC288" s="52"/>
      <c r="BD288" s="52"/>
      <c r="BE288" s="52"/>
      <c r="BF288" s="52"/>
      <c r="BG288" s="52"/>
      <c r="BH288" s="52"/>
      <c r="BI288" s="52"/>
      <c r="BJ288" s="52"/>
      <c r="BK288" s="52"/>
      <c r="BL288" s="52"/>
      <c r="BM288" s="52"/>
      <c r="BN288" s="52"/>
      <c r="BO288" s="52"/>
      <c r="BP288" s="52"/>
      <c r="BQ288" s="52"/>
    </row>
    <row r="289" spans="1:69" customFormat="1" x14ac:dyDescent="0.2">
      <c r="A289" s="2"/>
      <c r="B289" s="2"/>
      <c r="C289" s="2"/>
      <c r="D289" s="2"/>
      <c r="E289" s="2"/>
      <c r="F289" s="2"/>
      <c r="G289" s="2"/>
      <c r="H289" s="2"/>
      <c r="I289" s="2"/>
      <c r="J289" s="31"/>
      <c r="K289" s="2"/>
      <c r="L289" s="2"/>
      <c r="M289" s="2"/>
      <c r="N289" s="2"/>
      <c r="O289" s="2"/>
      <c r="P289" s="2"/>
      <c r="Q289" s="2"/>
      <c r="R289" s="2"/>
      <c r="S289" s="2"/>
      <c r="T289" s="2"/>
      <c r="U289" s="2"/>
      <c r="V289" s="2"/>
      <c r="W289" s="2"/>
      <c r="X289" s="2"/>
      <c r="Y289" s="2"/>
      <c r="Z289" s="2"/>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52"/>
      <c r="BB289" s="52"/>
      <c r="BC289" s="52"/>
      <c r="BD289" s="52"/>
      <c r="BE289" s="52"/>
      <c r="BF289" s="52"/>
      <c r="BG289" s="52"/>
      <c r="BH289" s="52"/>
      <c r="BI289" s="52"/>
      <c r="BJ289" s="52"/>
      <c r="BK289" s="52"/>
      <c r="BL289" s="52"/>
      <c r="BM289" s="52"/>
      <c r="BN289" s="52"/>
      <c r="BO289" s="52"/>
      <c r="BP289" s="52"/>
      <c r="BQ289" s="52"/>
    </row>
    <row r="290" spans="1:69" customForma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52"/>
      <c r="BB290" s="52"/>
      <c r="BC290" s="52"/>
      <c r="BD290" s="52"/>
      <c r="BE290" s="52"/>
      <c r="BF290" s="52"/>
      <c r="BG290" s="52"/>
      <c r="BH290" s="52"/>
      <c r="BI290" s="52"/>
      <c r="BJ290" s="52"/>
      <c r="BK290" s="52"/>
      <c r="BL290" s="52"/>
      <c r="BM290" s="52"/>
      <c r="BN290" s="52"/>
      <c r="BO290" s="52"/>
      <c r="BP290" s="52"/>
      <c r="BQ290" s="52"/>
    </row>
    <row r="291" spans="1:69" customForma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52"/>
      <c r="BB291" s="52"/>
      <c r="BC291" s="52"/>
      <c r="BD291" s="52"/>
      <c r="BE291" s="52"/>
      <c r="BF291" s="52"/>
      <c r="BG291" s="52"/>
      <c r="BH291" s="52"/>
      <c r="BI291" s="52"/>
      <c r="BJ291" s="52"/>
      <c r="BK291" s="52"/>
      <c r="BL291" s="52"/>
      <c r="BM291" s="52"/>
      <c r="BN291" s="52"/>
      <c r="BO291" s="52"/>
      <c r="BP291" s="52"/>
      <c r="BQ291" s="52"/>
    </row>
    <row r="292" spans="1:69" customForma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52"/>
      <c r="BB292" s="52"/>
      <c r="BC292" s="52"/>
      <c r="BD292" s="52"/>
      <c r="BE292" s="52"/>
      <c r="BF292" s="52"/>
      <c r="BG292" s="52"/>
      <c r="BH292" s="52"/>
      <c r="BI292" s="52"/>
      <c r="BJ292" s="52"/>
      <c r="BK292" s="52"/>
      <c r="BL292" s="52"/>
      <c r="BM292" s="52"/>
      <c r="BN292" s="52"/>
      <c r="BO292" s="52"/>
      <c r="BP292" s="52"/>
      <c r="BQ292" s="52"/>
    </row>
    <row r="293" spans="1:69" customForma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52"/>
      <c r="BB293" s="52"/>
      <c r="BC293" s="52"/>
      <c r="BD293" s="52"/>
      <c r="BE293" s="52"/>
      <c r="BF293" s="52"/>
      <c r="BG293" s="52"/>
      <c r="BH293" s="52"/>
      <c r="BI293" s="52"/>
      <c r="BJ293" s="52"/>
      <c r="BK293" s="52"/>
      <c r="BL293" s="52"/>
      <c r="BM293" s="52"/>
      <c r="BN293" s="52"/>
      <c r="BO293" s="52"/>
      <c r="BP293" s="52"/>
      <c r="BQ293" s="52"/>
    </row>
    <row r="294" spans="1:69" customForma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52"/>
      <c r="BB294" s="52"/>
      <c r="BC294" s="52"/>
      <c r="BD294" s="52"/>
      <c r="BE294" s="52"/>
      <c r="BF294" s="52"/>
      <c r="BG294" s="52"/>
      <c r="BH294" s="52"/>
      <c r="BI294" s="52"/>
      <c r="BJ294" s="52"/>
      <c r="BK294" s="52"/>
      <c r="BL294" s="52"/>
      <c r="BM294" s="52"/>
      <c r="BN294" s="52"/>
      <c r="BO294" s="52"/>
      <c r="BP294" s="52"/>
      <c r="BQ294" s="52"/>
    </row>
    <row r="295" spans="1:69" customForma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52"/>
      <c r="BB295" s="52"/>
      <c r="BC295" s="52"/>
      <c r="BD295" s="52"/>
      <c r="BE295" s="52"/>
      <c r="BF295" s="52"/>
      <c r="BG295" s="52"/>
      <c r="BH295" s="52"/>
      <c r="BI295" s="52"/>
      <c r="BJ295" s="52"/>
      <c r="BK295" s="52"/>
      <c r="BL295" s="52"/>
      <c r="BM295" s="52"/>
      <c r="BN295" s="52"/>
      <c r="BO295" s="52"/>
      <c r="BP295" s="52"/>
      <c r="BQ295" s="52"/>
    </row>
    <row r="296" spans="1:69" customForma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52"/>
      <c r="BB296" s="52"/>
      <c r="BC296" s="52"/>
      <c r="BD296" s="52"/>
      <c r="BE296" s="52"/>
      <c r="BF296" s="52"/>
      <c r="BG296" s="52"/>
      <c r="BH296" s="52"/>
      <c r="BI296" s="52"/>
      <c r="BJ296" s="52"/>
      <c r="BK296" s="52"/>
      <c r="BL296" s="52"/>
      <c r="BM296" s="52"/>
      <c r="BN296" s="52"/>
      <c r="BO296" s="52"/>
      <c r="BP296" s="52"/>
      <c r="BQ296" s="52"/>
    </row>
    <row r="297" spans="1:69" customForma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52"/>
      <c r="BB297" s="52"/>
      <c r="BC297" s="52"/>
      <c r="BD297" s="52"/>
      <c r="BE297" s="52"/>
      <c r="BF297" s="52"/>
      <c r="BG297" s="52"/>
      <c r="BH297" s="52"/>
      <c r="BI297" s="52"/>
      <c r="BJ297" s="52"/>
      <c r="BK297" s="52"/>
      <c r="BL297" s="52"/>
      <c r="BM297" s="52"/>
      <c r="BN297" s="52"/>
      <c r="BO297" s="52"/>
      <c r="BP297" s="52"/>
      <c r="BQ297" s="52"/>
    </row>
    <row r="298" spans="1:69" customForma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52"/>
      <c r="BB298" s="52"/>
      <c r="BC298" s="52"/>
      <c r="BD298" s="52"/>
      <c r="BE298" s="52"/>
      <c r="BF298" s="52"/>
      <c r="BG298" s="52"/>
      <c r="BH298" s="52"/>
      <c r="BI298" s="52"/>
      <c r="BJ298" s="52"/>
      <c r="BK298" s="52"/>
      <c r="BL298" s="52"/>
      <c r="BM298" s="52"/>
      <c r="BN298" s="52"/>
      <c r="BO298" s="52"/>
      <c r="BP298" s="52"/>
      <c r="BQ298" s="52"/>
    </row>
    <row r="299" spans="1:69" customForma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N299" s="52"/>
      <c r="BO299" s="52"/>
      <c r="BP299" s="52"/>
      <c r="BQ299" s="52"/>
    </row>
    <row r="300" spans="1:69" customForma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N300" s="52"/>
      <c r="BO300" s="52"/>
      <c r="BP300" s="52"/>
      <c r="BQ300" s="52"/>
    </row>
    <row r="301" spans="1:69" customFormat="1" ht="15" x14ac:dyDescent="0.2">
      <c r="A301" s="32">
        <f>_SPECIFICvarPubDate</f>
        <v>45848</v>
      </c>
      <c r="B301" s="11" t="str">
        <f>$A$1</f>
        <v>RANDOM LENGTHS LUMBER REPORT</v>
      </c>
      <c r="C301" s="12"/>
      <c r="D301" s="12"/>
      <c r="E301" s="12"/>
      <c r="F301" s="12"/>
      <c r="G301" s="33"/>
      <c r="H301" s="10" t="s">
        <v>186</v>
      </c>
      <c r="I301" s="2"/>
      <c r="J301" s="2"/>
      <c r="K301" s="2"/>
      <c r="L301" s="2"/>
      <c r="M301" s="2"/>
      <c r="N301" s="2"/>
      <c r="O301" s="2"/>
      <c r="P301" s="2"/>
      <c r="Q301" s="2"/>
      <c r="R301" s="2"/>
      <c r="S301" s="2"/>
      <c r="T301" s="2"/>
      <c r="U301" s="2"/>
      <c r="V301" s="2"/>
      <c r="W301" s="2"/>
      <c r="X301" s="2"/>
      <c r="Y301" s="2"/>
      <c r="Z301" s="2"/>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N301" s="52"/>
      <c r="BO301" s="52"/>
      <c r="BP301" s="52"/>
      <c r="BQ301" s="52"/>
    </row>
    <row r="302" spans="1:69" customFormat="1" ht="14.25" x14ac:dyDescent="0.2">
      <c r="A302" s="2"/>
      <c r="B302" s="2"/>
      <c r="C302" s="2"/>
      <c r="D302" s="2"/>
      <c r="E302" s="2"/>
      <c r="F302" s="2"/>
      <c r="G302" s="2"/>
      <c r="H302" s="2"/>
      <c r="I302" s="2"/>
      <c r="J302" s="2"/>
      <c r="K302" s="2"/>
      <c r="L302" s="2"/>
      <c r="M302" s="2"/>
      <c r="N302" s="2"/>
      <c r="O302" s="2"/>
      <c r="P302" s="2"/>
      <c r="Q302" s="2"/>
      <c r="S302" s="14"/>
      <c r="T302" s="2"/>
      <c r="U302" s="2"/>
      <c r="V302" s="2"/>
      <c r="W302" s="2"/>
      <c r="X302" s="2"/>
      <c r="Y302" s="2"/>
      <c r="Z302" s="2"/>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N302" s="52"/>
      <c r="BO302" s="52"/>
      <c r="BP302" s="52"/>
      <c r="BQ302" s="52"/>
    </row>
    <row r="303" spans="1:69" customFormat="1" ht="15.75" x14ac:dyDescent="0.25">
      <c r="A303" s="16" t="s">
        <v>187</v>
      </c>
      <c r="B303" s="2"/>
      <c r="C303" s="2"/>
      <c r="D303" s="2"/>
      <c r="E303" s="2"/>
      <c r="F303" s="2"/>
      <c r="G303" s="2"/>
      <c r="N303" s="2"/>
      <c r="O303" s="2"/>
      <c r="P303" s="2"/>
      <c r="Q303" s="2"/>
      <c r="R303" s="2"/>
      <c r="S303" s="2"/>
      <c r="T303" s="2"/>
      <c r="U303" s="2"/>
      <c r="V303" s="2"/>
      <c r="W303" s="2"/>
      <c r="X303" s="2"/>
      <c r="Y303" s="2"/>
      <c r="Z303" s="2"/>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N303" s="52"/>
      <c r="BO303" s="52"/>
      <c r="BP303" s="52"/>
      <c r="BQ303" s="52"/>
    </row>
    <row r="304" spans="1:69" customFormat="1" x14ac:dyDescent="0.2">
      <c r="A304" s="17" t="s">
        <v>188</v>
      </c>
      <c r="B304" s="2"/>
      <c r="C304" s="2"/>
      <c r="D304" s="2"/>
      <c r="E304" s="2"/>
      <c r="F304" s="2"/>
      <c r="G304" s="2"/>
      <c r="H304" s="17" t="s">
        <v>189</v>
      </c>
      <c r="I304" s="3"/>
      <c r="J304" s="3"/>
      <c r="K304" s="3"/>
      <c r="L304" s="3"/>
      <c r="M304" s="2"/>
      <c r="Q304" s="2"/>
      <c r="R304" s="2"/>
      <c r="S304" s="2"/>
      <c r="U304" s="2"/>
      <c r="V304" s="2"/>
      <c r="W304" s="2"/>
      <c r="X304" s="2"/>
      <c r="Y304" s="2"/>
      <c r="Z304" s="2"/>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N304" s="52"/>
      <c r="BO304" s="52"/>
      <c r="BP304" s="52"/>
      <c r="BQ304" s="52"/>
    </row>
    <row r="305" spans="1:69" customFormat="1" x14ac:dyDescent="0.2">
      <c r="A305" s="23" t="s">
        <v>190</v>
      </c>
      <c r="I305" s="2"/>
      <c r="J305" s="2"/>
      <c r="K305" s="2"/>
      <c r="L305" s="3"/>
      <c r="M305" s="3"/>
      <c r="Q305" s="3"/>
      <c r="R305" s="3"/>
      <c r="S305" s="2"/>
      <c r="T305" s="2"/>
      <c r="U305" s="2"/>
      <c r="V305" s="2"/>
      <c r="W305" s="2"/>
      <c r="X305" s="2"/>
      <c r="Y305" s="2"/>
      <c r="Z305" s="2"/>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N305" s="52"/>
      <c r="BO305" s="52"/>
      <c r="BP305" s="52"/>
      <c r="BQ305" s="52"/>
    </row>
    <row r="306" spans="1:69" customFormat="1" x14ac:dyDescent="0.2">
      <c r="A306" s="37"/>
      <c r="B306" s="19" t="s">
        <v>191</v>
      </c>
      <c r="C306" s="19" t="s">
        <v>192</v>
      </c>
      <c r="D306" s="19" t="s">
        <v>90</v>
      </c>
      <c r="E306" s="19" t="s">
        <v>193</v>
      </c>
      <c r="F306" s="19" t="s">
        <v>194</v>
      </c>
      <c r="G306" s="37"/>
      <c r="H306" s="2"/>
      <c r="I306" s="19" t="s">
        <v>195</v>
      </c>
      <c r="J306" s="19" t="s">
        <v>196</v>
      </c>
      <c r="K306" s="19" t="s">
        <v>197</v>
      </c>
      <c r="L306" s="3"/>
      <c r="M306" s="3"/>
      <c r="Q306" s="3"/>
      <c r="R306" s="3"/>
      <c r="T306" s="2"/>
      <c r="U306" s="2"/>
      <c r="V306" s="2"/>
      <c r="W306" s="2"/>
      <c r="X306" s="2"/>
      <c r="Y306" s="2"/>
      <c r="Z306" s="2"/>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N306" s="52"/>
      <c r="BO306" s="52"/>
      <c r="BP306" s="52"/>
      <c r="BQ306" s="52"/>
    </row>
    <row r="307" spans="1:69" customFormat="1" x14ac:dyDescent="0.2">
      <c r="A307" s="40" t="s">
        <v>198</v>
      </c>
      <c r="B307" s="7">
        <f t="array" ref="B307">_xll.GetPrice("FP-LBR-1417","Actual","Low",_SPECIFICvarPubDate)</f>
        <v>2350</v>
      </c>
      <c r="C307" s="7">
        <f t="array" ref="C307">_xll.GetPrice("FP-LBR-1422","Actual","Low",_SPECIFICvarPubDate)</f>
        <v>2015</v>
      </c>
      <c r="D307" s="7">
        <f t="array" ref="D307">_xll.GetPrice("FP-LBR-1427","Actual","Low",_SPECIFICvarPubDate)</f>
        <v>730</v>
      </c>
      <c r="E307" s="7">
        <f t="array" ref="E307">_xll.GetPrice("FP-LBR-1432","Actual","Low",_SPECIFICvarPubDate)</f>
        <v>550</v>
      </c>
      <c r="F307" s="7">
        <f t="array" ref="F307">_xll.GetPrice("FP-LBR-1437","Actual","Low",_SPECIFICvarPubDate)</f>
        <v>355</v>
      </c>
      <c r="H307" s="40" t="s">
        <v>198</v>
      </c>
      <c r="I307" s="7">
        <f t="array" ref="I307">_xll.GetPrice("FP-LBR-1512","Actual","Low",_SPECIFICvarPubDate)</f>
        <v>680</v>
      </c>
      <c r="J307" s="7">
        <f t="array" ref="J307">_xll.GetPrice("FP-LBR-1517","Actual","Low",_SPECIFICvarPubDate)</f>
        <v>530</v>
      </c>
      <c r="K307" s="7">
        <f t="array" ref="K307">_xll.GetPrice("FP-LBR-1522","Actual","Low",_SPECIFICvarPubDate)</f>
        <v>345</v>
      </c>
      <c r="L307" s="3"/>
      <c r="M307" s="3"/>
      <c r="Q307" s="3"/>
      <c r="R307" s="3"/>
      <c r="S307" s="2"/>
      <c r="T307" s="2"/>
      <c r="U307" s="2"/>
      <c r="V307" s="2"/>
      <c r="W307" s="2"/>
      <c r="X307" s="2"/>
      <c r="Y307" s="2"/>
      <c r="Z307" s="2"/>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N307" s="52"/>
      <c r="BO307" s="52"/>
      <c r="BP307" s="52"/>
      <c r="BQ307" s="52"/>
    </row>
    <row r="308" spans="1:69" customFormat="1" x14ac:dyDescent="0.2">
      <c r="A308" s="40" t="s">
        <v>199</v>
      </c>
      <c r="B308" s="7">
        <f t="array" ref="B308">_xll.GetPrice("FP-LBR-1418","Actual","Low",_SPECIFICvarPubDate)</f>
        <v>3330</v>
      </c>
      <c r="C308" s="7">
        <f t="array" ref="C308">_xll.GetPrice("FP-LBR-1423","Actual","Low",_SPECIFICvarPubDate)</f>
        <v>2715</v>
      </c>
      <c r="D308" s="7">
        <f t="array" ref="D308">_xll.GetPrice("FP-LBR-1428","Actual","Low",_SPECIFICvarPubDate)</f>
        <v>965</v>
      </c>
      <c r="E308" s="7">
        <f t="array" ref="E308">_xll.GetPrice("FP-LBR-1433","Actual","Low",_SPECIFICvarPubDate)</f>
        <v>515</v>
      </c>
      <c r="F308" s="7">
        <f t="array" ref="F308">_xll.GetPrice("FP-LBR-1438","Actual","Low",_SPECIFICvarPubDate)</f>
        <v>335</v>
      </c>
      <c r="H308" s="40" t="s">
        <v>199</v>
      </c>
      <c r="I308" s="7">
        <f t="array" ref="I308">_xll.GetPrice("FP-LBR-1513","Actual","Low",_SPECIFICvarPubDate)</f>
        <v>960</v>
      </c>
      <c r="J308" s="7">
        <f t="array" ref="J308">_xll.GetPrice("FP-LBR-1518","Actual","Low",_SPECIFICvarPubDate)</f>
        <v>615</v>
      </c>
      <c r="K308" s="7">
        <f t="array" ref="K308">_xll.GetPrice("FP-LBR-1523","Actual","Low",_SPECIFICvarPubDate)</f>
        <v>340</v>
      </c>
      <c r="L308" s="3"/>
      <c r="M308" s="3"/>
      <c r="Q308" s="3"/>
      <c r="R308" s="3"/>
      <c r="S308" s="2"/>
      <c r="T308" s="2"/>
      <c r="U308" s="2"/>
      <c r="V308" s="2"/>
      <c r="W308" s="2"/>
      <c r="X308" s="2"/>
      <c r="Y308" s="2"/>
      <c r="Z308" s="2"/>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N308" s="52"/>
      <c r="BO308" s="52"/>
      <c r="BP308" s="52"/>
      <c r="BQ308" s="52"/>
    </row>
    <row r="309" spans="1:69" customFormat="1" x14ac:dyDescent="0.2">
      <c r="A309" s="40" t="s">
        <v>200</v>
      </c>
      <c r="B309" s="7">
        <f t="array" ref="B309">_xll.GetPrice("FP-LBR-1419","Actual","Low",_SPECIFICvarPubDate)</f>
        <v>2935</v>
      </c>
      <c r="C309" s="7">
        <f t="array" ref="C309">_xll.GetPrice("FP-LBR-1424","Actual","Low",_SPECIFICvarPubDate)</f>
        <v>2450</v>
      </c>
      <c r="D309" s="7">
        <f t="array" ref="D309">_xll.GetPrice("FP-LBR-1429","Actual","Low",_SPECIFICvarPubDate)</f>
        <v>675</v>
      </c>
      <c r="E309" s="7">
        <f t="array" ref="E309">_xll.GetPrice("FP-LBR-1434","Actual","Low",_SPECIFICvarPubDate)</f>
        <v>450</v>
      </c>
      <c r="F309" s="7">
        <f t="array" ref="F309">_xll.GetPrice("FP-LBR-1439","Actual","Low",_SPECIFICvarPubDate)</f>
        <v>275</v>
      </c>
      <c r="H309" s="40" t="s">
        <v>200</v>
      </c>
      <c r="I309" s="7">
        <f t="array" ref="I309">_xll.GetPrice("FP-LBR-1514","Actual","Low",_SPECIFICvarPubDate)</f>
        <v>940</v>
      </c>
      <c r="J309" s="7">
        <f t="array" ref="J309">_xll.GetPrice("FP-LBR-1519","Actual","Low",_SPECIFICvarPubDate)</f>
        <v>580</v>
      </c>
      <c r="K309" s="7">
        <f t="array" ref="K309">_xll.GetPrice("FP-LBR-1524","Actual","Low",_SPECIFICvarPubDate)</f>
        <v>275</v>
      </c>
      <c r="L309" s="3"/>
      <c r="M309" s="3"/>
      <c r="Q309" s="3"/>
      <c r="R309" s="3"/>
      <c r="S309" s="2"/>
      <c r="T309" s="2"/>
      <c r="U309" s="2"/>
      <c r="V309" s="2"/>
      <c r="W309" s="2"/>
      <c r="X309" s="2"/>
      <c r="Y309" s="2"/>
      <c r="Z309" s="2"/>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N309" s="52"/>
      <c r="BO309" s="52"/>
      <c r="BP309" s="52"/>
      <c r="BQ309" s="52"/>
    </row>
    <row r="310" spans="1:69" customFormat="1" x14ac:dyDescent="0.2">
      <c r="A310" s="40" t="s">
        <v>201</v>
      </c>
      <c r="B310" s="7">
        <f t="array" ref="B310">_xll.GetPrice("FP-LBR-1420","Actual","Low",_SPECIFICvarPubDate)</f>
        <v>3160</v>
      </c>
      <c r="C310" s="7">
        <f t="array" ref="C310">_xll.GetPrice("FP-LBR-1425","Actual","Low",_SPECIFICvarPubDate)</f>
        <v>2500</v>
      </c>
      <c r="D310" s="7">
        <f t="array" ref="D310">_xll.GetPrice("FP-LBR-1430","Actual","Low",_SPECIFICvarPubDate)</f>
        <v>505</v>
      </c>
      <c r="E310" s="7">
        <f t="array" ref="E310">_xll.GetPrice("FP-LBR-1435","Actual","Low",_SPECIFICvarPubDate)</f>
        <v>410</v>
      </c>
      <c r="F310" s="7">
        <f t="array" ref="F310">_xll.GetPrice("FP-LBR-1440","Actual","Low",_SPECIFICvarPubDate)</f>
        <v>260</v>
      </c>
      <c r="H310" s="40" t="s">
        <v>201</v>
      </c>
      <c r="I310" s="7">
        <f t="array" ref="I310">_xll.GetPrice("FP-LBR-1515","Actual","Low",_SPECIFICvarPubDate)</f>
        <v>760</v>
      </c>
      <c r="J310" s="7">
        <f t="array" ref="J310">_xll.GetPrice("FP-LBR-1520","Actual","Low",_SPECIFICvarPubDate)</f>
        <v>550</v>
      </c>
      <c r="K310" s="7">
        <f t="array" ref="K310">_xll.GetPrice("FP-LBR-1525","Actual","Low",_SPECIFICvarPubDate)</f>
        <v>260</v>
      </c>
      <c r="L310" s="3"/>
      <c r="M310" s="3"/>
      <c r="Q310" s="3"/>
      <c r="R310" s="3"/>
      <c r="S310" s="2"/>
      <c r="T310" s="2"/>
      <c r="U310" s="2"/>
      <c r="V310" s="2"/>
      <c r="W310" s="2"/>
      <c r="X310" s="2"/>
      <c r="Y310" s="2"/>
      <c r="Z310" s="2"/>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N310" s="52"/>
      <c r="BO310" s="52"/>
      <c r="BP310" s="52"/>
      <c r="BQ310" s="52"/>
    </row>
    <row r="311" spans="1:69" customFormat="1" x14ac:dyDescent="0.2">
      <c r="A311" s="40" t="s">
        <v>202</v>
      </c>
      <c r="B311" s="7">
        <f t="array" ref="B311">_xll.GetPrice("FP-LBR-1421","Actual","Low",_SPECIFICvarPubDate)</f>
        <v>3200</v>
      </c>
      <c r="C311" s="7">
        <f t="array" ref="C311">_xll.GetPrice("FP-LBR-1426","Actual","Low",_SPECIFICvarPubDate)</f>
        <v>2700</v>
      </c>
      <c r="D311" s="7">
        <f t="array" ref="D311">_xll.GetPrice("FP-LBR-1431","Actual","Low",_SPECIFICvarPubDate)</f>
        <v>900</v>
      </c>
      <c r="E311" s="7">
        <f t="array" ref="E311">_xll.GetPrice("FP-LBR-1436","Actual","Low",_SPECIFICvarPubDate)</f>
        <v>645</v>
      </c>
      <c r="F311" s="7">
        <f t="array" ref="F311">_xll.GetPrice("FP-LBR-1441","Actual","Low",_SPECIFICvarPubDate)</f>
        <v>330</v>
      </c>
      <c r="H311" s="40" t="s">
        <v>202</v>
      </c>
      <c r="I311" s="7">
        <f t="array" ref="I311">_xll.GetPrice("FP-LBR-1516","Actual","Low",_SPECIFICvarPubDate)</f>
        <v>1165</v>
      </c>
      <c r="J311" s="7">
        <f t="array" ref="J311">_xll.GetPrice("FP-LBR-1521","Actual","Low",_SPECIFICvarPubDate)</f>
        <v>775</v>
      </c>
      <c r="K311" s="7">
        <f t="array" ref="K311">_xll.GetPrice("FP-LBR-1526","Actual","Low",_SPECIFICvarPubDate)</f>
        <v>330</v>
      </c>
      <c r="L311" s="3"/>
      <c r="M311" s="3"/>
      <c r="Q311" s="3"/>
      <c r="R311" s="3"/>
      <c r="S311" s="2"/>
      <c r="T311" s="2"/>
      <c r="U311" s="2"/>
      <c r="V311" s="2"/>
      <c r="W311" s="2"/>
      <c r="X311" s="2"/>
      <c r="Y311" s="2"/>
      <c r="Z311" s="2"/>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N311" s="52"/>
      <c r="BO311" s="52"/>
      <c r="BP311" s="52"/>
      <c r="BQ311" s="52"/>
    </row>
    <row r="312" spans="1:69" customFormat="1" x14ac:dyDescent="0.2">
      <c r="A312" s="2"/>
      <c r="B312" s="2"/>
      <c r="C312" s="2"/>
      <c r="D312" s="2"/>
      <c r="E312" s="2"/>
      <c r="F312" s="2"/>
      <c r="G312" s="2"/>
      <c r="L312" s="2"/>
      <c r="M312" s="3"/>
      <c r="Q312" s="3"/>
      <c r="R312" s="3"/>
      <c r="S312" s="2"/>
      <c r="T312" s="2"/>
      <c r="U312" s="2"/>
      <c r="V312" s="2"/>
      <c r="W312" s="2"/>
      <c r="X312" s="2"/>
      <c r="Y312" s="2"/>
      <c r="Z312" s="2"/>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N312" s="52"/>
      <c r="BO312" s="52"/>
      <c r="BP312" s="52"/>
      <c r="BQ312" s="52"/>
    </row>
    <row r="313" spans="1:69" customFormat="1" x14ac:dyDescent="0.2">
      <c r="A313" s="23" t="s">
        <v>203</v>
      </c>
      <c r="D313" s="3"/>
      <c r="E313" s="3"/>
      <c r="F313" s="3"/>
      <c r="H313" s="3"/>
      <c r="I313" s="3"/>
      <c r="J313" s="3"/>
      <c r="M313" s="2"/>
      <c r="Q313" s="2"/>
      <c r="R313" s="2"/>
      <c r="S313" s="2"/>
      <c r="T313" s="2"/>
      <c r="U313" s="2"/>
      <c r="V313" s="2"/>
      <c r="W313" s="2"/>
      <c r="X313" s="2"/>
      <c r="Y313" s="2"/>
      <c r="Z313" s="2"/>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N313" s="52"/>
      <c r="BO313" s="52"/>
      <c r="BP313" s="52"/>
      <c r="BQ313" s="52"/>
    </row>
    <row r="314" spans="1:69" customFormat="1" x14ac:dyDescent="0.2">
      <c r="A314" s="15"/>
      <c r="B314" s="19" t="s">
        <v>191</v>
      </c>
      <c r="C314" s="19" t="s">
        <v>192</v>
      </c>
      <c r="D314" s="19" t="s">
        <v>90</v>
      </c>
      <c r="E314" s="19" t="s">
        <v>193</v>
      </c>
      <c r="F314" s="19" t="s">
        <v>194</v>
      </c>
      <c r="H314" s="3"/>
      <c r="I314" s="3"/>
      <c r="J314" s="3"/>
      <c r="R314" s="2"/>
      <c r="S314" s="2"/>
      <c r="T314" s="2"/>
      <c r="U314" s="2"/>
      <c r="V314" s="2"/>
      <c r="W314" s="2"/>
      <c r="X314" s="2"/>
      <c r="Y314" s="2"/>
      <c r="Z314" s="2"/>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N314" s="52"/>
      <c r="BO314" s="52"/>
      <c r="BP314" s="52"/>
      <c r="BQ314" s="52"/>
    </row>
    <row r="315" spans="1:69" customFormat="1" x14ac:dyDescent="0.2">
      <c r="A315" s="40" t="s">
        <v>198</v>
      </c>
      <c r="B315" s="7">
        <f t="array" ref="B315">_xll.GetPrice("FP-LBR-1442","Actual","Low",_SPECIFICvarPubDate)</f>
        <v>2300</v>
      </c>
      <c r="C315" s="7">
        <f t="array" ref="C315">_xll.GetPrice("FP-LBR-1447","Actual","Low",_SPECIFICvarPubDate)</f>
        <v>1800</v>
      </c>
      <c r="D315" s="7">
        <f t="array" ref="D315">_xll.GetPrice("FP-LBR-1452","Actual","Low",_SPECIFICvarPubDate)</f>
        <v>700</v>
      </c>
      <c r="E315" s="7">
        <f t="array" ref="E315">_xll.GetPrice("FP-LBR-1457","Actual","Low",_SPECIFICvarPubDate)</f>
        <v>500</v>
      </c>
      <c r="F315" s="7">
        <f t="array" ref="F315">_xll.GetPrice("FP-LBR-1462","Actual","Low",_SPECIFICvarPubDate)</f>
        <v>305</v>
      </c>
      <c r="R315" s="2"/>
      <c r="S315" s="2"/>
      <c r="T315" s="2"/>
      <c r="U315" s="2"/>
      <c r="V315" s="2"/>
      <c r="W315" s="2"/>
      <c r="X315" s="2"/>
      <c r="Y315" s="2"/>
      <c r="Z315" s="2"/>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N315" s="52"/>
      <c r="BO315" s="52"/>
      <c r="BP315" s="52"/>
      <c r="BQ315" s="52"/>
    </row>
    <row r="316" spans="1:69" customFormat="1" x14ac:dyDescent="0.2">
      <c r="A316" s="40" t="s">
        <v>199</v>
      </c>
      <c r="B316" s="7">
        <f t="array" ref="B316">_xll.GetPrice("FP-LBR-1443","Actual","Low",_SPECIFICvarPubDate)</f>
        <v>2150</v>
      </c>
      <c r="C316" s="7">
        <f t="array" ref="C316">_xll.GetPrice("FP-LBR-1448","Actual","Low",_SPECIFICvarPubDate)</f>
        <v>1600</v>
      </c>
      <c r="D316" s="7">
        <f t="array" ref="D316">_xll.GetPrice("FP-LBR-1453","Actual","Low",_SPECIFICvarPubDate)</f>
        <v>950</v>
      </c>
      <c r="E316" s="7">
        <f t="array" ref="E316">_xll.GetPrice("FP-LBR-1458","Actual","Low",_SPECIFICvarPubDate)</f>
        <v>300</v>
      </c>
      <c r="F316" s="7">
        <f t="array" ref="F316">_xll.GetPrice("FP-LBR-1463","Actual","Low",_SPECIFICvarPubDate)</f>
        <v>185</v>
      </c>
      <c r="G316" s="2"/>
      <c r="R316" s="2"/>
      <c r="S316" s="2"/>
      <c r="T316" s="2"/>
      <c r="U316" s="2"/>
      <c r="V316" s="2"/>
      <c r="W316" s="2"/>
      <c r="X316" s="2"/>
      <c r="Y316" s="2"/>
      <c r="Z316" s="2"/>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N316" s="52"/>
      <c r="BO316" s="52"/>
      <c r="BP316" s="52"/>
      <c r="BQ316" s="52"/>
    </row>
    <row r="317" spans="1:69" customFormat="1" x14ac:dyDescent="0.2">
      <c r="A317" s="40" t="s">
        <v>200</v>
      </c>
      <c r="B317" s="7">
        <f t="array" ref="B317">_xll.GetPrice("FP-LBR-1444","Actual","Low",_SPECIFICvarPubDate)</f>
        <v>2150</v>
      </c>
      <c r="C317" s="7">
        <f t="array" ref="C317">_xll.GetPrice("FP-LBR-1449","Actual","Low",_SPECIFICvarPubDate)</f>
        <v>1600</v>
      </c>
      <c r="D317" s="7">
        <f t="array" ref="D317">_xll.GetPrice("FP-LBR-1454","Actual","Low",_SPECIFICvarPubDate)</f>
        <v>630</v>
      </c>
      <c r="E317" s="7">
        <f t="array" ref="E317">_xll.GetPrice("FP-LBR-1459","Actual","Low",_SPECIFICvarPubDate)</f>
        <v>300</v>
      </c>
      <c r="F317" s="7">
        <f t="array" ref="F317">_xll.GetPrice("FP-LBR-1464","Actual","Low",_SPECIFICvarPubDate)</f>
        <v>200</v>
      </c>
      <c r="G317" s="2"/>
      <c r="H317" s="17" t="s">
        <v>204</v>
      </c>
      <c r="R317" s="2"/>
      <c r="S317" s="2"/>
      <c r="T317" s="2"/>
      <c r="U317" s="2"/>
      <c r="V317" s="2"/>
      <c r="W317" s="2"/>
      <c r="X317" s="2"/>
      <c r="Y317" s="2"/>
      <c r="Z317" s="2"/>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N317" s="52"/>
      <c r="BO317" s="52"/>
      <c r="BP317" s="52"/>
      <c r="BQ317" s="52"/>
    </row>
    <row r="318" spans="1:69" customFormat="1" x14ac:dyDescent="0.2">
      <c r="A318" s="40" t="s">
        <v>201</v>
      </c>
      <c r="B318" s="7">
        <f t="array" ref="B318">_xll.GetPrice("FP-LBR-1445","Actual","Low",_SPECIFICvarPubDate)</f>
        <v>2150</v>
      </c>
      <c r="C318" s="7">
        <f t="array" ref="C318">_xll.GetPrice("FP-LBR-1450","Actual","Low",_SPECIFICvarPubDate)</f>
        <v>1600</v>
      </c>
      <c r="D318" s="7">
        <f t="array" ref="D318">_xll.GetPrice("FP-LBR-1455","Actual","Low",_SPECIFICvarPubDate)</f>
        <v>375</v>
      </c>
      <c r="E318" s="7">
        <f t="array" ref="E318">_xll.GetPrice("FP-LBR-1460","Actual","Low",_SPECIFICvarPubDate)</f>
        <v>290</v>
      </c>
      <c r="F318" s="7">
        <f t="array" ref="F318">_xll.GetPrice("FP-LBR-1465","Actual","Low",_SPECIFICvarPubDate)</f>
        <v>200</v>
      </c>
      <c r="I318" s="19" t="s">
        <v>205</v>
      </c>
      <c r="J318" s="19" t="s">
        <v>206</v>
      </c>
      <c r="K318" s="19" t="s">
        <v>196</v>
      </c>
      <c r="L318" s="19" t="s">
        <v>207</v>
      </c>
      <c r="R318" s="2"/>
      <c r="S318" s="2"/>
      <c r="T318" s="2"/>
      <c r="U318" s="2"/>
      <c r="V318" s="2"/>
      <c r="W318" s="2"/>
      <c r="X318" s="2"/>
      <c r="Y318" s="2"/>
      <c r="Z318" s="2"/>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N318" s="52"/>
      <c r="BO318" s="52"/>
      <c r="BP318" s="52"/>
      <c r="BQ318" s="52"/>
    </row>
    <row r="319" spans="1:69" customFormat="1" x14ac:dyDescent="0.2">
      <c r="A319" s="40" t="s">
        <v>202</v>
      </c>
      <c r="B319" s="7">
        <f t="array" ref="B319">_xll.GetPrice("FP-LBR-1446","Actual","Low",_SPECIFICvarPubDate)</f>
        <v>2150</v>
      </c>
      <c r="C319" s="7">
        <f t="array" ref="C319">_xll.GetPrice("FP-LBR-1451","Actual","Low",_SPECIFICvarPubDate)</f>
        <v>1600</v>
      </c>
      <c r="D319" s="7">
        <f t="array" ref="D319">_xll.GetPrice("FP-LBR-1456","Actual","Low",_SPECIFICvarPubDate)</f>
        <v>700</v>
      </c>
      <c r="E319" s="7">
        <f t="array" ref="E319">_xll.GetPrice("FP-LBR-1461","Actual","Low",_SPECIFICvarPubDate)</f>
        <v>400</v>
      </c>
      <c r="F319" s="7">
        <f t="array" ref="F319">_xll.GetPrice("FP-LBR-1466","Actual","Low",_SPECIFICvarPubDate)</f>
        <v>225</v>
      </c>
      <c r="H319" s="40" t="s">
        <v>198</v>
      </c>
      <c r="I319" s="7">
        <f t="array" ref="I319">_xll.GetPrice("FP-LBR-1587","Actual","Low",_SPECIFICvarPubDate)</f>
        <v>1790</v>
      </c>
      <c r="J319" s="7">
        <f t="array" ref="J319">_xll.GetPrice("FP-LBR-1592","Actual","Low",_SPECIFICvarPubDate)</f>
        <v>1500</v>
      </c>
      <c r="K319" s="7">
        <f t="array" ref="K319">_xll.GetPrice("FP-LBR-1597","Actual","Low",_SPECIFICvarPubDate)</f>
        <v>850</v>
      </c>
      <c r="L319" s="7">
        <f t="array" ref="L319">_xll.GetPrice("FP-LBR-1602","Actual","Low",_SPECIFICvarPubDate)</f>
        <v>530</v>
      </c>
      <c r="M319" s="2"/>
      <c r="R319" s="2"/>
      <c r="S319" s="2"/>
      <c r="T319" s="2"/>
      <c r="U319" s="2"/>
      <c r="V319" s="2"/>
      <c r="W319" s="2"/>
      <c r="X319" s="2"/>
      <c r="Y319" s="2"/>
      <c r="Z319" s="2"/>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N319" s="52"/>
      <c r="BO319" s="52"/>
      <c r="BP319" s="52"/>
      <c r="BQ319" s="52"/>
    </row>
    <row r="320" spans="1:69" customFormat="1" x14ac:dyDescent="0.2">
      <c r="A320" s="2"/>
      <c r="B320" s="2"/>
      <c r="C320" s="2"/>
      <c r="D320" s="2"/>
      <c r="E320" s="2"/>
      <c r="F320" s="2"/>
      <c r="H320" s="40" t="s">
        <v>199</v>
      </c>
      <c r="I320" s="7">
        <f t="array" ref="I320">_xll.GetPrice("FP-LBR-1588","Actual","Low",_SPECIFICvarPubDate)</f>
        <v>2000</v>
      </c>
      <c r="J320" s="7">
        <f t="array" ref="J320">_xll.GetPrice("FP-LBR-1593","Actual","Low",_SPECIFICvarPubDate)</f>
        <v>1600</v>
      </c>
      <c r="K320" s="7">
        <f t="array" ref="K320">_xll.GetPrice("FP-LBR-1598","Actual","Low",_SPECIFICvarPubDate)</f>
        <v>1060</v>
      </c>
      <c r="L320" s="7">
        <f t="array" ref="L320">_xll.GetPrice("FP-LBR-1603","Actual","Low",_SPECIFICvarPubDate)</f>
        <v>540</v>
      </c>
      <c r="M320" s="2"/>
      <c r="R320" s="2"/>
      <c r="S320" s="2"/>
      <c r="T320" s="2"/>
      <c r="U320" s="2"/>
      <c r="V320" s="2"/>
      <c r="W320" s="2"/>
      <c r="X320" s="2"/>
      <c r="Y320" s="2"/>
      <c r="Z320" s="2"/>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N320" s="52"/>
      <c r="BO320" s="52"/>
      <c r="BP320" s="52"/>
      <c r="BQ320" s="52"/>
    </row>
    <row r="321" spans="1:69" customFormat="1" x14ac:dyDescent="0.2">
      <c r="A321" s="34" t="s">
        <v>208</v>
      </c>
      <c r="B321" s="2"/>
      <c r="C321" s="2"/>
      <c r="D321" s="2"/>
      <c r="E321" s="2"/>
      <c r="F321" s="2"/>
      <c r="H321" s="40" t="s">
        <v>200</v>
      </c>
      <c r="I321" s="7">
        <f t="array" ref="I321">_xll.GetPrice("FP-LBR-1589","Actual","Low",_SPECIFICvarPubDate)</f>
        <v>1935</v>
      </c>
      <c r="J321" s="7">
        <f t="array" ref="J321">_xll.GetPrice("FP-LBR-1594","Actual","Low",_SPECIFICvarPubDate)</f>
        <v>1585</v>
      </c>
      <c r="K321" s="7">
        <f t="array" ref="K321">_xll.GetPrice("FP-LBR-1599","Actual","Low",_SPECIFICvarPubDate)</f>
        <v>1210</v>
      </c>
      <c r="L321" s="7">
        <f t="array" ref="L321">_xll.GetPrice("FP-LBR-1604","Actual","Low",_SPECIFICvarPubDate)</f>
        <v>500</v>
      </c>
      <c r="R321" s="2"/>
      <c r="S321" s="2"/>
      <c r="T321" s="2"/>
      <c r="U321" s="2"/>
      <c r="V321" s="2"/>
      <c r="W321" s="2"/>
      <c r="X321" s="2"/>
      <c r="Y321" s="2"/>
      <c r="Z321" s="2"/>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N321" s="52"/>
      <c r="BO321" s="52"/>
      <c r="BP321" s="52"/>
      <c r="BQ321" s="52"/>
    </row>
    <row r="322" spans="1:69" customFormat="1" x14ac:dyDescent="0.2">
      <c r="A322" s="2"/>
      <c r="B322" s="19" t="s">
        <v>191</v>
      </c>
      <c r="C322" s="19" t="s">
        <v>192</v>
      </c>
      <c r="D322" s="19" t="s">
        <v>90</v>
      </c>
      <c r="E322" s="19" t="s">
        <v>193</v>
      </c>
      <c r="F322" s="19" t="s">
        <v>194</v>
      </c>
      <c r="H322" s="40" t="s">
        <v>201</v>
      </c>
      <c r="I322" s="7">
        <f t="array" ref="I322">_xll.GetPrice("FP-LBR-1590","Actual","Low",_SPECIFICvarPubDate)</f>
        <v>2000</v>
      </c>
      <c r="J322" s="7">
        <f t="array" ref="J322">_xll.GetPrice("FP-LBR-1595","Actual","Low",_SPECIFICvarPubDate)</f>
        <v>1400</v>
      </c>
      <c r="K322" s="7">
        <f t="array" ref="K322">_xll.GetPrice("FP-LBR-1600","Actual","Low",_SPECIFICvarPubDate)</f>
        <v>1060</v>
      </c>
      <c r="L322" s="7">
        <f t="array" ref="L322">_xll.GetPrice("FP-LBR-1605","Actual","Low",_SPECIFICvarPubDate)</f>
        <v>495</v>
      </c>
      <c r="Q322" s="2"/>
      <c r="R322" s="2"/>
      <c r="S322" s="2"/>
      <c r="T322" s="2"/>
      <c r="U322" s="2"/>
      <c r="V322" s="2"/>
      <c r="W322" s="2"/>
      <c r="X322" s="2"/>
      <c r="Y322" s="2"/>
      <c r="Z322" s="2"/>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N322" s="52"/>
      <c r="BO322" s="52"/>
      <c r="BP322" s="52"/>
      <c r="BQ322" s="52"/>
    </row>
    <row r="323" spans="1:69" customFormat="1" x14ac:dyDescent="0.2">
      <c r="A323" s="40" t="s">
        <v>198</v>
      </c>
      <c r="B323" s="7">
        <f t="array" ref="B323">_xll.GetPrice("FP-LBR-1467","Actual","Low",_SPECIFICvarPubDate)</f>
        <v>2300</v>
      </c>
      <c r="C323" s="7">
        <f t="array" ref="C323">_xll.GetPrice("FP-LBR-1472","Actual","Low",_SPECIFICvarPubDate)</f>
        <v>1800</v>
      </c>
      <c r="D323" s="7">
        <f t="array" ref="D323">_xll.GetPrice("FP-LBR-1477","Actual","Low",_SPECIFICvarPubDate)</f>
        <v>750</v>
      </c>
      <c r="E323" s="7">
        <f t="array" ref="E323">_xll.GetPrice("FP-LBR-1482","Actual","Low",_SPECIFICvarPubDate)</f>
        <v>510</v>
      </c>
      <c r="F323" s="7">
        <f t="array" ref="F323">_xll.GetPrice("FP-LBR-1487","Actual","Low",_SPECIFICvarPubDate)</f>
        <v>305</v>
      </c>
      <c r="G323" s="2"/>
      <c r="H323" s="40" t="s">
        <v>202</v>
      </c>
      <c r="I323" s="7">
        <f t="array" ref="I323">_xll.GetPrice("FP-LBR-1591","Actual","Low",_SPECIFICvarPubDate)</f>
        <v>2225</v>
      </c>
      <c r="J323" s="7">
        <f t="array" ref="J323">_xll.GetPrice("FP-LBR-1596","Actual","Low",_SPECIFICvarPubDate)</f>
        <v>1465</v>
      </c>
      <c r="K323" s="7">
        <f t="array" ref="K323">_xll.GetPrice("FP-LBR-1601","Actual","Low",_SPECIFICvarPubDate)</f>
        <v>1180</v>
      </c>
      <c r="L323" s="7">
        <f t="array" ref="L323">_xll.GetPrice("FP-LBR-1606","Actual","Low",_SPECIFICvarPubDate)</f>
        <v>530</v>
      </c>
      <c r="Q323" s="2"/>
      <c r="R323" s="2"/>
      <c r="S323" s="2"/>
      <c r="T323" s="2"/>
      <c r="U323" s="2"/>
      <c r="V323" s="2"/>
      <c r="W323" s="2"/>
      <c r="X323" s="2"/>
      <c r="Y323" s="2"/>
      <c r="Z323" s="2"/>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N323" s="52"/>
      <c r="BO323" s="52"/>
      <c r="BP323" s="52"/>
      <c r="BQ323" s="52"/>
    </row>
    <row r="324" spans="1:69" customFormat="1" x14ac:dyDescent="0.2">
      <c r="A324" s="40" t="s">
        <v>199</v>
      </c>
      <c r="B324" s="7">
        <f t="array" ref="B324">_xll.GetPrice("FP-LBR-1468","Actual","Low",_SPECIFICvarPubDate)</f>
        <v>2150</v>
      </c>
      <c r="C324" s="7">
        <f t="array" ref="C324">_xll.GetPrice("FP-LBR-1473","Actual","Low",_SPECIFICvarPubDate)</f>
        <v>1600</v>
      </c>
      <c r="D324" s="7">
        <f t="array" ref="D324">_xll.GetPrice("FP-LBR-1478","Actual","Low",_SPECIFICvarPubDate)</f>
        <v>1000</v>
      </c>
      <c r="E324" s="7">
        <f t="array" ref="E324">_xll.GetPrice("FP-LBR-1483","Actual","Low",_SPECIFICvarPubDate)</f>
        <v>315</v>
      </c>
      <c r="F324" s="7">
        <f t="array" ref="F324">_xll.GetPrice("FP-LBR-1488","Actual","Low",_SPECIFICvarPubDate)</f>
        <v>185</v>
      </c>
      <c r="G324" s="2"/>
      <c r="Q324" s="2"/>
      <c r="R324" s="2"/>
      <c r="S324" s="2"/>
      <c r="T324" s="2"/>
      <c r="U324" s="2"/>
      <c r="V324" s="2"/>
      <c r="W324" s="2"/>
      <c r="X324" s="2"/>
      <c r="Y324" s="2"/>
      <c r="Z324" s="2"/>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N324" s="52"/>
      <c r="BO324" s="52"/>
      <c r="BP324" s="52"/>
      <c r="BQ324" s="52"/>
    </row>
    <row r="325" spans="1:69" customFormat="1" x14ac:dyDescent="0.2">
      <c r="A325" s="40" t="s">
        <v>200</v>
      </c>
      <c r="B325" s="7">
        <f t="array" ref="B325">_xll.GetPrice("FP-LBR-1469","Actual","Low",_SPECIFICvarPubDate)</f>
        <v>2150</v>
      </c>
      <c r="C325" s="7">
        <f t="array" ref="C325">_xll.GetPrice("FP-LBR-1474","Actual","Low",_SPECIFICvarPubDate)</f>
        <v>1600</v>
      </c>
      <c r="D325" s="7">
        <f t="array" ref="D325">_xll.GetPrice("FP-LBR-1479","Actual","Low",_SPECIFICvarPubDate)</f>
        <v>680</v>
      </c>
      <c r="E325" s="7">
        <f t="array" ref="E325">_xll.GetPrice("FP-LBR-1484","Actual","Low",_SPECIFICvarPubDate)</f>
        <v>310</v>
      </c>
      <c r="F325" s="7">
        <f t="array" ref="F325">_xll.GetPrice("FP-LBR-1489","Actual","Low",_SPECIFICvarPubDate)</f>
        <v>200</v>
      </c>
      <c r="G325" s="2"/>
      <c r="R325" s="2"/>
      <c r="S325" s="2"/>
      <c r="T325" s="2"/>
      <c r="U325" s="2"/>
      <c r="V325" s="2"/>
      <c r="W325" s="2"/>
      <c r="X325" s="2"/>
      <c r="Y325" s="2"/>
      <c r="Z325" s="2"/>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N325" s="52"/>
      <c r="BO325" s="52"/>
      <c r="BP325" s="52"/>
      <c r="BQ325" s="52"/>
    </row>
    <row r="326" spans="1:69" customFormat="1" x14ac:dyDescent="0.2">
      <c r="A326" s="40" t="s">
        <v>201</v>
      </c>
      <c r="B326" s="7">
        <f t="array" ref="B326">_xll.GetPrice("FP-LBR-1470","Actual","Low",_SPECIFICvarPubDate)</f>
        <v>2150</v>
      </c>
      <c r="C326" s="7">
        <f t="array" ref="C326">_xll.GetPrice("FP-LBR-1475","Actual","Low",_SPECIFICvarPubDate)</f>
        <v>1600</v>
      </c>
      <c r="D326" s="7">
        <f t="array" ref="D326">_xll.GetPrice("FP-LBR-1480","Actual","Low",_SPECIFICvarPubDate)</f>
        <v>425</v>
      </c>
      <c r="E326" s="7">
        <f t="array" ref="E326">_xll.GetPrice("FP-LBR-1485","Actual","Low",_SPECIFICvarPubDate)</f>
        <v>300</v>
      </c>
      <c r="F326" s="7">
        <f t="array" ref="F326">_xll.GetPrice("FP-LBR-1490","Actual","Low",_SPECIFICvarPubDate)</f>
        <v>200</v>
      </c>
      <c r="R326" s="2"/>
      <c r="S326" s="2"/>
      <c r="T326" s="2"/>
      <c r="U326" s="2"/>
      <c r="V326" s="2"/>
      <c r="W326" s="2"/>
      <c r="X326" s="2"/>
      <c r="Y326" s="2"/>
      <c r="Z326" s="2"/>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N326" s="52"/>
      <c r="BO326" s="52"/>
      <c r="BP326" s="52"/>
      <c r="BQ326" s="52"/>
    </row>
    <row r="327" spans="1:69" customFormat="1" x14ac:dyDescent="0.2">
      <c r="A327" s="40" t="s">
        <v>202</v>
      </c>
      <c r="B327" s="7">
        <f t="array" ref="B327">_xll.GetPrice("FP-LBR-1471","Actual","Low",_SPECIFICvarPubDate)</f>
        <v>2150</v>
      </c>
      <c r="C327" s="7">
        <f t="array" ref="C327">_xll.GetPrice("FP-LBR-1476","Actual","Low",_SPECIFICvarPubDate)</f>
        <v>1600</v>
      </c>
      <c r="D327" s="7">
        <f t="array" ref="D327">_xll.GetPrice("FP-LBR-1481","Actual","Low",_SPECIFICvarPubDate)</f>
        <v>850</v>
      </c>
      <c r="E327" s="7">
        <f t="array" ref="E327">_xll.GetPrice("FP-LBR-1486","Actual","Low",_SPECIFICvarPubDate)</f>
        <v>425</v>
      </c>
      <c r="F327" s="7">
        <f t="array" ref="F327">_xll.GetPrice("FP-LBR-1491","Actual","Low",_SPECIFICvarPubDate)</f>
        <v>225</v>
      </c>
      <c r="H327" s="17" t="s">
        <v>209</v>
      </c>
      <c r="M327" s="2"/>
      <c r="Q327" s="2"/>
      <c r="R327" s="2"/>
      <c r="S327" s="2"/>
      <c r="T327" s="2"/>
      <c r="U327" s="2"/>
      <c r="V327" s="2"/>
      <c r="W327" s="2"/>
      <c r="X327" s="2"/>
      <c r="Y327" s="2"/>
      <c r="Z327" s="2"/>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N327" s="52"/>
      <c r="BO327" s="52"/>
      <c r="BP327" s="52"/>
      <c r="BQ327" s="52"/>
    </row>
    <row r="328" spans="1:69" customFormat="1" x14ac:dyDescent="0.2">
      <c r="I328" s="22" t="s">
        <v>191</v>
      </c>
      <c r="J328" s="22" t="s">
        <v>192</v>
      </c>
      <c r="K328" s="22" t="s">
        <v>210</v>
      </c>
      <c r="L328" s="22" t="s">
        <v>193</v>
      </c>
      <c r="Q328" s="2"/>
      <c r="R328" s="2"/>
      <c r="S328" s="2"/>
      <c r="T328" s="2"/>
      <c r="U328" s="2"/>
      <c r="V328" s="2"/>
      <c r="W328" s="2"/>
      <c r="X328" s="2"/>
      <c r="Y328" s="2"/>
      <c r="Z328" s="2"/>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N328" s="52"/>
      <c r="BO328" s="52"/>
      <c r="BP328" s="52"/>
      <c r="BQ328" s="52"/>
    </row>
    <row r="329" spans="1:69" customFormat="1" x14ac:dyDescent="0.2">
      <c r="H329" s="40" t="s">
        <v>198</v>
      </c>
      <c r="I329" s="7">
        <f t="array" ref="I329">_xll.GetPrice("FP-LBR-1547","Actual","Low",_SPECIFICvarPubDate)</f>
        <v>1070</v>
      </c>
      <c r="J329" s="7">
        <f t="array" ref="J329">_xll.GetPrice("FP-LBR-1552","Actual","Low",_SPECIFICvarPubDate)</f>
        <v>850</v>
      </c>
      <c r="K329" s="7">
        <f t="array" ref="K329">_xll.GetPrice("FP-LBR-1557","Actual","Low",_SPECIFICvarPubDate)</f>
        <v>675</v>
      </c>
      <c r="L329" s="7">
        <f t="array" ref="L329">_xll.GetPrice("FP-LBR-1562","Actual","Low",_SPECIFICvarPubDate)</f>
        <v>590</v>
      </c>
      <c r="M329" s="2"/>
      <c r="R329" s="2"/>
      <c r="W329" s="2"/>
      <c r="X329" s="2"/>
      <c r="Y329" s="2"/>
      <c r="Z329" s="2"/>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N329" s="52"/>
      <c r="BO329" s="52"/>
      <c r="BP329" s="52"/>
      <c r="BQ329" s="52"/>
    </row>
    <row r="330" spans="1:69" customFormat="1" x14ac:dyDescent="0.2">
      <c r="A330" s="17" t="s">
        <v>211</v>
      </c>
      <c r="B330" s="41"/>
      <c r="C330" s="41"/>
      <c r="D330" s="41"/>
      <c r="E330" s="41"/>
      <c r="H330" s="40" t="s">
        <v>199</v>
      </c>
      <c r="I330" s="7">
        <f t="array" ref="I330">_xll.GetPrice("FP-LBR-1548","Actual","Low",_SPECIFICvarPubDate)</f>
        <v>1725</v>
      </c>
      <c r="J330" s="7">
        <f t="array" ref="J330">_xll.GetPrice("FP-LBR-1553","Actual","Low",_SPECIFICvarPubDate)</f>
        <v>1165</v>
      </c>
      <c r="K330" s="7">
        <f t="array" ref="K330">_xll.GetPrice("FP-LBR-1558","Actual","Low",_SPECIFICvarPubDate)</f>
        <v>740</v>
      </c>
      <c r="L330" s="7">
        <f t="array" ref="L330">_xll.GetPrice("FP-LBR-1563","Actual","Low",_SPECIFICvarPubDate)</f>
        <v>500</v>
      </c>
      <c r="M330" s="2"/>
      <c r="R330" s="2"/>
      <c r="W330" s="2"/>
      <c r="X330" s="2"/>
      <c r="Y330" s="2"/>
      <c r="Z330" s="2"/>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N330" s="52"/>
      <c r="BO330" s="52"/>
      <c r="BP330" s="52"/>
      <c r="BQ330" s="52"/>
    </row>
    <row r="331" spans="1:69" customFormat="1" x14ac:dyDescent="0.2">
      <c r="A331" s="2"/>
      <c r="B331" s="22" t="s">
        <v>205</v>
      </c>
      <c r="C331" s="22" t="s">
        <v>90</v>
      </c>
      <c r="D331" s="22" t="s">
        <v>193</v>
      </c>
      <c r="E331" s="22" t="s">
        <v>194</v>
      </c>
      <c r="F331" s="3"/>
      <c r="H331" s="40" t="s">
        <v>200</v>
      </c>
      <c r="I331" s="7">
        <f t="array" ref="I331">_xll.GetPrice("FP-LBR-1549","Actual","Low",_SPECIFICvarPubDate)</f>
        <v>1505</v>
      </c>
      <c r="J331" s="7">
        <f t="array" ref="J331">_xll.GetPrice("FP-LBR-1554","Actual","Low",_SPECIFICvarPubDate)</f>
        <v>1080</v>
      </c>
      <c r="K331" s="7">
        <f t="array" ref="K331">_xll.GetPrice("FP-LBR-1559","Actual","Low",_SPECIFICvarPubDate)</f>
        <v>615</v>
      </c>
      <c r="L331" s="7">
        <f t="array" ref="L331">_xll.GetPrice("FP-LBR-1564","Actual","Low",_SPECIFICvarPubDate)</f>
        <v>415</v>
      </c>
      <c r="M331" s="2"/>
      <c r="Q331" s="2"/>
      <c r="R331" s="2"/>
      <c r="W331" s="2"/>
      <c r="X331" s="2"/>
      <c r="Y331" s="2"/>
      <c r="Z331" s="2"/>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N331" s="52"/>
      <c r="BO331" s="52"/>
      <c r="BP331" s="52"/>
      <c r="BQ331" s="52"/>
    </row>
    <row r="332" spans="1:69" customFormat="1" x14ac:dyDescent="0.2">
      <c r="A332" s="40" t="s">
        <v>198</v>
      </c>
      <c r="B332" s="7">
        <f t="array" ref="B332">_xll.GetPrice("FP-LBR-1492","Actual","Low",_SPECIFICvarPubDate)</f>
        <v>1650</v>
      </c>
      <c r="C332" s="7">
        <f t="array" ref="C332">_xll.GetPrice("FP-LBR-1497","Actual","Low",_SPECIFICvarPubDate)</f>
        <v>980</v>
      </c>
      <c r="D332" s="7">
        <f t="array" ref="D332">_xll.GetPrice("FP-LBR-1502","Actual","Low",_SPECIFICvarPubDate)</f>
        <v>805</v>
      </c>
      <c r="E332" s="7">
        <f t="array" ref="E332">_xll.GetPrice("FP-LBR-1507","Actual","Low",_SPECIFICvarPubDate)</f>
        <v>405</v>
      </c>
      <c r="F332" s="2"/>
      <c r="H332" s="40" t="s">
        <v>201</v>
      </c>
      <c r="I332" s="7">
        <f t="array" ref="I332">_xll.GetPrice("FP-LBR-1550","Actual","Low",_SPECIFICvarPubDate)</f>
        <v>1540</v>
      </c>
      <c r="J332" s="7">
        <f t="array" ref="J332">_xll.GetPrice("FP-LBR-1555","Actual","Low",_SPECIFICvarPubDate)</f>
        <v>1350</v>
      </c>
      <c r="K332" s="7">
        <f t="array" ref="K332">_xll.GetPrice("FP-LBR-1560","Actual","Low",_SPECIFICvarPubDate)</f>
        <v>540</v>
      </c>
      <c r="L332" s="7">
        <f t="array" ref="L332">_xll.GetPrice("FP-LBR-1565","Actual","Low",_SPECIFICvarPubDate)</f>
        <v>370</v>
      </c>
      <c r="M332" s="2"/>
      <c r="Q332" s="2"/>
      <c r="R332" s="2"/>
      <c r="W332" s="2"/>
      <c r="X332" s="2"/>
      <c r="Y332" s="2"/>
      <c r="Z332" s="2"/>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N332" s="52"/>
      <c r="BO332" s="52"/>
      <c r="BP332" s="52"/>
      <c r="BQ332" s="52"/>
    </row>
    <row r="333" spans="1:69" customFormat="1" x14ac:dyDescent="0.2">
      <c r="A333" s="40" t="s">
        <v>199</v>
      </c>
      <c r="B333" s="7">
        <f t="array" ref="B333">_xll.GetPrice("FP-LBR-1493","Actual","Low",_SPECIFICvarPubDate)</f>
        <v>1750</v>
      </c>
      <c r="C333" s="7">
        <f t="array" ref="C333">_xll.GetPrice("FP-LBR-1498","Actual","Low",_SPECIFICvarPubDate)</f>
        <v>1105</v>
      </c>
      <c r="D333" s="7">
        <f t="array" ref="D333">_xll.GetPrice("FP-LBR-1503","Actual","Low",_SPECIFICvarPubDate)</f>
        <v>710</v>
      </c>
      <c r="E333" s="7">
        <f t="array" ref="E333">_xll.GetPrice("FP-LBR-1508","Actual","Low",_SPECIFICvarPubDate)</f>
        <v>345</v>
      </c>
      <c r="H333" s="40" t="s">
        <v>202</v>
      </c>
      <c r="I333" s="7">
        <f t="array" ref="I333">_xll.GetPrice("FP-LBR-1551","Actual","Low",_SPECIFICvarPubDate)</f>
        <v>1930</v>
      </c>
      <c r="J333" s="7">
        <f t="array" ref="J333">_xll.GetPrice("FP-LBR-1556","Actual","Low",_SPECIFICvarPubDate)</f>
        <v>1420</v>
      </c>
      <c r="K333" s="7">
        <f t="array" ref="K333">_xll.GetPrice("FP-LBR-1561","Actual","Low",_SPECIFICvarPubDate)</f>
        <v>605</v>
      </c>
      <c r="L333" s="7">
        <f t="array" ref="L333">_xll.GetPrice("FP-LBR-1566","Actual","Low",_SPECIFICvarPubDate)</f>
        <v>390</v>
      </c>
      <c r="Q333" s="2"/>
      <c r="R333" s="2"/>
      <c r="W333" s="2"/>
      <c r="X333" s="2"/>
      <c r="Y333" s="2"/>
      <c r="Z333" s="2"/>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N333" s="52"/>
      <c r="BO333" s="52"/>
      <c r="BP333" s="52"/>
      <c r="BQ333" s="52"/>
    </row>
    <row r="334" spans="1:69" customFormat="1" x14ac:dyDescent="0.2">
      <c r="A334" s="40" t="s">
        <v>200</v>
      </c>
      <c r="B334" s="7">
        <f t="array" ref="B334">_xll.GetPrice("FP-LBR-1494","Actual","Low",_SPECIFICvarPubDate)</f>
        <v>1750</v>
      </c>
      <c r="C334" s="7">
        <f t="array" ref="C334">_xll.GetPrice("FP-LBR-1499","Actual","Low",_SPECIFICvarPubDate)</f>
        <v>1010</v>
      </c>
      <c r="D334" s="7">
        <f t="array" ref="D334">_xll.GetPrice("FP-LBR-1504","Actual","Low",_SPECIFICvarPubDate)</f>
        <v>635</v>
      </c>
      <c r="E334" s="7">
        <f t="array" ref="E334">_xll.GetPrice("FP-LBR-1509","Actual","Low",_SPECIFICvarPubDate)</f>
        <v>290</v>
      </c>
      <c r="Q334" s="2"/>
      <c r="R334" s="2"/>
      <c r="S334" s="2"/>
      <c r="T334" s="2"/>
      <c r="U334" s="2"/>
      <c r="V334" s="2"/>
      <c r="W334" s="2"/>
      <c r="X334" s="2"/>
      <c r="Y334" s="2"/>
      <c r="Z334" s="2"/>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N334" s="52"/>
      <c r="BO334" s="52"/>
      <c r="BP334" s="52"/>
      <c r="BQ334" s="52"/>
    </row>
    <row r="335" spans="1:69" customFormat="1" x14ac:dyDescent="0.2">
      <c r="A335" s="40" t="s">
        <v>201</v>
      </c>
      <c r="B335" s="7">
        <f t="array" ref="B335">_xll.GetPrice("FP-LBR-1495","Actual","Low",_SPECIFICvarPubDate)</f>
        <v>1650</v>
      </c>
      <c r="C335" s="7">
        <f t="array" ref="C335">_xll.GetPrice("FP-LBR-1500","Actual","Low",_SPECIFICvarPubDate)</f>
        <v>975</v>
      </c>
      <c r="D335" s="7">
        <f t="array" ref="D335">_xll.GetPrice("FP-LBR-1505","Actual","Low",_SPECIFICvarPubDate)</f>
        <v>645</v>
      </c>
      <c r="E335" s="7">
        <f t="array" ref="E335">_xll.GetPrice("FP-LBR-1510","Actual","Low",_SPECIFICvarPubDate)</f>
        <v>405</v>
      </c>
      <c r="H335" s="42" t="s">
        <v>210</v>
      </c>
      <c r="R335" s="2"/>
      <c r="S335" s="2"/>
      <c r="T335" s="2"/>
      <c r="U335" s="2"/>
      <c r="V335" s="2"/>
      <c r="W335" s="2"/>
      <c r="X335" s="2"/>
      <c r="Y335" s="2"/>
      <c r="Z335" s="2"/>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N335" s="52"/>
      <c r="BO335" s="52"/>
      <c r="BP335" s="52"/>
      <c r="BQ335" s="52"/>
    </row>
    <row r="336" spans="1:69" customFormat="1" x14ac:dyDescent="0.2">
      <c r="A336" s="40" t="s">
        <v>202</v>
      </c>
      <c r="B336" s="7">
        <f t="array" ref="B336">_xll.GetPrice("FP-LBR-1496","Actual","Low",_SPECIFICvarPubDate)</f>
        <v>1750</v>
      </c>
      <c r="C336" s="7">
        <f t="array" ref="C336">_xll.GetPrice("FP-LBR-1501","Actual","Low",_SPECIFICvarPubDate)</f>
        <v>1180</v>
      </c>
      <c r="D336" s="7">
        <f t="array" ref="D336">_xll.GetPrice("FP-LBR-1506","Actual","Low",_SPECIFICvarPubDate)</f>
        <v>740</v>
      </c>
      <c r="E336" s="7">
        <f t="array" ref="E336">_xll.GetPrice("FP-LBR-1511","Actual","Low",_SPECIFICvarPubDate)</f>
        <v>335</v>
      </c>
      <c r="H336" s="19" t="s">
        <v>26</v>
      </c>
      <c r="I336" s="22" t="s">
        <v>127</v>
      </c>
      <c r="J336" s="22" t="s">
        <v>128</v>
      </c>
      <c r="K336" s="22" t="s">
        <v>129</v>
      </c>
      <c r="L336" s="22" t="s">
        <v>130</v>
      </c>
      <c r="M336" s="22" t="s">
        <v>131</v>
      </c>
      <c r="R336" s="2"/>
      <c r="S336" s="2"/>
      <c r="T336" s="2"/>
      <c r="U336" s="2"/>
      <c r="V336" s="2"/>
      <c r="W336" s="2"/>
      <c r="X336" s="2"/>
      <c r="Y336" s="2"/>
      <c r="Z336" s="2"/>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O336" s="52"/>
      <c r="BP336" s="52"/>
      <c r="BQ336" s="52"/>
    </row>
    <row r="337" spans="1:69" customFormat="1" x14ac:dyDescent="0.2">
      <c r="H337" s="40" t="s">
        <v>198</v>
      </c>
      <c r="I337" s="7">
        <f t="array" ref="I337">_xll.GetPrice("FP-LBR-1577","Actual","Low",_SPECIFICvarPubDate)</f>
        <v>755</v>
      </c>
      <c r="J337" s="7">
        <f t="array" ref="J337">_xll.GetPrice("FP-LBR-1578","Actual","Low",_SPECIFICvarPubDate)</f>
        <v>675</v>
      </c>
      <c r="K337" s="7">
        <f t="array" ref="K337">_xll.GetPrice("FP-LBR-1579","Actual","Low",_SPECIFICvarPubDate)</f>
        <v>645</v>
      </c>
      <c r="L337" s="7">
        <f t="array" ref="L337">_xll.GetPrice("FP-LBR-1580","Actual","Low",_SPECIFICvarPubDate)</f>
        <v>570</v>
      </c>
      <c r="M337" s="7">
        <f t="array" ref="M337">_xll.GetPrice("FP-LBR-1581","Actual","Low",_SPECIFICvarPubDate)</f>
        <v>725</v>
      </c>
      <c r="R337" s="2"/>
      <c r="S337" s="2"/>
      <c r="T337" s="2"/>
      <c r="U337" s="2"/>
      <c r="V337" s="2"/>
      <c r="W337" s="2"/>
      <c r="X337" s="2"/>
      <c r="Y337" s="2"/>
      <c r="Z337" s="2"/>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Q337" s="52"/>
    </row>
    <row r="338" spans="1:69" customFormat="1" x14ac:dyDescent="0.2">
      <c r="H338" s="40" t="s">
        <v>199</v>
      </c>
      <c r="I338" s="7">
        <f t="array" ref="I338">_xll.GetPrice("FP-LBR-1582","Actual","Low",_SPECIFICvarPubDate)</f>
        <v>685</v>
      </c>
      <c r="J338" s="7">
        <f t="array" ref="J338">_xll.GetPrice("FP-LBR-1583","Actual","Low",_SPECIFICvarPubDate)</f>
        <v>695</v>
      </c>
      <c r="K338" s="7">
        <f t="array" ref="K338">_xll.GetPrice("FP-LBR-1584","Actual","Low",_SPECIFICvarPubDate)</f>
        <v>760</v>
      </c>
      <c r="L338" s="7">
        <f t="array" ref="L338">_xll.GetPrice("FP-LBR-1585","Actual","Low",_SPECIFICvarPubDate)</f>
        <v>675</v>
      </c>
      <c r="M338" s="7">
        <f t="array" ref="M338">_xll.GetPrice("FP-LBR-1586","Actual","Low",_SPECIFICvarPubDate)</f>
        <v>870</v>
      </c>
      <c r="Q338" s="3"/>
      <c r="R338" s="2"/>
      <c r="S338" s="2"/>
      <c r="T338" s="2"/>
      <c r="U338" s="2"/>
      <c r="V338" s="2"/>
      <c r="W338" s="2"/>
      <c r="X338" s="2"/>
      <c r="Y338" s="2"/>
      <c r="Z338" s="2"/>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Q338" s="52"/>
    </row>
    <row r="339" spans="1:69" customFormat="1" x14ac:dyDescent="0.2">
      <c r="F339" s="2"/>
      <c r="G339" s="2"/>
      <c r="H339" s="19" t="s">
        <v>28</v>
      </c>
      <c r="I339" s="22"/>
      <c r="J339" s="22"/>
      <c r="K339" s="22"/>
      <c r="L339" s="22"/>
      <c r="M339" s="22"/>
      <c r="Q339" s="3"/>
      <c r="R339" s="2"/>
      <c r="S339" s="2"/>
      <c r="T339" s="2"/>
      <c r="U339" s="2"/>
      <c r="V339" s="2"/>
      <c r="W339" s="2"/>
      <c r="X339" s="2"/>
      <c r="Y339" s="2"/>
      <c r="Z339" s="2"/>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O339" s="52"/>
      <c r="BP339" s="52"/>
      <c r="BQ339" s="52"/>
    </row>
    <row r="340" spans="1:69" customFormat="1" x14ac:dyDescent="0.2">
      <c r="A340" s="17" t="s">
        <v>212</v>
      </c>
      <c r="F340" s="2"/>
      <c r="H340" s="40" t="s">
        <v>198</v>
      </c>
      <c r="I340" s="7">
        <f t="array" ref="I340">_xll.GetPrice("FP-LBR-1567","Actual","Low",_SPECIFICvarPubDate)</f>
        <v>725</v>
      </c>
      <c r="J340" s="7">
        <f t="array" ref="J340">_xll.GetPrice("FP-LBR-1568","Actual","Low",_SPECIFICvarPubDate)</f>
        <v>690</v>
      </c>
      <c r="K340" s="7">
        <f t="array" ref="K340">_xll.GetPrice("FP-LBR-1569","Actual","Low",_SPECIFICvarPubDate)</f>
        <v>625</v>
      </c>
      <c r="L340" s="7">
        <f t="array" ref="L340">_xll.GetPrice("FP-LBR-1570","Actual","Low",_SPECIFICvarPubDate)</f>
        <v>630</v>
      </c>
      <c r="M340" s="7">
        <f t="array" ref="M340">_xll.GetPrice("FP-LBR-1571","Actual","Low",_SPECIFICvarPubDate)</f>
        <v>710</v>
      </c>
      <c r="Q340" s="3"/>
      <c r="R340" s="2"/>
      <c r="S340" s="2"/>
      <c r="T340" s="2"/>
      <c r="U340" s="2"/>
      <c r="V340" s="2"/>
      <c r="W340" s="2"/>
      <c r="X340" s="2"/>
      <c r="Y340" s="2"/>
      <c r="Z340" s="2"/>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O340" s="52"/>
      <c r="BP340" s="52"/>
      <c r="BQ340" s="52"/>
    </row>
    <row r="341" spans="1:69" customFormat="1" x14ac:dyDescent="0.2">
      <c r="A341" s="36"/>
      <c r="B341" s="19" t="s">
        <v>210</v>
      </c>
      <c r="E341" s="3"/>
      <c r="G341" s="2"/>
      <c r="H341" s="40" t="s">
        <v>199</v>
      </c>
      <c r="I341" s="7">
        <f t="array" ref="I341">_xll.GetPrice("FP-LBR-1572","Actual","Low",_SPECIFICvarPubDate)</f>
        <v>680</v>
      </c>
      <c r="J341" s="7">
        <f t="array" ref="J341">_xll.GetPrice("FP-LBR-1573","Actual","Low",_SPECIFICvarPubDate)</f>
        <v>710</v>
      </c>
      <c r="K341" s="7">
        <f t="array" ref="K341">_xll.GetPrice("FP-LBR-1574","Actual","Low",_SPECIFICvarPubDate)</f>
        <v>780</v>
      </c>
      <c r="L341" s="7">
        <f t="array" ref="L341">_xll.GetPrice("FP-LBR-1575","Actual","Low",_SPECIFICvarPubDate)</f>
        <v>590</v>
      </c>
      <c r="M341" s="7">
        <f t="array" ref="M341">_xll.GetPrice("FP-LBR-1576","Actual","Low",_SPECIFICvarPubDate)</f>
        <v>930</v>
      </c>
      <c r="Q341" s="3"/>
      <c r="R341" s="2"/>
      <c r="S341" s="2"/>
      <c r="T341" s="2"/>
      <c r="U341" s="2"/>
      <c r="V341" s="2"/>
      <c r="W341" s="2"/>
      <c r="X341" s="2"/>
      <c r="Y341" s="2"/>
      <c r="Z341" s="2"/>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I341" s="52"/>
      <c r="BJ341" s="52"/>
      <c r="BK341" s="52"/>
      <c r="BL341" s="52"/>
      <c r="BM341" s="52"/>
      <c r="BN341" s="52"/>
      <c r="BO341" s="52"/>
      <c r="BP341" s="52"/>
      <c r="BQ341" s="52"/>
    </row>
    <row r="342" spans="1:69" customFormat="1" x14ac:dyDescent="0.2">
      <c r="A342" s="40" t="s">
        <v>198</v>
      </c>
      <c r="B342" s="63">
        <f t="array" ref="B342">_xll.GetPrice("FP-LBR-0144","Actual","Low",_SPECIFICvarPubDate)</f>
        <v>880</v>
      </c>
      <c r="C342" s="3"/>
      <c r="D342" s="3"/>
      <c r="E342" s="3"/>
      <c r="G342" s="2"/>
      <c r="Q342" s="3"/>
      <c r="R342" s="2"/>
      <c r="S342" s="2"/>
      <c r="T342" s="2"/>
      <c r="U342" s="2"/>
      <c r="V342" s="2"/>
      <c r="W342" s="2"/>
      <c r="X342" s="2"/>
      <c r="Y342" s="2"/>
      <c r="Z342" s="2"/>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52"/>
      <c r="BB342" s="52"/>
      <c r="BC342" s="52"/>
      <c r="BD342" s="52"/>
      <c r="BE342" s="52"/>
      <c r="BF342" s="52"/>
      <c r="BG342" s="52"/>
      <c r="BH342" s="52"/>
      <c r="BI342" s="52"/>
      <c r="BJ342" s="52"/>
      <c r="BK342" s="52"/>
      <c r="BL342" s="52"/>
      <c r="BM342" s="52"/>
      <c r="BN342" s="52"/>
      <c r="BO342" s="52"/>
      <c r="BP342" s="52"/>
      <c r="BQ342" s="52"/>
    </row>
    <row r="343" spans="1:69" customFormat="1" x14ac:dyDescent="0.2">
      <c r="A343" s="40" t="s">
        <v>199</v>
      </c>
      <c r="B343" s="63">
        <f t="array" ref="B343">_xll.GetPrice("FP-LBR-0145","Actual","Low",_SPECIFICvarPubDate)</f>
        <v>985</v>
      </c>
      <c r="C343" s="3"/>
      <c r="D343" s="3"/>
      <c r="E343" s="3"/>
      <c r="F343" s="2"/>
      <c r="G343" s="2"/>
      <c r="H343" s="42" t="s">
        <v>213</v>
      </c>
      <c r="Q343" s="3"/>
      <c r="T343" s="2"/>
      <c r="U343" s="2"/>
      <c r="V343" s="2"/>
      <c r="W343" s="2"/>
      <c r="X343" s="2"/>
      <c r="Y343" s="2"/>
      <c r="Z343" s="2"/>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52"/>
      <c r="BB343" s="52"/>
      <c r="BC343" s="52"/>
      <c r="BD343" s="52"/>
      <c r="BE343" s="52"/>
      <c r="BF343" s="52"/>
      <c r="BG343" s="52"/>
      <c r="BH343" s="52"/>
      <c r="BI343" s="52"/>
      <c r="BJ343" s="52"/>
      <c r="BK343" s="52"/>
      <c r="BL343" s="52"/>
      <c r="BM343" s="52"/>
      <c r="BN343" s="52"/>
      <c r="BO343" s="52"/>
      <c r="BP343" s="52"/>
      <c r="BQ343" s="52"/>
    </row>
    <row r="344" spans="1:69" customFormat="1" x14ac:dyDescent="0.2">
      <c r="A344" s="40" t="s">
        <v>200</v>
      </c>
      <c r="B344" s="63">
        <f t="array" ref="B344">_xll.GetPrice("FP-LBR-0146","Actual","Low",_SPECIFICvarPubDate)</f>
        <v>1165</v>
      </c>
      <c r="C344" s="3"/>
      <c r="D344" s="3"/>
      <c r="E344" s="2"/>
      <c r="F344" s="2"/>
      <c r="G344" s="2"/>
      <c r="H344" s="19" t="s">
        <v>26</v>
      </c>
      <c r="I344" s="22" t="s">
        <v>127</v>
      </c>
      <c r="J344" s="22" t="s">
        <v>128</v>
      </c>
      <c r="K344" s="22" t="s">
        <v>129</v>
      </c>
      <c r="L344" s="22" t="s">
        <v>130</v>
      </c>
      <c r="M344" s="22" t="s">
        <v>131</v>
      </c>
      <c r="Q344" s="3"/>
      <c r="T344" s="2"/>
      <c r="U344" s="2"/>
      <c r="V344" s="2"/>
      <c r="W344" s="2"/>
      <c r="X344" s="2"/>
      <c r="Y344" s="2"/>
      <c r="Z344" s="2"/>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52"/>
      <c r="BB344" s="52"/>
      <c r="BC344" s="52"/>
      <c r="BD344" s="52"/>
      <c r="BE344" s="52"/>
      <c r="BF344" s="52"/>
      <c r="BG344" s="52"/>
      <c r="BH344" s="52"/>
      <c r="BI344" s="52"/>
      <c r="BJ344" s="52"/>
      <c r="BK344" s="52"/>
      <c r="BL344" s="52"/>
      <c r="BM344" s="52"/>
      <c r="BN344" s="52"/>
      <c r="BO344" s="52"/>
      <c r="BP344" s="52"/>
      <c r="BQ344" s="52"/>
    </row>
    <row r="345" spans="1:69" customFormat="1" x14ac:dyDescent="0.2">
      <c r="A345" s="40" t="s">
        <v>201</v>
      </c>
      <c r="B345" s="63">
        <f t="array" ref="B345">_xll.GetPrice("FP-LBR-0147","Actual","Low",_SPECIFICvarPubDate)</f>
        <v>1315</v>
      </c>
      <c r="C345" s="2"/>
      <c r="D345" s="2"/>
      <c r="E345" s="3"/>
      <c r="F345" s="3"/>
      <c r="G345" s="2"/>
      <c r="H345" s="40" t="s">
        <v>196</v>
      </c>
      <c r="I345" s="7">
        <f t="array" ref="I345">_xll.GetPrice("FP-LBR-2174","Actual","Low",_SPECIFICvarPubDate)</f>
        <v>560</v>
      </c>
      <c r="J345" s="7">
        <f t="array" ref="J345">_xll.GetPrice("FP-LBR-2175","Actual","Low",_SPECIFICvarPubDate)</f>
        <v>560</v>
      </c>
      <c r="K345" s="7">
        <f t="array" ref="K345">_xll.GetPrice("FP-LBR-2176","Actual","Low",_SPECIFICvarPubDate)</f>
        <v>500</v>
      </c>
      <c r="L345" s="7">
        <f t="array" ref="L345">_xll.GetPrice("FP-LBR-2177","Actual","Low",_SPECIFICvarPubDate)</f>
        <v>430</v>
      </c>
      <c r="M345" s="7">
        <f t="array" ref="M345">_xll.GetPrice("FP-LBR-2178","Actual","Low",_SPECIFICvarPubDate)</f>
        <v>520</v>
      </c>
      <c r="U345" s="2"/>
      <c r="V345" s="2"/>
      <c r="W345" s="2"/>
      <c r="X345" s="2"/>
      <c r="Y345" s="2"/>
      <c r="Z345" s="2"/>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52"/>
      <c r="BB345" s="52"/>
      <c r="BC345" s="52"/>
      <c r="BD345" s="52"/>
      <c r="BE345" s="52"/>
      <c r="BF345" s="52"/>
      <c r="BG345" s="52"/>
      <c r="BH345" s="52"/>
      <c r="BI345" s="52"/>
      <c r="BJ345" s="52"/>
      <c r="BK345" s="52"/>
      <c r="BL345" s="52"/>
      <c r="BM345" s="52"/>
      <c r="BN345" s="52"/>
      <c r="BO345" s="52"/>
      <c r="BP345" s="52"/>
      <c r="BQ345" s="52"/>
    </row>
    <row r="346" spans="1:69" customFormat="1" x14ac:dyDescent="0.2">
      <c r="A346" s="40" t="s">
        <v>202</v>
      </c>
      <c r="B346" s="63">
        <f t="array" ref="B346">_xll.GetPrice("FP-LBR-0148","Actual","Low",_SPECIFICvarPubDate)</f>
        <v>1470</v>
      </c>
      <c r="C346" s="3"/>
      <c r="D346" s="3"/>
      <c r="H346" s="40" t="s">
        <v>206</v>
      </c>
      <c r="I346" s="7">
        <f t="array" ref="I346">_xll.GetPrice("FP-LBR-2179","Actual","Low",_SPECIFICvarPubDate)</f>
        <v>585</v>
      </c>
      <c r="J346" s="7">
        <f t="array" ref="J346">_xll.GetPrice("FP-LBR-2180","Actual","Low",_SPECIFICvarPubDate)</f>
        <v>590</v>
      </c>
      <c r="K346" s="7">
        <f t="array" ref="K346">_xll.GetPrice("FP-LBR-2181","Actual","Low",_SPECIFICvarPubDate)</f>
        <v>570</v>
      </c>
      <c r="L346" s="7">
        <f t="array" ref="L346">_xll.GetPrice("FP-LBR-2182","Actual","Low",_SPECIFICvarPubDate)</f>
        <v>480</v>
      </c>
      <c r="M346" s="7">
        <f t="array" ref="M346">_xll.GetPrice("FP-LBR-2183","Actual","Low",_SPECIFICvarPubDate)</f>
        <v>645</v>
      </c>
      <c r="U346" s="2"/>
      <c r="V346" s="2"/>
      <c r="W346" s="2"/>
      <c r="X346" s="2"/>
      <c r="Y346" s="2"/>
      <c r="Z346" s="2"/>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52"/>
      <c r="BB346" s="52"/>
      <c r="BC346" s="52"/>
      <c r="BD346" s="52"/>
      <c r="BE346" s="52"/>
      <c r="BF346" s="52"/>
      <c r="BG346" s="52"/>
      <c r="BH346" s="52"/>
      <c r="BI346" s="52"/>
      <c r="BJ346" s="52"/>
      <c r="BK346" s="52"/>
      <c r="BL346" s="52"/>
      <c r="BM346" s="52"/>
      <c r="BN346" s="52"/>
      <c r="BO346" s="52"/>
      <c r="BP346" s="52"/>
      <c r="BQ346" s="52"/>
    </row>
    <row r="347" spans="1:69" customFormat="1" x14ac:dyDescent="0.2">
      <c r="H347" s="19" t="s">
        <v>28</v>
      </c>
      <c r="I347" s="22"/>
      <c r="J347" s="22"/>
      <c r="K347" s="22"/>
      <c r="L347" s="22"/>
      <c r="M347" s="22"/>
      <c r="R347" s="2"/>
      <c r="S347" s="2"/>
      <c r="U347" s="2"/>
      <c r="V347" s="2"/>
      <c r="W347" s="2"/>
      <c r="X347" s="2"/>
      <c r="Y347" s="2"/>
      <c r="Z347" s="2"/>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52"/>
      <c r="BB347" s="52"/>
      <c r="BC347" s="52"/>
      <c r="BD347" s="52"/>
      <c r="BE347" s="52"/>
      <c r="BF347" s="52"/>
      <c r="BG347" s="52"/>
      <c r="BH347" s="52"/>
      <c r="BI347" s="52"/>
      <c r="BJ347" s="52"/>
      <c r="BK347" s="52"/>
      <c r="BL347" s="52"/>
      <c r="BM347" s="52"/>
      <c r="BN347" s="52"/>
      <c r="BO347" s="52"/>
      <c r="BP347" s="52"/>
      <c r="BQ347" s="52"/>
    </row>
    <row r="348" spans="1:69" customFormat="1" x14ac:dyDescent="0.2">
      <c r="A348" s="17" t="s">
        <v>214</v>
      </c>
      <c r="B348" s="2"/>
      <c r="C348" s="2"/>
      <c r="D348" s="2"/>
      <c r="H348" s="40" t="s">
        <v>196</v>
      </c>
      <c r="I348" s="7">
        <f t="array" ref="I348">_xll.GetPrice("FP-LBR-2164","Actual","Low",_SPECIFICvarPubDate)</f>
        <v>555</v>
      </c>
      <c r="J348" s="7">
        <f t="array" ref="J348">_xll.GetPrice("FP-LBR-2165","Actual","Low",_SPECIFICvarPubDate)</f>
        <v>550</v>
      </c>
      <c r="K348" s="7">
        <f t="array" ref="K348">_xll.GetPrice("FP-LBR-2166","Actual","Low",_SPECIFICvarPubDate)</f>
        <v>485</v>
      </c>
      <c r="L348" s="7">
        <f t="array" ref="L348">_xll.GetPrice("FP-LBR-2167","Actual","Low",_SPECIFICvarPubDate)</f>
        <v>395</v>
      </c>
      <c r="M348" s="7">
        <f t="array" ref="M348">_xll.GetPrice("FP-LBR-2168","Actual","Low",_SPECIFICvarPubDate)</f>
        <v>495</v>
      </c>
      <c r="R348" s="2"/>
      <c r="S348" s="2"/>
      <c r="U348" s="2"/>
      <c r="V348" s="2"/>
      <c r="W348" s="2"/>
      <c r="X348" s="2"/>
      <c r="Y348" s="2"/>
      <c r="Z348" s="2"/>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52"/>
      <c r="BB348" s="52"/>
      <c r="BC348" s="52"/>
      <c r="BD348" s="52"/>
      <c r="BE348" s="52"/>
      <c r="BF348" s="52"/>
      <c r="BG348" s="52"/>
      <c r="BH348" s="52"/>
      <c r="BI348" s="52"/>
      <c r="BJ348" s="52"/>
      <c r="BK348" s="52"/>
      <c r="BL348" s="52"/>
      <c r="BM348" s="52"/>
      <c r="BN348" s="52"/>
      <c r="BO348" s="52"/>
      <c r="BP348" s="52"/>
      <c r="BQ348" s="52"/>
    </row>
    <row r="349" spans="1:69" customFormat="1" x14ac:dyDescent="0.2">
      <c r="A349" s="45" t="s">
        <v>215</v>
      </c>
      <c r="D349" s="46"/>
      <c r="H349" s="40" t="s">
        <v>206</v>
      </c>
      <c r="I349" s="7">
        <f t="array" ref="I349">_xll.GetPrice("FP-LBR-2169","Actual","Low",_SPECIFICvarPubDate)</f>
        <v>600</v>
      </c>
      <c r="J349" s="7">
        <f t="array" ref="J349">_xll.GetPrice("FP-LBR-2170","Actual","Low",_SPECIFICvarPubDate)</f>
        <v>605</v>
      </c>
      <c r="K349" s="7">
        <f t="array" ref="K349">_xll.GetPrice("FP-LBR-2171","Actual","Low",_SPECIFICvarPubDate)</f>
        <v>565</v>
      </c>
      <c r="L349" s="7">
        <f t="array" ref="L349">_xll.GetPrice("FP-LBR-2172","Actual","Low",_SPECIFICvarPubDate)</f>
        <v>495</v>
      </c>
      <c r="M349" s="7">
        <f t="array" ref="M349">_xll.GetPrice("FP-LBR-2173","Actual","Low",_SPECIFICvarPubDate)</f>
        <v>700</v>
      </c>
      <c r="R349" s="2"/>
      <c r="S349" s="2"/>
      <c r="T349" s="2"/>
      <c r="U349" s="2"/>
      <c r="V349" s="2"/>
      <c r="W349" s="2"/>
      <c r="X349" s="2"/>
      <c r="Y349" s="2"/>
      <c r="Z349" s="2"/>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52"/>
      <c r="BB349" s="52"/>
      <c r="BC349" s="52"/>
      <c r="BD349" s="52"/>
      <c r="BE349" s="52"/>
      <c r="BF349" s="52"/>
      <c r="BG349" s="52"/>
      <c r="BH349" s="52"/>
      <c r="BI349" s="52"/>
      <c r="BJ349" s="52"/>
      <c r="BK349" s="52"/>
      <c r="BL349" s="52"/>
      <c r="BM349" s="52"/>
      <c r="BN349" s="52"/>
      <c r="BO349" s="52"/>
      <c r="BP349" s="52"/>
      <c r="BQ349" s="52"/>
    </row>
    <row r="350" spans="1:69" customFormat="1" x14ac:dyDescent="0.2">
      <c r="B350" s="22" t="s">
        <v>216</v>
      </c>
      <c r="C350" s="22" t="s">
        <v>217</v>
      </c>
      <c r="D350" s="22" t="s">
        <v>127</v>
      </c>
      <c r="R350" s="2"/>
      <c r="S350" s="2"/>
      <c r="T350" s="2"/>
      <c r="U350" s="2"/>
      <c r="V350" s="2"/>
      <c r="W350" s="2"/>
      <c r="X350" s="2"/>
      <c r="Y350" s="2"/>
      <c r="Z350" s="2"/>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52"/>
      <c r="BB350" s="52"/>
      <c r="BC350" s="52"/>
      <c r="BD350" s="52"/>
      <c r="BE350" s="52"/>
      <c r="BF350" s="52"/>
      <c r="BG350" s="52"/>
      <c r="BH350" s="52"/>
      <c r="BI350" s="52"/>
      <c r="BJ350" s="52"/>
      <c r="BK350" s="52"/>
      <c r="BL350" s="52"/>
      <c r="BM350" s="52"/>
      <c r="BN350" s="52"/>
      <c r="BO350" s="52"/>
      <c r="BP350" s="52"/>
      <c r="BQ350" s="52"/>
    </row>
    <row r="351" spans="1:69" customFormat="1" x14ac:dyDescent="0.2">
      <c r="A351" s="40" t="s">
        <v>218</v>
      </c>
      <c r="C351" s="7">
        <f t="array" ref="C351">_xll.GetPrice("FP-LBR-1299","Actual","Low",_SPECIFICvarPubDate)</f>
        <v>495</v>
      </c>
      <c r="D351" s="7">
        <f t="array" ref="D351">_xll.GetPrice("FP-LBR-1301","Actual","Low",_SPECIFICvarPubDate)</f>
        <v>435</v>
      </c>
      <c r="R351" s="2"/>
      <c r="S351" s="2"/>
      <c r="T351" s="2"/>
      <c r="U351" s="2"/>
      <c r="V351" s="2"/>
      <c r="W351" s="2"/>
      <c r="X351" s="2"/>
      <c r="Y351" s="2"/>
      <c r="Z351" s="2"/>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52"/>
      <c r="BB351" s="52"/>
      <c r="BC351" s="52"/>
      <c r="BD351" s="52"/>
      <c r="BE351" s="52"/>
      <c r="BF351" s="52"/>
      <c r="BG351" s="52"/>
      <c r="BH351" s="52"/>
      <c r="BI351" s="52"/>
      <c r="BJ351" s="52"/>
      <c r="BK351" s="52"/>
      <c r="BL351" s="52"/>
      <c r="BM351" s="52"/>
      <c r="BN351" s="52"/>
      <c r="BO351" s="52"/>
      <c r="BP351" s="52"/>
      <c r="BQ351" s="52"/>
    </row>
    <row r="352" spans="1:69" customFormat="1" x14ac:dyDescent="0.2">
      <c r="A352" s="40" t="s">
        <v>198</v>
      </c>
      <c r="C352" s="7">
        <f t="array" ref="C352">_xll.GetPrice("FP-LBR-1300","Actual","Low",_SPECIFICvarPubDate)</f>
        <v>505</v>
      </c>
      <c r="D352" s="7">
        <f t="array" ref="D352">_xll.GetPrice("FP-LBR-1302","Actual","Low",_SPECIFICvarPubDate)</f>
        <v>440</v>
      </c>
      <c r="R352" s="2"/>
      <c r="S352" s="2"/>
      <c r="T352" s="2"/>
      <c r="U352" s="2"/>
      <c r="V352" s="2"/>
      <c r="W352" s="2"/>
      <c r="X352" s="2"/>
      <c r="Y352" s="2"/>
      <c r="Z352" s="2"/>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52"/>
      <c r="BB352" s="52"/>
      <c r="BC352" s="52"/>
      <c r="BD352" s="52"/>
      <c r="BE352" s="52"/>
      <c r="BF352" s="52"/>
      <c r="BG352" s="52"/>
      <c r="BH352" s="52"/>
      <c r="BI352" s="52"/>
      <c r="BJ352" s="52"/>
      <c r="BK352" s="52"/>
      <c r="BL352" s="52"/>
      <c r="BM352" s="52"/>
      <c r="BN352" s="52"/>
      <c r="BO352" s="52"/>
      <c r="BP352" s="52"/>
      <c r="BQ352" s="52"/>
    </row>
    <row r="353" spans="1:69" customFormat="1" x14ac:dyDescent="0.2">
      <c r="Q353" s="2"/>
      <c r="R353" s="2"/>
      <c r="S353" s="2"/>
      <c r="T353" s="2"/>
      <c r="U353" s="2"/>
      <c r="V353" s="2"/>
      <c r="W353" s="2"/>
      <c r="X353" s="2"/>
      <c r="Y353" s="2"/>
      <c r="Z353" s="2"/>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52"/>
      <c r="BB353" s="52"/>
      <c r="BC353" s="52"/>
      <c r="BD353" s="52"/>
      <c r="BE353" s="52"/>
      <c r="BF353" s="52"/>
      <c r="BG353" s="52"/>
      <c r="BH353" s="52"/>
      <c r="BI353" s="52"/>
      <c r="BJ353" s="52"/>
      <c r="BK353" s="52"/>
      <c r="BL353" s="52"/>
      <c r="BM353" s="52"/>
      <c r="BN353" s="52"/>
      <c r="BO353" s="52"/>
      <c r="BP353" s="52"/>
      <c r="BQ353" s="52"/>
    </row>
    <row r="354" spans="1:69" customFormat="1" x14ac:dyDescent="0.2">
      <c r="A354" s="34" t="s">
        <v>219</v>
      </c>
      <c r="B354" s="2"/>
      <c r="C354" s="2"/>
      <c r="D354" s="2"/>
      <c r="E354" s="2"/>
      <c r="F354" s="2"/>
      <c r="Q354" s="2"/>
      <c r="R354" s="2"/>
      <c r="S354" s="2"/>
      <c r="T354" s="2"/>
      <c r="U354" s="2"/>
      <c r="V354" s="2"/>
      <c r="W354" s="2"/>
      <c r="X354" s="2"/>
      <c r="Y354" s="2"/>
      <c r="Z354" s="2"/>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52"/>
      <c r="BB354" s="52"/>
      <c r="BC354" s="52"/>
      <c r="BD354" s="52"/>
      <c r="BE354" s="52"/>
      <c r="BF354" s="52"/>
      <c r="BG354" s="52"/>
      <c r="BH354" s="52"/>
      <c r="BI354" s="52"/>
      <c r="BJ354" s="52"/>
      <c r="BK354" s="52"/>
      <c r="BL354" s="52"/>
      <c r="BM354" s="52"/>
      <c r="BN354" s="52"/>
      <c r="BO354" s="52"/>
      <c r="BP354" s="52"/>
      <c r="BQ354" s="52"/>
    </row>
    <row r="355" spans="1:69" customFormat="1" x14ac:dyDescent="0.2">
      <c r="A355" s="23" t="s">
        <v>220</v>
      </c>
      <c r="D355" s="23" t="s">
        <v>221</v>
      </c>
      <c r="E355" s="44"/>
      <c r="I355" s="23" t="s">
        <v>190</v>
      </c>
      <c r="J355" s="2"/>
      <c r="Q355" s="2"/>
      <c r="R355" s="2"/>
      <c r="S355" s="2"/>
      <c r="T355" s="2"/>
      <c r="U355" s="2"/>
      <c r="V355" s="2"/>
      <c r="W355" s="2"/>
      <c r="X355" s="2"/>
      <c r="Y355" s="2"/>
      <c r="Z355" s="2"/>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52"/>
      <c r="BB355" s="52"/>
      <c r="BC355" s="52"/>
      <c r="BD355" s="52"/>
      <c r="BE355" s="52"/>
      <c r="BF355" s="52"/>
      <c r="BG355" s="52"/>
      <c r="BH355" s="52"/>
      <c r="BI355" s="52"/>
      <c r="BJ355" s="52"/>
      <c r="BK355" s="52"/>
      <c r="BL355" s="52"/>
      <c r="BM355" s="52"/>
      <c r="BN355" s="52"/>
      <c r="BO355" s="52"/>
      <c r="BP355" s="52"/>
      <c r="BQ355" s="52"/>
    </row>
    <row r="356" spans="1:69" customFormat="1" x14ac:dyDescent="0.2">
      <c r="A356" s="2"/>
      <c r="B356" s="19" t="s">
        <v>222</v>
      </c>
      <c r="C356" s="21"/>
      <c r="D356" s="19" t="s">
        <v>223</v>
      </c>
      <c r="E356" s="37"/>
      <c r="J356" s="2"/>
      <c r="Q356" s="2"/>
      <c r="R356" s="2"/>
      <c r="S356" s="2"/>
      <c r="T356" s="2"/>
      <c r="U356" s="2"/>
      <c r="V356" s="2"/>
      <c r="W356" s="2"/>
      <c r="X356" s="2"/>
      <c r="Y356" s="2"/>
      <c r="Z356" s="2"/>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52"/>
      <c r="BB356" s="52"/>
      <c r="BC356" s="52"/>
      <c r="BD356" s="52"/>
      <c r="BE356" s="52"/>
      <c r="BF356" s="52"/>
      <c r="BG356" s="52"/>
      <c r="BH356" s="52"/>
      <c r="BI356" s="52"/>
      <c r="BJ356" s="52"/>
      <c r="BK356" s="52"/>
      <c r="BL356" s="52"/>
      <c r="BM356" s="52"/>
      <c r="BN356" s="52"/>
      <c r="BO356" s="52"/>
      <c r="BP356" s="52"/>
      <c r="BQ356" s="52"/>
    </row>
    <row r="357" spans="1:69" customFormat="1" x14ac:dyDescent="0.2">
      <c r="A357" s="3"/>
      <c r="B357" s="19" t="s">
        <v>224</v>
      </c>
      <c r="C357" s="19" t="s">
        <v>225</v>
      </c>
      <c r="D357" s="19" t="s">
        <v>226</v>
      </c>
      <c r="E357" s="19" t="s">
        <v>227</v>
      </c>
      <c r="F357" s="19" t="s">
        <v>228</v>
      </c>
      <c r="G357" s="19" t="s">
        <v>229</v>
      </c>
      <c r="I357" s="3"/>
      <c r="J357" s="19" t="s">
        <v>205</v>
      </c>
      <c r="K357" s="19" t="s">
        <v>230</v>
      </c>
      <c r="L357" s="19" t="s">
        <v>231</v>
      </c>
      <c r="M357" s="19" t="s">
        <v>194</v>
      </c>
      <c r="Q357" s="2"/>
      <c r="R357" s="2"/>
      <c r="S357" s="2"/>
      <c r="T357" s="2"/>
      <c r="U357" s="2"/>
      <c r="V357" s="2"/>
      <c r="W357" s="2"/>
      <c r="X357" s="2"/>
      <c r="Y357" s="2"/>
      <c r="Z357" s="2"/>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52"/>
      <c r="BB357" s="52"/>
      <c r="BC357" s="52"/>
      <c r="BD357" s="52"/>
      <c r="BE357" s="52"/>
      <c r="BF357" s="52"/>
      <c r="BG357" s="52"/>
      <c r="BH357" s="52"/>
      <c r="BI357" s="52"/>
      <c r="BJ357" s="52"/>
      <c r="BK357" s="52"/>
      <c r="BL357" s="52"/>
      <c r="BM357" s="52"/>
      <c r="BN357" s="52"/>
      <c r="BO357" s="52"/>
      <c r="BP357" s="52"/>
      <c r="BQ357" s="52"/>
    </row>
    <row r="358" spans="1:69" customFormat="1" x14ac:dyDescent="0.2">
      <c r="A358" s="40" t="s">
        <v>198</v>
      </c>
      <c r="B358" s="7">
        <f t="array" ref="B358">_xll.GetPrice("FP-LBR-1797","Actual","Low",_SPECIFICvarPubDate)</f>
        <v>830</v>
      </c>
      <c r="C358" s="7">
        <f t="array" ref="C358">_xll.GetPrice("FP-LBR-1802","Actual","Low",_SPECIFICvarPubDate)</f>
        <v>1160</v>
      </c>
      <c r="D358" s="25" t="s">
        <v>37</v>
      </c>
      <c r="E358" s="25" t="s">
        <v>37</v>
      </c>
      <c r="F358" s="25" t="s">
        <v>37</v>
      </c>
      <c r="G358" s="25" t="s">
        <v>37</v>
      </c>
      <c r="I358" s="40" t="s">
        <v>198</v>
      </c>
      <c r="J358" s="7">
        <f t="array" ref="J358">_xll.GetPrice("FP-LBR-1527","Actual","Low",_SPECIFICvarPubDate)</f>
        <v>3090</v>
      </c>
      <c r="K358" s="7">
        <f t="array" ref="K358">_xll.GetPrice("FP-LBR-1532","Actual","Low",_SPECIFICvarPubDate)</f>
        <v>1425</v>
      </c>
      <c r="L358" s="7">
        <f t="array" ref="L358">_xll.GetPrice("FP-LBR-1537","Actual","Low",_SPECIFICvarPubDate)</f>
        <v>580</v>
      </c>
      <c r="M358" s="7">
        <f t="array" ref="M358">_xll.GetPrice("FP-LBR-1542","Actual","Low",_SPECIFICvarPubDate)</f>
        <v>155</v>
      </c>
      <c r="N358" s="3"/>
      <c r="Q358" s="2"/>
      <c r="T358" s="2"/>
      <c r="U358" s="2"/>
      <c r="V358" s="2"/>
      <c r="W358" s="2"/>
      <c r="X358" s="2"/>
      <c r="Y358" s="2"/>
      <c r="Z358" s="2"/>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52"/>
      <c r="BB358" s="52"/>
      <c r="BC358" s="52"/>
      <c r="BD358" s="52"/>
      <c r="BE358" s="52"/>
      <c r="BF358" s="52"/>
      <c r="BG358" s="52"/>
      <c r="BH358" s="52"/>
      <c r="BI358" s="52"/>
      <c r="BJ358" s="52"/>
      <c r="BK358" s="52"/>
      <c r="BL358" s="52"/>
      <c r="BM358" s="52"/>
      <c r="BN358" s="52"/>
      <c r="BO358" s="52"/>
      <c r="BP358" s="52"/>
      <c r="BQ358" s="52"/>
    </row>
    <row r="359" spans="1:69" customFormat="1" x14ac:dyDescent="0.2">
      <c r="A359" s="40" t="s">
        <v>199</v>
      </c>
      <c r="B359" s="7">
        <f t="array" ref="B359">_xll.GetPrice("FP-LBR-1798","Actual","Low",_SPECIFICvarPubDate)</f>
        <v>1485</v>
      </c>
      <c r="C359" s="7">
        <f t="array" ref="C359">_xll.GetPrice("FP-LBR-1803","Actual","Low",_SPECIFICvarPubDate)</f>
        <v>1795</v>
      </c>
      <c r="D359" s="25" t="s">
        <v>37</v>
      </c>
      <c r="E359" s="25" t="s">
        <v>37</v>
      </c>
      <c r="F359" s="25" t="s">
        <v>37</v>
      </c>
      <c r="G359" s="7">
        <f t="array" ref="G359">_xll.GetPrice("FP-LBR-1811","Actual","Low",_SPECIFICvarPubDate)</f>
        <v>2900</v>
      </c>
      <c r="I359" s="40" t="s">
        <v>199</v>
      </c>
      <c r="J359" s="7">
        <f t="array" ref="J359">_xll.GetPrice("FP-LBR-1528","Actual","Low",_SPECIFICvarPubDate)</f>
        <v>4210</v>
      </c>
      <c r="K359" s="7">
        <f t="array" ref="K359">_xll.GetPrice("FP-LBR-1533","Actual","Low",_SPECIFICvarPubDate)</f>
        <v>2225</v>
      </c>
      <c r="L359" s="7">
        <f t="array" ref="L359">_xll.GetPrice("FP-LBR-1538","Actual","Low",_SPECIFICvarPubDate)</f>
        <v>1655</v>
      </c>
      <c r="M359" s="7">
        <f t="array" ref="M359">_xll.GetPrice("FP-LBR-1543","Actual","Low",_SPECIFICvarPubDate)</f>
        <v>350</v>
      </c>
      <c r="Q359" s="2"/>
      <c r="T359" s="2"/>
      <c r="U359" s="2"/>
      <c r="V359" s="2"/>
      <c r="W359" s="2"/>
      <c r="X359" s="2"/>
      <c r="Y359" s="2"/>
      <c r="Z359" s="2"/>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52"/>
      <c r="BB359" s="52"/>
      <c r="BC359" s="52"/>
      <c r="BD359" s="52"/>
      <c r="BE359" s="52"/>
      <c r="BF359" s="52"/>
      <c r="BG359" s="52"/>
      <c r="BH359" s="52"/>
      <c r="BI359" s="52"/>
      <c r="BJ359" s="52"/>
      <c r="BK359" s="52"/>
      <c r="BL359" s="52"/>
      <c r="BM359" s="52"/>
      <c r="BN359" s="52"/>
      <c r="BO359" s="52"/>
      <c r="BP359" s="52"/>
      <c r="BQ359" s="52"/>
    </row>
    <row r="360" spans="1:69" customFormat="1" x14ac:dyDescent="0.2">
      <c r="A360" s="40" t="s">
        <v>200</v>
      </c>
      <c r="B360" s="7">
        <f t="array" ref="B360">_xll.GetPrice("FP-LBR-1799","Actual","Low",_SPECIFICvarPubDate)</f>
        <v>2470</v>
      </c>
      <c r="C360" s="7">
        <f t="array" ref="C360">_xll.GetPrice("FP-LBR-1804","Actual","Low",_SPECIFICvarPubDate)</f>
        <v>2820</v>
      </c>
      <c r="D360" s="7">
        <f t="array" ref="D360">_xll.GetPrice("FP-LBR-1807","Actual","Low",_SPECIFICvarPubDate)</f>
        <v>2695</v>
      </c>
      <c r="E360" s="7">
        <f t="array" ref="E360">_xll.GetPrice("FP-LBR-1808","Actual","Low",_SPECIFICvarPubDate)</f>
        <v>2195</v>
      </c>
      <c r="F360" s="7">
        <f t="array" ref="F360">_xll.GetPrice("FP-LBR-1810","Actual","Low",_SPECIFICvarPubDate)</f>
        <v>2360</v>
      </c>
      <c r="G360" s="25" t="s">
        <v>37</v>
      </c>
      <c r="I360" s="40" t="s">
        <v>200</v>
      </c>
      <c r="J360" s="7">
        <f t="array" ref="J360">_xll.GetPrice("FP-LBR-1529","Actual","Low",_SPECIFICvarPubDate)</f>
        <v>4160</v>
      </c>
      <c r="K360" s="7">
        <f t="array" ref="K360">_xll.GetPrice("FP-LBR-1534","Actual","Low",_SPECIFICvarPubDate)</f>
        <v>2355</v>
      </c>
      <c r="L360" s="7">
        <f t="array" ref="L360">_xll.GetPrice("FP-LBR-1539","Actual","Low",_SPECIFICvarPubDate)</f>
        <v>1950</v>
      </c>
      <c r="M360" s="7">
        <f t="array" ref="M360">_xll.GetPrice("FP-LBR-1544","Actual","Low",_SPECIFICvarPubDate)</f>
        <v>320</v>
      </c>
      <c r="Q360" s="2"/>
      <c r="R360" s="2"/>
      <c r="S360" s="2"/>
      <c r="T360" s="2"/>
      <c r="U360" s="2"/>
      <c r="V360" s="2"/>
      <c r="W360" s="2"/>
      <c r="X360" s="2"/>
      <c r="Y360" s="2"/>
      <c r="Z360" s="2"/>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52"/>
      <c r="BB360" s="52"/>
      <c r="BC360" s="52"/>
      <c r="BD360" s="52"/>
      <c r="BE360" s="52"/>
      <c r="BF360" s="52"/>
      <c r="BG360" s="52"/>
      <c r="BH360" s="52"/>
      <c r="BI360" s="52"/>
      <c r="BJ360" s="52"/>
      <c r="BK360" s="52"/>
      <c r="BL360" s="52"/>
      <c r="BM360" s="52"/>
      <c r="BN360" s="52"/>
      <c r="BO360" s="52"/>
      <c r="BP360" s="52"/>
      <c r="BQ360" s="52"/>
    </row>
    <row r="361" spans="1:69" customFormat="1" x14ac:dyDescent="0.2">
      <c r="A361" s="40" t="s">
        <v>201</v>
      </c>
      <c r="B361" s="7">
        <f t="array" ref="B361">_xll.GetPrice("FP-LBR-1800","Actual","Low",_SPECIFICvarPubDate)</f>
        <v>2530</v>
      </c>
      <c r="C361" s="7">
        <f t="array" ref="C361">_xll.GetPrice("FP-LBR-1805","Actual","Low",_SPECIFICvarPubDate)</f>
        <v>2885</v>
      </c>
      <c r="D361" s="25" t="s">
        <v>37</v>
      </c>
      <c r="E361" s="7">
        <f t="array" ref="E361">_xll.GetPrice("FP-LBR-1809","Actual","Low",_SPECIFICvarPubDate)</f>
        <v>2300</v>
      </c>
      <c r="F361" s="25" t="s">
        <v>37</v>
      </c>
      <c r="G361" s="25" t="s">
        <v>37</v>
      </c>
      <c r="I361" s="40" t="s">
        <v>201</v>
      </c>
      <c r="J361" s="7">
        <f t="array" ref="J361">_xll.GetPrice("FP-LBR-1530","Actual","Low",_SPECIFICvarPubDate)</f>
        <v>4385</v>
      </c>
      <c r="K361" s="7">
        <f t="array" ref="K361">_xll.GetPrice("FP-LBR-1535","Actual","Low",_SPECIFICvarPubDate)</f>
        <v>3960</v>
      </c>
      <c r="L361" s="7">
        <f t="array" ref="L361">_xll.GetPrice("FP-LBR-1540","Actual","Low",_SPECIFICvarPubDate)</f>
        <v>2285</v>
      </c>
      <c r="M361" s="7">
        <f t="array" ref="M361">_xll.GetPrice("FP-LBR-1545","Actual","Low",_SPECIFICvarPubDate)</f>
        <v>340</v>
      </c>
      <c r="Q361" s="2"/>
      <c r="R361" s="2"/>
      <c r="S361" s="2"/>
      <c r="T361" s="2"/>
      <c r="U361" s="2"/>
      <c r="V361" s="2"/>
      <c r="W361" s="2"/>
      <c r="X361" s="2"/>
      <c r="Y361" s="2"/>
      <c r="Z361" s="2"/>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52"/>
      <c r="BB361" s="52"/>
      <c r="BC361" s="52"/>
      <c r="BD361" s="52"/>
      <c r="BE361" s="52"/>
      <c r="BF361" s="52"/>
      <c r="BG361" s="52"/>
      <c r="BH361" s="52"/>
      <c r="BI361" s="52"/>
      <c r="BJ361" s="52"/>
      <c r="BK361" s="52"/>
      <c r="BL361" s="52"/>
      <c r="BM361" s="52"/>
      <c r="BN361" s="52"/>
      <c r="BO361" s="52"/>
      <c r="BP361" s="52"/>
      <c r="BQ361" s="52"/>
    </row>
    <row r="362" spans="1:69" customFormat="1" x14ac:dyDescent="0.2">
      <c r="A362" s="40" t="s">
        <v>202</v>
      </c>
      <c r="B362" s="7">
        <f t="array" ref="B362">_xll.GetPrice("FP-LBR-1801","Actual","Low",_SPECIFICvarPubDate)</f>
        <v>3080</v>
      </c>
      <c r="C362" s="7">
        <f t="array" ref="C362">_xll.GetPrice("FP-LBR-1806","Actual","Low",_SPECIFICvarPubDate)</f>
        <v>3570</v>
      </c>
      <c r="D362" s="25" t="s">
        <v>37</v>
      </c>
      <c r="E362" s="25" t="s">
        <v>37</v>
      </c>
      <c r="F362" s="25" t="s">
        <v>37</v>
      </c>
      <c r="G362" s="25" t="s">
        <v>37</v>
      </c>
      <c r="I362" s="40" t="s">
        <v>202</v>
      </c>
      <c r="J362" s="7">
        <f t="array" ref="J362">_xll.GetPrice("FP-LBR-1531","Actual","Low",_SPECIFICvarPubDate)</f>
        <v>4885</v>
      </c>
      <c r="K362" s="7">
        <f t="array" ref="K362">_xll.GetPrice("FP-LBR-1536","Actual","Low",_SPECIFICvarPubDate)</f>
        <v>4645</v>
      </c>
      <c r="L362" s="7">
        <f t="array" ref="L362">_xll.GetPrice("FP-LBR-1541","Actual","Low",_SPECIFICvarPubDate)</f>
        <v>2730</v>
      </c>
      <c r="M362" s="7">
        <f t="array" ref="M362">_xll.GetPrice("FP-LBR-1546","Actual","Low",_SPECIFICvarPubDate)</f>
        <v>435</v>
      </c>
      <c r="U362" s="2"/>
      <c r="V362" s="2"/>
      <c r="W362" s="2"/>
      <c r="X362" s="2"/>
      <c r="Y362" s="2"/>
      <c r="Z362" s="2"/>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52"/>
      <c r="BB362" s="52"/>
      <c r="BC362" s="52"/>
      <c r="BD362" s="52"/>
      <c r="BE362" s="52"/>
      <c r="BF362" s="52"/>
      <c r="BG362" s="52"/>
      <c r="BH362" s="52"/>
      <c r="BI362" s="52"/>
      <c r="BJ362" s="52"/>
      <c r="BK362" s="52"/>
      <c r="BL362" s="52"/>
      <c r="BM362" s="52"/>
      <c r="BN362" s="52"/>
      <c r="BO362" s="52"/>
      <c r="BP362" s="52"/>
      <c r="BQ362" s="52"/>
    </row>
    <row r="363" spans="1:69" customFormat="1" x14ac:dyDescent="0.2">
      <c r="A363" s="26" t="s">
        <v>232</v>
      </c>
      <c r="B363" s="2"/>
      <c r="C363" s="7">
        <f t="array" ref="C363">_xll.GetPrice("FP-LBR-1812","Actual","Low",_SPECIFICvarPubDate)</f>
        <v>2565</v>
      </c>
      <c r="D363" s="2"/>
      <c r="E363" s="2"/>
      <c r="G363" s="2"/>
      <c r="H363" s="2"/>
      <c r="U363" s="2"/>
      <c r="V363" s="2"/>
      <c r="W363" s="2"/>
      <c r="X363" s="2"/>
      <c r="Y363" s="2"/>
      <c r="Z363" s="2"/>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52"/>
      <c r="BB363" s="52"/>
      <c r="BC363" s="52"/>
      <c r="BD363" s="52"/>
      <c r="BE363" s="52"/>
      <c r="BF363" s="52"/>
      <c r="BG363" s="52"/>
      <c r="BH363" s="52"/>
      <c r="BI363" s="52"/>
      <c r="BJ363" s="52"/>
      <c r="BK363" s="52"/>
      <c r="BL363" s="52"/>
      <c r="BM363" s="52"/>
      <c r="BN363" s="52"/>
      <c r="BO363" s="52"/>
      <c r="BP363" s="52"/>
      <c r="BQ363" s="52"/>
    </row>
    <row r="364" spans="1:69" customFormat="1" x14ac:dyDescent="0.2">
      <c r="A364" s="26" t="s">
        <v>233</v>
      </c>
      <c r="C364" s="7">
        <f t="array" ref="C364">_xll.GetPrice("FP-LBR-1813","Actual","Low",_SPECIFICvarPubDate)</f>
        <v>3025</v>
      </c>
      <c r="D364" s="2"/>
      <c r="E364" s="2"/>
      <c r="G364" s="2"/>
      <c r="U364" s="2"/>
      <c r="V364" s="2"/>
      <c r="W364" s="2"/>
      <c r="X364" s="2"/>
      <c r="Y364" s="2"/>
      <c r="Z364" s="2"/>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52"/>
      <c r="BB364" s="52"/>
      <c r="BC364" s="52"/>
      <c r="BD364" s="52"/>
      <c r="BE364" s="52"/>
      <c r="BF364" s="52"/>
      <c r="BG364" s="52"/>
      <c r="BH364" s="52"/>
      <c r="BI364" s="52"/>
      <c r="BJ364" s="52"/>
      <c r="BK364" s="52"/>
      <c r="BL364" s="52"/>
      <c r="BM364" s="52"/>
      <c r="BN364" s="52"/>
      <c r="BO364" s="52"/>
      <c r="BP364" s="52"/>
      <c r="BQ364" s="52"/>
    </row>
    <row r="365" spans="1:69" customFormat="1" x14ac:dyDescent="0.2">
      <c r="U365" s="2"/>
      <c r="V365" s="2"/>
      <c r="W365" s="2"/>
      <c r="X365" s="2"/>
      <c r="Y365" s="2"/>
      <c r="Z365" s="2"/>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52"/>
      <c r="BB365" s="52"/>
      <c r="BC365" s="52"/>
      <c r="BD365" s="52"/>
      <c r="BE365" s="52"/>
      <c r="BF365" s="52"/>
      <c r="BG365" s="52"/>
      <c r="BH365" s="52"/>
      <c r="BI365" s="52"/>
      <c r="BJ365" s="52"/>
      <c r="BK365" s="52"/>
      <c r="BL365" s="52"/>
      <c r="BM365" s="52"/>
      <c r="BN365" s="52"/>
      <c r="BO365" s="52"/>
      <c r="BP365" s="52"/>
      <c r="BQ365" s="52"/>
    </row>
    <row r="366" spans="1:69" customFormat="1" x14ac:dyDescent="0.2">
      <c r="O366" s="2"/>
      <c r="U366" s="2"/>
      <c r="V366" s="2"/>
      <c r="W366" s="2"/>
      <c r="X366" s="2"/>
      <c r="Y366" s="2"/>
      <c r="Z366" s="2"/>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52"/>
      <c r="BB366" s="52"/>
      <c r="BC366" s="52"/>
      <c r="BD366" s="52"/>
      <c r="BE366" s="52"/>
      <c r="BF366" s="52"/>
      <c r="BG366" s="52"/>
      <c r="BH366" s="52"/>
      <c r="BI366" s="52"/>
      <c r="BJ366" s="52"/>
      <c r="BK366" s="52"/>
      <c r="BL366" s="52"/>
      <c r="BM366" s="52"/>
      <c r="BN366" s="52"/>
      <c r="BO366" s="52"/>
      <c r="BP366" s="52"/>
      <c r="BQ366" s="52"/>
    </row>
    <row r="367" spans="1:69" customFormat="1" x14ac:dyDescent="0.2">
      <c r="M367" s="2"/>
      <c r="N367" s="2"/>
      <c r="O367" s="2"/>
      <c r="Q367" s="2"/>
      <c r="R367" s="2"/>
      <c r="S367" s="2"/>
      <c r="T367" s="2"/>
      <c r="U367" s="2"/>
      <c r="V367" s="2"/>
      <c r="W367" s="2"/>
      <c r="X367" s="2"/>
      <c r="Y367" s="2"/>
      <c r="Z367" s="2"/>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52"/>
      <c r="BB367" s="52"/>
      <c r="BC367" s="52"/>
      <c r="BD367" s="52"/>
      <c r="BE367" s="52"/>
      <c r="BF367" s="52"/>
      <c r="BG367" s="52"/>
      <c r="BH367" s="52"/>
      <c r="BI367" s="52"/>
      <c r="BJ367" s="52"/>
      <c r="BK367" s="52"/>
      <c r="BL367" s="52"/>
      <c r="BM367" s="52"/>
      <c r="BN367" s="52"/>
      <c r="BO367" s="52"/>
      <c r="BP367" s="52"/>
      <c r="BQ367" s="52"/>
    </row>
    <row r="368" spans="1:69" customFormat="1" x14ac:dyDescent="0.2">
      <c r="P368" s="2"/>
      <c r="Q368" s="2"/>
      <c r="R368" s="2"/>
      <c r="S368" s="2"/>
      <c r="T368" s="2"/>
      <c r="U368" s="2"/>
      <c r="V368" s="2"/>
      <c r="W368" s="2"/>
      <c r="X368" s="2"/>
      <c r="Y368" s="2"/>
      <c r="Z368" s="2"/>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52"/>
      <c r="BB368" s="52"/>
      <c r="BC368" s="52"/>
      <c r="BD368" s="52"/>
      <c r="BE368" s="52"/>
      <c r="BF368" s="52"/>
      <c r="BG368" s="52"/>
      <c r="BH368" s="52"/>
      <c r="BI368" s="52"/>
      <c r="BJ368" s="52"/>
      <c r="BK368" s="52"/>
      <c r="BL368" s="52"/>
      <c r="BM368" s="52"/>
      <c r="BN368" s="52"/>
      <c r="BO368" s="52"/>
      <c r="BP368" s="52"/>
      <c r="BQ368" s="52"/>
    </row>
    <row r="369" spans="1:69" customFormat="1" x14ac:dyDescent="0.2">
      <c r="M369" s="2"/>
      <c r="N369" s="2"/>
      <c r="O369" s="2"/>
      <c r="S369" s="2"/>
      <c r="T369" s="2"/>
      <c r="U369" s="2"/>
      <c r="V369" s="2"/>
      <c r="W369" s="2"/>
      <c r="X369" s="2"/>
      <c r="Y369" s="2"/>
      <c r="Z369" s="2"/>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52"/>
      <c r="BB369" s="52"/>
      <c r="BC369" s="52"/>
      <c r="BD369" s="52"/>
      <c r="BE369" s="52"/>
      <c r="BF369" s="52"/>
      <c r="BG369" s="52"/>
      <c r="BH369" s="52"/>
      <c r="BI369" s="52"/>
      <c r="BJ369" s="52"/>
      <c r="BK369" s="52"/>
      <c r="BL369" s="52"/>
      <c r="BM369" s="52"/>
      <c r="BN369" s="52"/>
      <c r="BO369" s="52"/>
      <c r="BP369" s="52"/>
      <c r="BQ369" s="52"/>
    </row>
    <row r="370" spans="1:69" customFormat="1" x14ac:dyDescent="0.2">
      <c r="M370" s="2"/>
      <c r="N370" s="2"/>
      <c r="O370" s="2"/>
      <c r="P370" s="2"/>
      <c r="Q370" s="2"/>
      <c r="R370" s="2"/>
      <c r="S370" s="2"/>
      <c r="T370" s="2"/>
      <c r="U370" s="2"/>
      <c r="V370" s="2"/>
      <c r="W370" s="2"/>
      <c r="X370" s="2"/>
      <c r="Y370" s="2"/>
      <c r="Z370" s="2"/>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52"/>
      <c r="BB370" s="52"/>
      <c r="BC370" s="52"/>
      <c r="BD370" s="52"/>
      <c r="BE370" s="52"/>
      <c r="BF370" s="52"/>
      <c r="BG370" s="52"/>
      <c r="BH370" s="52"/>
      <c r="BI370" s="52"/>
      <c r="BJ370" s="52"/>
      <c r="BK370" s="52"/>
      <c r="BL370" s="52"/>
      <c r="BM370" s="52"/>
      <c r="BN370" s="52"/>
      <c r="BO370" s="52"/>
      <c r="BP370" s="52"/>
      <c r="BQ370" s="52"/>
    </row>
    <row r="371" spans="1:69" customFormat="1" x14ac:dyDescent="0.2">
      <c r="M371" s="2"/>
      <c r="N371" s="2"/>
      <c r="O371" s="2"/>
      <c r="P371" s="2"/>
      <c r="Q371" s="2"/>
      <c r="R371" s="2"/>
      <c r="S371" s="2"/>
      <c r="T371" s="2"/>
      <c r="U371" s="2"/>
      <c r="V371" s="2"/>
      <c r="W371" s="2"/>
      <c r="X371" s="2"/>
      <c r="Y371" s="2"/>
      <c r="Z371" s="2"/>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52"/>
      <c r="BB371" s="52"/>
      <c r="BC371" s="52"/>
      <c r="BD371" s="52"/>
      <c r="BE371" s="52"/>
      <c r="BF371" s="52"/>
      <c r="BG371" s="52"/>
      <c r="BH371" s="52"/>
      <c r="BI371" s="52"/>
      <c r="BJ371" s="52"/>
      <c r="BK371" s="52"/>
      <c r="BL371" s="52"/>
      <c r="BM371" s="52"/>
      <c r="BN371" s="52"/>
      <c r="BO371" s="52"/>
      <c r="BP371" s="52"/>
      <c r="BQ371" s="52"/>
    </row>
    <row r="372" spans="1:69" customFormat="1" x14ac:dyDescent="0.2">
      <c r="M372" s="2"/>
      <c r="N372" s="2"/>
      <c r="O372" s="2"/>
      <c r="P372" s="2"/>
      <c r="Q372" s="2"/>
      <c r="R372" s="2"/>
      <c r="S372" s="2"/>
      <c r="T372" s="2"/>
      <c r="U372" s="2"/>
      <c r="V372" s="2"/>
      <c r="W372" s="2"/>
      <c r="X372" s="2"/>
      <c r="Y372" s="2"/>
      <c r="Z372" s="2"/>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52"/>
      <c r="BB372" s="52"/>
      <c r="BC372" s="52"/>
      <c r="BD372" s="52"/>
      <c r="BE372" s="52"/>
      <c r="BF372" s="52"/>
      <c r="BG372" s="52"/>
      <c r="BH372" s="52"/>
      <c r="BI372" s="52"/>
      <c r="BJ372" s="52"/>
      <c r="BK372" s="52"/>
      <c r="BL372" s="52"/>
      <c r="BM372" s="52"/>
      <c r="BN372" s="52"/>
      <c r="BO372" s="52"/>
      <c r="BP372" s="52"/>
      <c r="BQ372" s="52"/>
    </row>
    <row r="373" spans="1:69" customFormat="1" x14ac:dyDescent="0.2">
      <c r="M373" s="2"/>
      <c r="N373" s="2"/>
      <c r="O373" s="2"/>
      <c r="P373" s="2"/>
      <c r="Q373" s="2"/>
      <c r="R373" s="2"/>
      <c r="S373" s="2"/>
      <c r="T373" s="2"/>
      <c r="U373" s="2"/>
      <c r="V373" s="2"/>
      <c r="W373" s="2"/>
      <c r="X373" s="2"/>
      <c r="Y373" s="2"/>
      <c r="Z373" s="2"/>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52"/>
      <c r="BB373" s="52"/>
      <c r="BC373" s="52"/>
      <c r="BD373" s="52"/>
      <c r="BE373" s="52"/>
      <c r="BF373" s="52"/>
      <c r="BG373" s="52"/>
      <c r="BH373" s="52"/>
      <c r="BI373" s="52"/>
      <c r="BJ373" s="52"/>
      <c r="BK373" s="52"/>
      <c r="BL373" s="52"/>
      <c r="BM373" s="52"/>
      <c r="BN373" s="52"/>
      <c r="BO373" s="52"/>
      <c r="BP373" s="52"/>
      <c r="BQ373" s="52"/>
    </row>
    <row r="374" spans="1:69" customFormat="1" x14ac:dyDescent="0.2">
      <c r="A374" s="2"/>
      <c r="B374" s="2"/>
      <c r="C374" s="2"/>
      <c r="D374" s="2"/>
      <c r="E374" s="19"/>
      <c r="F374" s="2"/>
      <c r="G374" s="2"/>
      <c r="H374" s="2"/>
      <c r="I374" s="2"/>
      <c r="J374" s="2"/>
      <c r="K374" s="2"/>
      <c r="L374" s="2"/>
      <c r="M374" s="2"/>
      <c r="N374" s="2"/>
      <c r="O374" s="2"/>
      <c r="P374" s="2"/>
      <c r="Q374" s="2"/>
      <c r="R374" s="2"/>
      <c r="S374" s="2"/>
      <c r="T374" s="2"/>
      <c r="U374" s="2"/>
      <c r="V374" s="2"/>
      <c r="W374" s="2"/>
      <c r="X374" s="2"/>
      <c r="Y374" s="2"/>
      <c r="Z374" s="2"/>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52"/>
      <c r="BB374" s="52"/>
      <c r="BC374" s="52"/>
      <c r="BD374" s="52"/>
      <c r="BE374" s="52"/>
      <c r="BF374" s="52"/>
      <c r="BG374" s="52"/>
      <c r="BH374" s="52"/>
      <c r="BI374" s="52"/>
      <c r="BJ374" s="52"/>
      <c r="BK374" s="52"/>
      <c r="BL374" s="52"/>
      <c r="BM374" s="52"/>
      <c r="BN374" s="52"/>
      <c r="BO374" s="52"/>
      <c r="BP374" s="52"/>
      <c r="BQ374" s="52"/>
    </row>
    <row r="375" spans="1:69" customForma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52"/>
      <c r="BB375" s="52"/>
      <c r="BC375" s="52"/>
      <c r="BD375" s="52"/>
      <c r="BE375" s="52"/>
      <c r="BF375" s="52"/>
      <c r="BG375" s="52"/>
      <c r="BH375" s="52"/>
      <c r="BI375" s="52"/>
      <c r="BJ375" s="52"/>
      <c r="BK375" s="52"/>
      <c r="BL375" s="52"/>
      <c r="BM375" s="52"/>
      <c r="BN375" s="52"/>
      <c r="BO375" s="52"/>
      <c r="BP375" s="52"/>
      <c r="BQ375" s="52"/>
    </row>
    <row r="376" spans="1:69" customForma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52"/>
      <c r="BB376" s="52"/>
      <c r="BC376" s="52"/>
      <c r="BD376" s="52"/>
      <c r="BE376" s="52"/>
      <c r="BF376" s="52"/>
      <c r="BG376" s="52"/>
      <c r="BH376" s="52"/>
      <c r="BI376" s="52"/>
      <c r="BJ376" s="52"/>
      <c r="BK376" s="52"/>
      <c r="BL376" s="52"/>
      <c r="BM376" s="52"/>
      <c r="BN376" s="52"/>
      <c r="BO376" s="52"/>
      <c r="BP376" s="52"/>
      <c r="BQ376" s="52"/>
    </row>
    <row r="377" spans="1:69" customForma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52"/>
      <c r="BB377" s="52"/>
      <c r="BC377" s="52"/>
      <c r="BD377" s="52"/>
      <c r="BE377" s="52"/>
      <c r="BF377" s="52"/>
      <c r="BG377" s="52"/>
      <c r="BH377" s="52"/>
      <c r="BI377" s="52"/>
      <c r="BJ377" s="52"/>
      <c r="BK377" s="52"/>
      <c r="BL377" s="52"/>
      <c r="BM377" s="52"/>
      <c r="BN377" s="52"/>
      <c r="BO377" s="52"/>
      <c r="BP377" s="52"/>
      <c r="BQ377" s="52"/>
    </row>
    <row r="378" spans="1:69" customForma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52"/>
      <c r="BB378" s="52"/>
      <c r="BC378" s="52"/>
      <c r="BD378" s="52"/>
      <c r="BE378" s="52"/>
      <c r="BF378" s="52"/>
      <c r="BG378" s="52"/>
      <c r="BH378" s="52"/>
      <c r="BI378" s="52"/>
      <c r="BJ378" s="52"/>
      <c r="BK378" s="52"/>
      <c r="BL378" s="52"/>
      <c r="BM378" s="52"/>
      <c r="BN378" s="52"/>
      <c r="BO378" s="52"/>
      <c r="BP378" s="52"/>
      <c r="BQ378" s="52"/>
    </row>
    <row r="379" spans="1:69" customForma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52"/>
      <c r="BB379" s="52"/>
      <c r="BC379" s="52"/>
      <c r="BD379" s="52"/>
      <c r="BE379" s="52"/>
      <c r="BF379" s="52"/>
      <c r="BG379" s="52"/>
      <c r="BH379" s="52"/>
      <c r="BI379" s="52"/>
      <c r="BJ379" s="52"/>
      <c r="BK379" s="52"/>
      <c r="BL379" s="52"/>
      <c r="BM379" s="52"/>
      <c r="BN379" s="52"/>
      <c r="BO379" s="52"/>
      <c r="BP379" s="52"/>
      <c r="BQ379" s="52"/>
    </row>
    <row r="380" spans="1:69" customForma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52"/>
      <c r="BB380" s="52"/>
      <c r="BC380" s="52"/>
      <c r="BD380" s="52"/>
      <c r="BE380" s="52"/>
      <c r="BF380" s="52"/>
      <c r="BG380" s="52"/>
      <c r="BH380" s="52"/>
      <c r="BI380" s="52"/>
      <c r="BJ380" s="52"/>
      <c r="BK380" s="52"/>
      <c r="BL380" s="52"/>
      <c r="BM380" s="52"/>
      <c r="BN380" s="52"/>
      <c r="BO380" s="52"/>
      <c r="BP380" s="52"/>
      <c r="BQ380" s="52"/>
    </row>
    <row r="381" spans="1:69" customForma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52"/>
      <c r="BB381" s="52"/>
      <c r="BC381" s="52"/>
      <c r="BD381" s="52"/>
      <c r="BE381" s="52"/>
      <c r="BF381" s="52"/>
      <c r="BG381" s="52"/>
      <c r="BH381" s="52"/>
      <c r="BI381" s="52"/>
      <c r="BJ381" s="52"/>
      <c r="BK381" s="52"/>
      <c r="BL381" s="52"/>
      <c r="BM381" s="52"/>
      <c r="BN381" s="52"/>
      <c r="BO381" s="52"/>
      <c r="BP381" s="52"/>
      <c r="BQ381" s="52"/>
    </row>
    <row r="382" spans="1:69" customForma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52"/>
      <c r="BB382" s="52"/>
      <c r="BC382" s="52"/>
      <c r="BD382" s="52"/>
      <c r="BE382" s="52"/>
      <c r="BF382" s="52"/>
      <c r="BG382" s="52"/>
      <c r="BH382" s="52"/>
      <c r="BI382" s="52"/>
      <c r="BJ382" s="52"/>
      <c r="BK382" s="52"/>
      <c r="BL382" s="52"/>
      <c r="BM382" s="52"/>
      <c r="BN382" s="52"/>
      <c r="BO382" s="52"/>
      <c r="BP382" s="52"/>
      <c r="BQ382" s="52"/>
    </row>
    <row r="383" spans="1:69" customForma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52"/>
      <c r="BB383" s="52"/>
      <c r="BC383" s="52"/>
      <c r="BD383" s="52"/>
      <c r="BE383" s="52"/>
      <c r="BF383" s="52"/>
      <c r="BG383" s="52"/>
      <c r="BH383" s="52"/>
      <c r="BI383" s="52"/>
      <c r="BJ383" s="52"/>
      <c r="BK383" s="52"/>
      <c r="BL383" s="52"/>
      <c r="BM383" s="52"/>
      <c r="BN383" s="52"/>
      <c r="BO383" s="52"/>
      <c r="BP383" s="52"/>
      <c r="BQ383" s="52"/>
    </row>
    <row r="384" spans="1:69" customForma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52"/>
      <c r="BB384" s="52"/>
      <c r="BC384" s="52"/>
      <c r="BD384" s="52"/>
      <c r="BE384" s="52"/>
      <c r="BF384" s="52"/>
      <c r="BG384" s="52"/>
      <c r="BH384" s="52"/>
      <c r="BI384" s="52"/>
      <c r="BJ384" s="52"/>
      <c r="BK384" s="52"/>
      <c r="BL384" s="52"/>
      <c r="BM384" s="52"/>
      <c r="BN384" s="52"/>
      <c r="BO384" s="52"/>
      <c r="BP384" s="52"/>
      <c r="BQ384" s="52"/>
    </row>
    <row r="385" spans="1:69" customForma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52"/>
      <c r="BB385" s="52"/>
      <c r="BC385" s="52"/>
      <c r="BD385" s="52"/>
      <c r="BE385" s="52"/>
      <c r="BF385" s="52"/>
      <c r="BG385" s="52"/>
      <c r="BH385" s="52"/>
      <c r="BI385" s="52"/>
      <c r="BJ385" s="52"/>
      <c r="BK385" s="52"/>
      <c r="BL385" s="52"/>
      <c r="BM385" s="52"/>
      <c r="BN385" s="52"/>
      <c r="BO385" s="52"/>
      <c r="BP385" s="52"/>
      <c r="BQ385" s="52"/>
    </row>
    <row r="386" spans="1:69" customForma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52"/>
      <c r="BB386" s="52"/>
      <c r="BC386" s="52"/>
      <c r="BD386" s="52"/>
      <c r="BE386" s="52"/>
      <c r="BF386" s="52"/>
      <c r="BG386" s="52"/>
      <c r="BH386" s="52"/>
      <c r="BI386" s="52"/>
      <c r="BJ386" s="52"/>
      <c r="BK386" s="52"/>
      <c r="BL386" s="52"/>
      <c r="BM386" s="52"/>
      <c r="BN386" s="52"/>
      <c r="BO386" s="52"/>
      <c r="BP386" s="52"/>
      <c r="BQ386" s="52"/>
    </row>
    <row r="387" spans="1:69" customForma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52"/>
      <c r="BB387" s="52"/>
      <c r="BC387" s="52"/>
      <c r="BD387" s="52"/>
      <c r="BE387" s="52"/>
      <c r="BF387" s="52"/>
      <c r="BG387" s="52"/>
      <c r="BH387" s="52"/>
      <c r="BI387" s="52"/>
      <c r="BJ387" s="52"/>
      <c r="BK387" s="52"/>
      <c r="BL387" s="52"/>
      <c r="BM387" s="52"/>
      <c r="BN387" s="52"/>
      <c r="BO387" s="52"/>
      <c r="BP387" s="52"/>
      <c r="BQ387" s="52"/>
    </row>
    <row r="388" spans="1:69" customForma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52"/>
      <c r="BB388" s="52"/>
      <c r="BC388" s="52"/>
      <c r="BD388" s="52"/>
      <c r="BE388" s="52"/>
      <c r="BF388" s="52"/>
      <c r="BG388" s="52"/>
      <c r="BH388" s="52"/>
      <c r="BI388" s="52"/>
      <c r="BJ388" s="52"/>
      <c r="BK388" s="52"/>
      <c r="BL388" s="52"/>
      <c r="BM388" s="52"/>
      <c r="BN388" s="52"/>
      <c r="BO388" s="52"/>
      <c r="BP388" s="52"/>
      <c r="BQ388" s="52"/>
    </row>
    <row r="389" spans="1:69" customForma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52"/>
      <c r="BB389" s="52"/>
      <c r="BC389" s="52"/>
      <c r="BD389" s="52"/>
      <c r="BE389" s="52"/>
      <c r="BF389" s="52"/>
      <c r="BG389" s="52"/>
      <c r="BH389" s="52"/>
      <c r="BI389" s="52"/>
      <c r="BJ389" s="52"/>
      <c r="BK389" s="52"/>
      <c r="BL389" s="52"/>
      <c r="BM389" s="52"/>
      <c r="BN389" s="52"/>
      <c r="BO389" s="52"/>
      <c r="BP389" s="52"/>
      <c r="BQ389" s="52"/>
    </row>
    <row r="390" spans="1:69" customForma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52"/>
      <c r="BB390" s="52"/>
      <c r="BC390" s="52"/>
      <c r="BD390" s="52"/>
      <c r="BE390" s="52"/>
      <c r="BF390" s="52"/>
      <c r="BG390" s="52"/>
      <c r="BH390" s="52"/>
      <c r="BI390" s="52"/>
      <c r="BJ390" s="52"/>
      <c r="BK390" s="52"/>
      <c r="BL390" s="52"/>
      <c r="BM390" s="52"/>
      <c r="BN390" s="52"/>
      <c r="BO390" s="52"/>
      <c r="BP390" s="52"/>
      <c r="BQ390" s="52"/>
    </row>
    <row r="391" spans="1:69" customForma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52"/>
      <c r="BB391" s="52"/>
      <c r="BC391" s="52"/>
      <c r="BD391" s="52"/>
      <c r="BE391" s="52"/>
      <c r="BF391" s="52"/>
      <c r="BG391" s="52"/>
      <c r="BH391" s="52"/>
      <c r="BI391" s="52"/>
      <c r="BJ391" s="52"/>
      <c r="BK391" s="52"/>
      <c r="BL391" s="52"/>
      <c r="BM391" s="52"/>
      <c r="BN391" s="52"/>
      <c r="BO391" s="52"/>
      <c r="BP391" s="52"/>
      <c r="BQ391" s="52"/>
    </row>
    <row r="392" spans="1:69" customForma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52"/>
      <c r="BB392" s="52"/>
      <c r="BC392" s="52"/>
      <c r="BD392" s="52"/>
      <c r="BE392" s="52"/>
      <c r="BF392" s="52"/>
      <c r="BG392" s="52"/>
      <c r="BH392" s="52"/>
      <c r="BI392" s="52"/>
      <c r="BJ392" s="52"/>
      <c r="BK392" s="52"/>
      <c r="BL392" s="52"/>
      <c r="BM392" s="52"/>
      <c r="BN392" s="52"/>
      <c r="BO392" s="52"/>
      <c r="BP392" s="52"/>
      <c r="BQ392" s="52"/>
    </row>
    <row r="393" spans="1:69" customForma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52"/>
      <c r="BB393" s="52"/>
      <c r="BC393" s="52"/>
      <c r="BD393" s="52"/>
      <c r="BE393" s="52"/>
      <c r="BF393" s="52"/>
      <c r="BG393" s="52"/>
      <c r="BH393" s="52"/>
      <c r="BI393" s="52"/>
      <c r="BJ393" s="52"/>
      <c r="BK393" s="52"/>
      <c r="BL393" s="52"/>
      <c r="BM393" s="52"/>
      <c r="BN393" s="52"/>
      <c r="BO393" s="52"/>
      <c r="BP393" s="52"/>
      <c r="BQ393" s="52"/>
    </row>
    <row r="394" spans="1:69" customForma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52"/>
      <c r="BB394" s="52"/>
      <c r="BC394" s="52"/>
      <c r="BD394" s="52"/>
      <c r="BE394" s="52"/>
      <c r="BF394" s="52"/>
      <c r="BG394" s="52"/>
      <c r="BH394" s="52"/>
      <c r="BI394" s="52"/>
      <c r="BJ394" s="52"/>
      <c r="BK394" s="52"/>
      <c r="BL394" s="52"/>
      <c r="BM394" s="52"/>
      <c r="BN394" s="52"/>
      <c r="BO394" s="52"/>
      <c r="BP394" s="52"/>
      <c r="BQ394" s="52"/>
    </row>
    <row r="395" spans="1:69" customForma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52"/>
      <c r="BB395" s="52"/>
      <c r="BC395" s="52"/>
      <c r="BD395" s="52"/>
      <c r="BE395" s="52"/>
      <c r="BF395" s="52"/>
      <c r="BG395" s="52"/>
      <c r="BH395" s="52"/>
      <c r="BI395" s="52"/>
      <c r="BJ395" s="52"/>
      <c r="BK395" s="52"/>
      <c r="BL395" s="52"/>
      <c r="BM395" s="52"/>
      <c r="BN395" s="52"/>
      <c r="BO395" s="52"/>
      <c r="BP395" s="52"/>
      <c r="BQ395" s="52"/>
    </row>
    <row r="396" spans="1:69" customForma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52"/>
      <c r="BB396" s="52"/>
      <c r="BC396" s="52"/>
      <c r="BD396" s="52"/>
      <c r="BE396" s="52"/>
      <c r="BF396" s="52"/>
      <c r="BG396" s="52"/>
      <c r="BH396" s="52"/>
      <c r="BI396" s="52"/>
      <c r="BJ396" s="52"/>
      <c r="BK396" s="52"/>
      <c r="BL396" s="52"/>
      <c r="BM396" s="52"/>
      <c r="BN396" s="52"/>
      <c r="BO396" s="52"/>
      <c r="BP396" s="52"/>
      <c r="BQ396" s="52"/>
    </row>
    <row r="397" spans="1:69" customForma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N397" s="52"/>
      <c r="BO397" s="52"/>
      <c r="BP397" s="52"/>
      <c r="BQ397" s="52"/>
    </row>
    <row r="398" spans="1:69" customForma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N398" s="52"/>
      <c r="BO398" s="52"/>
      <c r="BP398" s="52"/>
      <c r="BQ398" s="52"/>
    </row>
    <row r="399" spans="1:69" customForma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N399" s="52"/>
      <c r="BO399" s="52"/>
      <c r="BP399" s="52"/>
      <c r="BQ399" s="52"/>
    </row>
    <row r="400" spans="1:69" customForma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N400" s="52"/>
      <c r="BO400" s="52"/>
      <c r="BP400" s="52"/>
      <c r="BQ400" s="52"/>
    </row>
    <row r="401" spans="1:69" customFormat="1" ht="15" x14ac:dyDescent="0.2">
      <c r="A401" s="32">
        <f>_SPECIFICvarPubDate</f>
        <v>45848</v>
      </c>
      <c r="B401" s="11" t="str">
        <f>$A$1</f>
        <v>RANDOM LENGTHS LUMBER REPORT</v>
      </c>
      <c r="C401" s="12"/>
      <c r="D401" s="12"/>
      <c r="E401" s="12"/>
      <c r="F401" s="12"/>
      <c r="G401" s="33"/>
      <c r="H401" s="10" t="s">
        <v>234</v>
      </c>
      <c r="P401" s="2"/>
      <c r="Q401" s="2"/>
      <c r="R401" s="2"/>
      <c r="S401" s="2"/>
      <c r="T401" s="2"/>
      <c r="U401" s="2"/>
      <c r="V401" s="2"/>
      <c r="W401" s="2"/>
      <c r="X401" s="2"/>
      <c r="Y401" s="2"/>
      <c r="Z401" s="2"/>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N401" s="52"/>
      <c r="BO401" s="52"/>
      <c r="BP401" s="52"/>
      <c r="BQ401" s="52"/>
    </row>
    <row r="402" spans="1:69" customFormat="1" ht="14.25" x14ac:dyDescent="0.2">
      <c r="S402" s="14"/>
      <c r="T402" s="2"/>
      <c r="U402" s="2"/>
      <c r="V402" s="2"/>
      <c r="W402" s="2"/>
      <c r="X402" s="2"/>
      <c r="Y402" s="2"/>
      <c r="Z402" s="2"/>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N402" s="52"/>
      <c r="BO402" s="52"/>
      <c r="BP402" s="52"/>
      <c r="BQ402" s="52"/>
    </row>
    <row r="403" spans="1:69" customFormat="1" ht="15.75" x14ac:dyDescent="0.25">
      <c r="A403" s="16" t="s">
        <v>235</v>
      </c>
      <c r="B403" s="2"/>
      <c r="C403" s="2"/>
      <c r="D403" s="2"/>
      <c r="E403" s="2"/>
      <c r="F403" s="2"/>
      <c r="G403" s="2"/>
      <c r="H403" s="2"/>
      <c r="I403" s="2"/>
      <c r="J403" s="2"/>
      <c r="K403" s="2"/>
      <c r="L403" s="2"/>
      <c r="M403" s="2"/>
      <c r="N403" s="2"/>
      <c r="O403" s="2"/>
      <c r="S403" s="2"/>
      <c r="T403" s="2"/>
      <c r="U403" s="2"/>
      <c r="V403" s="2"/>
      <c r="W403" s="2"/>
      <c r="X403" s="2"/>
      <c r="Y403" s="2"/>
      <c r="Z403" s="2"/>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N403" s="52"/>
      <c r="BO403" s="52"/>
      <c r="BP403" s="52"/>
      <c r="BQ403" s="52"/>
    </row>
    <row r="404" spans="1:69" customFormat="1" x14ac:dyDescent="0.2">
      <c r="A404" s="17" t="s">
        <v>236</v>
      </c>
      <c r="B404" s="2"/>
      <c r="C404" s="2"/>
      <c r="D404" s="2"/>
      <c r="E404" s="2"/>
      <c r="F404" s="2"/>
      <c r="G404" s="2"/>
      <c r="M404" s="2"/>
      <c r="N404" s="2"/>
      <c r="O404" s="2"/>
      <c r="P404" s="2"/>
      <c r="Q404" s="2"/>
      <c r="R404" s="2"/>
      <c r="S404" s="2"/>
      <c r="T404" s="2"/>
      <c r="U404" s="2"/>
      <c r="V404" s="2"/>
      <c r="W404" s="2"/>
      <c r="X404" s="2"/>
      <c r="Y404" s="2"/>
      <c r="Z404" s="2"/>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N404" s="52"/>
      <c r="BO404" s="52"/>
      <c r="BP404" s="52"/>
      <c r="BQ404" s="52"/>
    </row>
    <row r="405" spans="1:69" customFormat="1" x14ac:dyDescent="0.2">
      <c r="A405" s="23" t="s">
        <v>72</v>
      </c>
      <c r="B405" s="2"/>
      <c r="C405" s="2"/>
      <c r="D405" s="2"/>
      <c r="E405" s="2"/>
      <c r="F405" s="2"/>
      <c r="G405" s="2"/>
      <c r="H405" s="2"/>
      <c r="I405" s="2"/>
      <c r="J405" s="2"/>
      <c r="M405" s="23" t="s">
        <v>71</v>
      </c>
      <c r="N405" s="2"/>
      <c r="O405" s="2"/>
      <c r="P405" s="2"/>
      <c r="Q405" s="2"/>
      <c r="R405" s="2"/>
      <c r="S405" s="2"/>
      <c r="T405" s="2"/>
      <c r="U405" s="2"/>
      <c r="V405" s="2"/>
      <c r="W405" s="2"/>
      <c r="X405" s="2"/>
      <c r="Y405" s="2"/>
      <c r="Z405" s="2"/>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N405" s="52"/>
      <c r="BO405" s="52"/>
      <c r="BP405" s="52"/>
      <c r="BQ405" s="52"/>
    </row>
    <row r="406" spans="1:69" customFormat="1" x14ac:dyDescent="0.2">
      <c r="H406" s="27" t="s">
        <v>237</v>
      </c>
      <c r="I406" s="46"/>
      <c r="J406" s="12"/>
      <c r="N406" s="19"/>
      <c r="O406" s="2"/>
      <c r="P406" s="2"/>
      <c r="Q406" s="2"/>
      <c r="R406" s="2"/>
      <c r="S406" s="2"/>
      <c r="T406" s="2"/>
      <c r="U406" s="2"/>
      <c r="V406" s="2"/>
      <c r="W406" s="2"/>
      <c r="X406" s="2"/>
      <c r="Y406" s="2"/>
      <c r="Z406" s="2"/>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N406" s="52"/>
      <c r="BO406" s="52"/>
      <c r="BP406" s="52"/>
      <c r="BQ406" s="52"/>
    </row>
    <row r="407" spans="1:69" customFormat="1" x14ac:dyDescent="0.2">
      <c r="A407" s="2"/>
      <c r="B407" s="19" t="s">
        <v>11</v>
      </c>
      <c r="C407" s="19" t="s">
        <v>23</v>
      </c>
      <c r="D407" s="19"/>
      <c r="E407" s="43" t="s">
        <v>238</v>
      </c>
      <c r="F407" s="43"/>
      <c r="G407" s="21"/>
      <c r="H407" s="19" t="s">
        <v>16</v>
      </c>
      <c r="I407" s="19" t="s">
        <v>17</v>
      </c>
      <c r="J407" s="37"/>
      <c r="M407" s="19" t="s">
        <v>76</v>
      </c>
      <c r="O407" s="2"/>
      <c r="P407" s="2"/>
      <c r="Q407" s="2"/>
      <c r="R407" s="2"/>
      <c r="S407" s="2"/>
      <c r="T407" s="2"/>
      <c r="U407" s="2"/>
      <c r="V407" s="2"/>
      <c r="W407" s="2"/>
      <c r="X407" s="2"/>
      <c r="Y407" s="2"/>
      <c r="Z407" s="2"/>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N407" s="52"/>
      <c r="BO407" s="52"/>
      <c r="BP407" s="52"/>
      <c r="BQ407" s="52"/>
    </row>
    <row r="408" spans="1:69" customFormat="1" x14ac:dyDescent="0.2">
      <c r="A408" s="2"/>
      <c r="B408" s="19" t="s">
        <v>19</v>
      </c>
      <c r="C408" s="19" t="s">
        <v>19</v>
      </c>
      <c r="D408" s="19" t="s">
        <v>52</v>
      </c>
      <c r="E408" s="19" t="s">
        <v>26</v>
      </c>
      <c r="F408" s="19" t="s">
        <v>75</v>
      </c>
      <c r="G408" s="19" t="s">
        <v>28</v>
      </c>
      <c r="H408" s="37"/>
      <c r="I408" s="19" t="s">
        <v>59</v>
      </c>
      <c r="J408" s="19" t="s">
        <v>239</v>
      </c>
      <c r="K408" s="19" t="s">
        <v>240</v>
      </c>
      <c r="L408" s="19" t="s">
        <v>241</v>
      </c>
      <c r="M408" s="19" t="s">
        <v>53</v>
      </c>
      <c r="P408" s="2"/>
      <c r="Q408" s="2"/>
      <c r="R408" s="2"/>
      <c r="S408" s="2"/>
      <c r="U408" s="2"/>
      <c r="V408" s="2"/>
      <c r="W408" s="2"/>
      <c r="X408" s="2"/>
      <c r="Y408" s="2"/>
      <c r="Z408" s="2"/>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N408" s="52"/>
      <c r="BO408" s="52"/>
      <c r="BP408" s="52"/>
      <c r="BQ408" s="52"/>
    </row>
    <row r="409" spans="1:69" customFormat="1" x14ac:dyDescent="0.2">
      <c r="A409" s="31" t="s">
        <v>145</v>
      </c>
      <c r="B409" s="7">
        <f t="array" ref="B409">_xll.GetPrice("FP-LBR-0159","Actual","Low",_SPECIFICvarPubDate)</f>
        <v>200</v>
      </c>
      <c r="C409" s="7">
        <f t="array" ref="C409">_xll.GetPrice("FP-LBR-0239","Actual","Low",_SPECIFICvarPubDate)</f>
        <v>210</v>
      </c>
      <c r="D409" s="7">
        <f t="array" ref="D409">_xll.GetPrice("FP-LBR-0252","Actual","Low",_SPECIFICvarPubDate)</f>
        <v>210</v>
      </c>
      <c r="E409" s="7">
        <f t="array" ref="E409">_xll.GetPrice("FP-LBR-0320","Actual","Low",_SPECIFICvarPubDate)</f>
        <v>220</v>
      </c>
      <c r="F409" s="7">
        <f t="array" ref="F409">_xll.GetPrice("FP-LBR-2011","Actual","Low",_SPECIFICvarPubDate)</f>
        <v>205</v>
      </c>
      <c r="G409" s="7">
        <f t="array" ref="G409">_xll.GetPrice("FP-LBR-1991","Actual","Low",_SPECIFICvarPubDate)</f>
        <v>205</v>
      </c>
      <c r="H409" s="7">
        <f t="array" ref="H409">_xll.GetPrice("FP-LBR-0433","Actual","Low",_SPECIFICvarPubDate)</f>
        <v>248</v>
      </c>
      <c r="I409" s="7">
        <f t="array" ref="I409">_xll.GetPrice("FP-LBR-1303","Actual","Low",_SPECIFICvarPubDate)</f>
        <v>335</v>
      </c>
      <c r="J409" s="7">
        <f t="array" ref="J409">_xll.GetPrice("FP-LBR-1306","Actual","Low",_SPECIFICvarPubDate)</f>
        <v>325</v>
      </c>
      <c r="K409" s="7">
        <f t="array" ref="K409">_xll.GetPrice("FP-LBR-1309","Actual","Low",_SPECIFICvarPubDate)</f>
        <v>395</v>
      </c>
      <c r="L409" s="7">
        <f t="array" ref="L409">_xll.GetPrice("FP-LBR-1312","Actual","Low",_SPECIFICvarPubDate)</f>
        <v>375</v>
      </c>
      <c r="M409" s="7">
        <f t="array" ref="M409">_xll.GetPrice("FP-LBR-1334","Actual","Low",_SPECIFICvarPubDate)</f>
        <v>115</v>
      </c>
      <c r="O409" s="2"/>
      <c r="P409" s="2"/>
      <c r="Q409" s="2"/>
      <c r="R409" s="2"/>
      <c r="S409" s="2"/>
      <c r="T409" s="2"/>
      <c r="U409" s="2"/>
      <c r="V409" s="2"/>
      <c r="W409" s="2"/>
      <c r="X409" s="2"/>
      <c r="Y409" s="2"/>
      <c r="Z409" s="2"/>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N409" s="52"/>
      <c r="BO409" s="52"/>
      <c r="BP409" s="52"/>
      <c r="BQ409" s="52"/>
    </row>
    <row r="410" spans="1:69" customFormat="1" x14ac:dyDescent="0.2">
      <c r="A410" s="31" t="s">
        <v>39</v>
      </c>
      <c r="B410" s="7">
        <f t="array" ref="B410">_xll.GetPrice("FP-LBR-0160","Actual","Low",_SPECIFICvarPubDate)</f>
        <v>160</v>
      </c>
      <c r="C410" s="7">
        <f t="array" ref="C410">_xll.GetPrice("FP-LBR-0240","Actual","Low",_SPECIFICvarPubDate)</f>
        <v>170</v>
      </c>
      <c r="D410" s="7">
        <f t="array" ref="D410">_xll.GetPrice("FP-LBR-0253","Actual","Low",_SPECIFICvarPubDate)</f>
        <v>170</v>
      </c>
      <c r="E410" s="7">
        <f t="array" ref="E410">_xll.GetPrice("FP-LBR-0321","Actual","Low",_SPECIFICvarPubDate)</f>
        <v>180</v>
      </c>
      <c r="F410" s="7">
        <f t="array" ref="F410">_xll.GetPrice("FP-LBR-2012","Actual","Low",_SPECIFICvarPubDate)</f>
        <v>190</v>
      </c>
      <c r="G410" s="7">
        <f t="array" ref="G410">_xll.GetPrice("FP-LBR-1992","Actual","Low",_SPECIFICvarPubDate)</f>
        <v>200</v>
      </c>
      <c r="H410" s="7">
        <f t="array" ref="H410">_xll.GetPrice("FP-LBR-0434","Actual","Low",_SPECIFICvarPubDate)</f>
        <v>233</v>
      </c>
      <c r="I410" s="7">
        <f t="array" ref="I410">_xll.GetPrice("FP-LBR-1304","Actual","Low",_SPECIFICvarPubDate)</f>
        <v>295</v>
      </c>
      <c r="J410" s="7">
        <f t="array" ref="J410">_xll.GetPrice("FP-LBR-1307","Actual","Low",_SPECIFICvarPubDate)</f>
        <v>305</v>
      </c>
      <c r="K410" s="7">
        <f t="array" ref="K410">_xll.GetPrice("FP-LBR-1310","Actual","Low",_SPECIFICvarPubDate)</f>
        <v>390</v>
      </c>
      <c r="L410" s="7">
        <f t="array" ref="L410">_xll.GetPrice("FP-LBR-1313","Actual","Low",_SPECIFICvarPubDate)</f>
        <v>375</v>
      </c>
      <c r="M410" s="7">
        <f t="array" ref="M410">_xll.GetPrice("FP-LBR-1335","Actual","Low",_SPECIFICvarPubDate)</f>
        <v>115</v>
      </c>
      <c r="O410" s="2"/>
      <c r="P410" s="2"/>
      <c r="Q410" s="2"/>
      <c r="R410" s="2"/>
      <c r="S410" s="2"/>
      <c r="T410" s="2"/>
      <c r="U410" s="2"/>
      <c r="V410" s="2"/>
      <c r="W410" s="2"/>
      <c r="X410" s="2"/>
      <c r="Y410" s="2"/>
      <c r="Z410" s="2"/>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N410" s="52"/>
      <c r="BO410" s="52"/>
      <c r="BP410" s="52"/>
      <c r="BQ410" s="52"/>
    </row>
    <row r="411" spans="1:69" customFormat="1" x14ac:dyDescent="0.2">
      <c r="A411" s="31" t="s">
        <v>40</v>
      </c>
      <c r="B411" s="25" t="s">
        <v>37</v>
      </c>
      <c r="C411" s="25" t="s">
        <v>37</v>
      </c>
      <c r="D411" s="25" t="s">
        <v>37</v>
      </c>
      <c r="E411" s="7">
        <f t="array" ref="E411">_xll.GetPrice("FP-LBR-0322","Actual","Low",_SPECIFICvarPubDate)</f>
        <v>205</v>
      </c>
      <c r="F411" s="7">
        <f t="array" ref="F411">_xll.GetPrice("FP-LBR-2013","Actual","Low",_SPECIFICvarPubDate)</f>
        <v>225</v>
      </c>
      <c r="G411" s="7">
        <f t="array" ref="G411">_xll.GetPrice("FP-LBR-1993","Actual","Low",_SPECIFICvarPubDate)</f>
        <v>225</v>
      </c>
      <c r="H411" s="7">
        <f t="array" ref="H411">_xll.GetPrice("FP-LBR-0435","Actual","Low",_SPECIFICvarPubDate)</f>
        <v>240</v>
      </c>
      <c r="I411" s="25" t="s">
        <v>37</v>
      </c>
      <c r="J411" s="25" t="s">
        <v>37</v>
      </c>
      <c r="K411" s="25" t="s">
        <v>37</v>
      </c>
      <c r="L411" s="25" t="s">
        <v>37</v>
      </c>
      <c r="M411" s="7">
        <f t="array" ref="M411">_xll.GetPrice("FP-LBR-1336","Actual","Low",_SPECIFICvarPubDate)</f>
        <v>145</v>
      </c>
      <c r="O411" s="2"/>
      <c r="P411" s="2"/>
      <c r="Q411" s="2"/>
      <c r="R411" s="2"/>
      <c r="S411" s="2"/>
      <c r="T411" s="2"/>
      <c r="U411" s="2"/>
      <c r="V411" s="2"/>
      <c r="W411" s="2"/>
      <c r="X411" s="2"/>
      <c r="Y411" s="2"/>
      <c r="Z411" s="2"/>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N411" s="52"/>
      <c r="BO411" s="52"/>
      <c r="BP411" s="52"/>
      <c r="BQ411" s="52"/>
    </row>
    <row r="412" spans="1:69" customFormat="1" x14ac:dyDescent="0.2">
      <c r="A412" s="31" t="s">
        <v>41</v>
      </c>
      <c r="B412" s="25" t="s">
        <v>37</v>
      </c>
      <c r="C412" s="25" t="s">
        <v>37</v>
      </c>
      <c r="D412" s="25" t="s">
        <v>37</v>
      </c>
      <c r="E412" s="7">
        <f t="array" ref="E412">_xll.GetPrice("FP-LBR-0323","Actual","Low",_SPECIFICvarPubDate)</f>
        <v>195</v>
      </c>
      <c r="F412" s="7">
        <f t="array" ref="F412">_xll.GetPrice("FP-LBR-2014","Actual","Low",_SPECIFICvarPubDate)</f>
        <v>210</v>
      </c>
      <c r="G412" s="7">
        <f t="array" ref="G412">_xll.GetPrice("FP-LBR-1994","Actual","Low",_SPECIFICvarPubDate)</f>
        <v>190</v>
      </c>
      <c r="H412" s="7">
        <f t="array" ref="H412">_xll.GetPrice("FP-LBR-0436","Actual","Low",_SPECIFICvarPubDate)</f>
        <v>235</v>
      </c>
      <c r="I412" s="25" t="s">
        <v>37</v>
      </c>
      <c r="J412" s="25" t="s">
        <v>37</v>
      </c>
      <c r="K412" s="25" t="s">
        <v>37</v>
      </c>
      <c r="L412" s="25" t="s">
        <v>37</v>
      </c>
      <c r="M412" s="7">
        <f t="array" ref="M412">_xll.GetPrice("FP-LBR-1337","Actual","Low",_SPECIFICvarPubDate)</f>
        <v>145</v>
      </c>
      <c r="O412" s="2"/>
      <c r="P412" s="2"/>
      <c r="Q412" s="2"/>
      <c r="R412" s="2"/>
      <c r="S412" s="2"/>
      <c r="T412" s="2"/>
      <c r="U412" s="2"/>
      <c r="V412" s="2"/>
      <c r="W412" s="2"/>
      <c r="X412" s="2"/>
      <c r="Y412" s="2"/>
      <c r="Z412" s="2"/>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N412" s="52"/>
      <c r="BO412" s="52"/>
      <c r="BP412" s="52"/>
      <c r="BQ412" s="52"/>
    </row>
    <row r="413" spans="1:69" customFormat="1" x14ac:dyDescent="0.2">
      <c r="A413" s="31" t="s">
        <v>42</v>
      </c>
      <c r="B413" s="25" t="s">
        <v>37</v>
      </c>
      <c r="C413" s="25" t="s">
        <v>37</v>
      </c>
      <c r="D413" s="25" t="s">
        <v>37</v>
      </c>
      <c r="E413" s="7">
        <f t="array" ref="E413">_xll.GetPrice("FP-LBR-0324","Actual","Low",_SPECIFICvarPubDate)</f>
        <v>205</v>
      </c>
      <c r="F413" s="7">
        <f t="array" ref="F413">_xll.GetPrice("FP-LBR-2015","Actual","Low",_SPECIFICvarPubDate)</f>
        <v>240</v>
      </c>
      <c r="G413" s="7">
        <f t="array" ref="G413">_xll.GetPrice("FP-LBR-1995","Actual","Low",_SPECIFICvarPubDate)</f>
        <v>245</v>
      </c>
      <c r="H413" s="7">
        <f t="array" ref="H413">_xll.GetPrice("FP-LBR-0437","Actual","Low",_SPECIFICvarPubDate)</f>
        <v>230</v>
      </c>
      <c r="I413" s="25" t="s">
        <v>37</v>
      </c>
      <c r="J413" s="25" t="s">
        <v>37</v>
      </c>
      <c r="K413" s="25" t="s">
        <v>37</v>
      </c>
      <c r="L413" s="25" t="s">
        <v>37</v>
      </c>
      <c r="M413" s="7">
        <f t="array" ref="M413">_xll.GetPrice("FP-LBR-1315","Actual","Low",_SPECIFICvarPubDate)</f>
        <v>145</v>
      </c>
      <c r="O413" s="2"/>
      <c r="P413" s="2"/>
      <c r="Q413" s="2"/>
      <c r="R413" s="2"/>
      <c r="S413" s="2"/>
      <c r="T413" s="2"/>
      <c r="U413" s="2"/>
      <c r="V413" s="2"/>
      <c r="W413" s="2"/>
      <c r="X413" s="2"/>
      <c r="Y413" s="2"/>
      <c r="Z413" s="2"/>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N413" s="52"/>
      <c r="BO413" s="52"/>
      <c r="BP413" s="52"/>
      <c r="BQ413" s="52"/>
    </row>
    <row r="414" spans="1:69" customFormat="1" x14ac:dyDescent="0.2">
      <c r="A414" s="31" t="s">
        <v>110</v>
      </c>
      <c r="B414" s="25" t="s">
        <v>37</v>
      </c>
      <c r="C414" s="25" t="s">
        <v>37</v>
      </c>
      <c r="D414" s="25" t="s">
        <v>37</v>
      </c>
      <c r="E414" s="25" t="s">
        <v>37</v>
      </c>
      <c r="F414" s="25" t="s">
        <v>37</v>
      </c>
      <c r="G414" s="25" t="s">
        <v>37</v>
      </c>
      <c r="H414" s="25" t="s">
        <v>37</v>
      </c>
      <c r="I414" s="7">
        <f t="array" ref="I414">_xll.GetPrice("FP-LBR-1305","Actual","Low",_SPECIFICvarPubDate)</f>
        <v>325</v>
      </c>
      <c r="J414" s="7">
        <f t="array" ref="J414">_xll.GetPrice("FP-LBR-1308","Actual","Low",_SPECIFICvarPubDate)</f>
        <v>330</v>
      </c>
      <c r="K414" s="7">
        <f t="array" ref="K414">_xll.GetPrice("FP-LBR-1311","Actual","Low",_SPECIFICvarPubDate)</f>
        <v>380</v>
      </c>
      <c r="L414" s="7">
        <f t="array" ref="L414">_xll.GetPrice("FP-LBR-1314","Actual","Low",_SPECIFICvarPubDate)</f>
        <v>360</v>
      </c>
      <c r="M414" s="25" t="s">
        <v>37</v>
      </c>
      <c r="O414" s="2"/>
      <c r="P414" s="2"/>
      <c r="Q414" s="2"/>
      <c r="R414" s="2"/>
      <c r="S414" s="2"/>
      <c r="T414" s="2"/>
      <c r="U414" s="2"/>
      <c r="V414" s="2"/>
      <c r="W414" s="2"/>
      <c r="X414" s="2"/>
      <c r="Y414" s="2"/>
      <c r="Z414" s="2"/>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N414" s="52"/>
      <c r="BO414" s="52"/>
      <c r="BP414" s="52"/>
      <c r="BQ414" s="52"/>
    </row>
    <row r="415" spans="1:69" customFormat="1" x14ac:dyDescent="0.2">
      <c r="P415" s="2"/>
      <c r="Q415" s="2"/>
      <c r="R415" s="2"/>
      <c r="S415" s="2"/>
      <c r="T415" s="2"/>
      <c r="U415" s="2"/>
      <c r="V415" s="2"/>
      <c r="W415" s="2"/>
      <c r="X415" s="2"/>
      <c r="Y415" s="2"/>
      <c r="Z415" s="2"/>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N415" s="52"/>
      <c r="BO415" s="52"/>
      <c r="BP415" s="52"/>
      <c r="BQ415" s="52"/>
    </row>
    <row r="416" spans="1:69" customFormat="1" x14ac:dyDescent="0.2">
      <c r="A416" s="17" t="s">
        <v>242</v>
      </c>
      <c r="B416" s="2"/>
      <c r="C416" s="2"/>
      <c r="D416" s="2"/>
      <c r="E416" s="2"/>
      <c r="F416" s="2"/>
      <c r="G416" s="2"/>
      <c r="H416" s="2"/>
      <c r="I416" s="2"/>
      <c r="J416" s="2"/>
      <c r="K416" s="2"/>
      <c r="L416" s="2"/>
      <c r="M416" s="2"/>
      <c r="N416" s="2"/>
      <c r="O416" s="2"/>
      <c r="Q416" s="2"/>
      <c r="R416" s="2"/>
      <c r="S416" s="2"/>
      <c r="T416" s="2"/>
      <c r="U416" s="2"/>
      <c r="V416" s="2"/>
      <c r="W416" s="2"/>
      <c r="X416" s="2"/>
      <c r="Y416" s="2"/>
      <c r="Z416" s="2"/>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N416" s="52"/>
      <c r="BO416" s="52"/>
      <c r="BP416" s="52"/>
      <c r="BQ416" s="52"/>
    </row>
    <row r="417" spans="1:69" customFormat="1" x14ac:dyDescent="0.2">
      <c r="A417" s="36" t="s">
        <v>243</v>
      </c>
      <c r="B417" s="2"/>
      <c r="C417" s="2"/>
      <c r="D417" s="2"/>
      <c r="E417" s="2"/>
      <c r="F417" s="2"/>
      <c r="G417" s="2"/>
      <c r="H417" s="2"/>
      <c r="I417" s="2"/>
      <c r="J417" s="23" t="s">
        <v>244</v>
      </c>
      <c r="K417" s="2"/>
      <c r="L417" s="2"/>
      <c r="M417" s="2"/>
      <c r="N417" s="2"/>
      <c r="O417" s="2"/>
      <c r="P417" s="2"/>
      <c r="Q417" s="2"/>
      <c r="R417" s="2"/>
      <c r="S417" s="2"/>
      <c r="T417" s="2"/>
      <c r="U417" s="2"/>
      <c r="V417" s="2"/>
      <c r="W417" s="2"/>
      <c r="X417" s="2"/>
      <c r="Y417" s="2"/>
      <c r="Z417" s="2"/>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N417" s="52"/>
      <c r="BO417" s="52"/>
      <c r="BP417" s="52"/>
      <c r="BQ417" s="52"/>
    </row>
    <row r="418" spans="1:69" customFormat="1" x14ac:dyDescent="0.2">
      <c r="A418" s="2"/>
      <c r="B418" s="19" t="s">
        <v>127</v>
      </c>
      <c r="C418" s="19" t="s">
        <v>128</v>
      </c>
      <c r="D418" s="19" t="s">
        <v>129</v>
      </c>
      <c r="E418" s="19" t="s">
        <v>130</v>
      </c>
      <c r="F418" s="19" t="s">
        <v>131</v>
      </c>
      <c r="G418" s="2"/>
      <c r="H418" s="2"/>
      <c r="I418" s="2"/>
      <c r="J418" s="2"/>
      <c r="K418" s="19" t="s">
        <v>127</v>
      </c>
      <c r="L418" s="19" t="s">
        <v>128</v>
      </c>
      <c r="M418" s="19" t="s">
        <v>129</v>
      </c>
      <c r="N418" s="19" t="s">
        <v>130</v>
      </c>
      <c r="O418" s="19" t="s">
        <v>131</v>
      </c>
      <c r="P418" s="2"/>
      <c r="Q418" s="2"/>
      <c r="R418" s="2"/>
      <c r="S418" s="2"/>
      <c r="T418" s="2"/>
      <c r="U418" s="2"/>
      <c r="V418" s="2"/>
      <c r="W418" s="2"/>
      <c r="X418" s="2"/>
      <c r="Y418" s="2"/>
      <c r="Z418" s="2"/>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N418" s="52"/>
      <c r="BO418" s="52"/>
      <c r="BP418" s="52"/>
      <c r="BQ418" s="52"/>
    </row>
    <row r="419" spans="1:69" customFormat="1" x14ac:dyDescent="0.2">
      <c r="A419" s="31" t="s">
        <v>136</v>
      </c>
      <c r="B419" s="7">
        <f t="array" ref="B419">_xll.GetPrice("FP-LBR-0751","Actual","Low",_SPECIFICvarPubDate)</f>
        <v>555</v>
      </c>
      <c r="C419" s="7">
        <f t="array" ref="C419">_xll.GetPrice("FP-LBR-0752","Actual","Low",_SPECIFICvarPubDate)</f>
        <v>500</v>
      </c>
      <c r="D419" s="7">
        <f t="array" ref="D419">_xll.GetPrice("FP-LBR-0753","Actual","Low",_SPECIFICvarPubDate)</f>
        <v>505</v>
      </c>
      <c r="E419" s="7">
        <f t="array" ref="E419">_xll.GetPrice("FP-LBR-0754","Actual","Low",_SPECIFICvarPubDate)</f>
        <v>550</v>
      </c>
      <c r="F419" s="7">
        <f t="array" ref="F419">_xll.GetPrice("FP-LBR-0755","Actual","Low",_SPECIFICvarPubDate)</f>
        <v>570</v>
      </c>
      <c r="J419" s="31" t="s">
        <v>245</v>
      </c>
      <c r="K419" s="7">
        <f t="array" ref="K419">_xll.GetPrice("FP-LBR-0796","Actual","Low",_SPECIFICvarPubDate)</f>
        <v>710</v>
      </c>
      <c r="L419" s="7">
        <f t="array" ref="L419">_xll.GetPrice("FP-LBR-0797","Actual","Low",_SPECIFICvarPubDate)</f>
        <v>710</v>
      </c>
      <c r="M419" s="7">
        <f t="array" ref="M419">_xll.GetPrice("FP-LBR-0798","Actual","Low",_SPECIFICvarPubDate)</f>
        <v>640</v>
      </c>
      <c r="N419" s="7">
        <f t="array" ref="N419">_xll.GetPrice("FP-LBR-0799","Actual","Low",_SPECIFICvarPubDate)</f>
        <v>610</v>
      </c>
      <c r="O419" s="7">
        <f t="array" ref="O419">_xll.GetPrice("FP-LBR-0800","Actual","Low",_SPECIFICvarPubDate)</f>
        <v>700</v>
      </c>
      <c r="P419" s="2"/>
      <c r="Q419" s="2"/>
      <c r="R419" s="2"/>
      <c r="S419" s="2"/>
      <c r="T419" s="2"/>
      <c r="U419" s="2"/>
      <c r="V419" s="2"/>
      <c r="W419" s="2"/>
      <c r="X419" s="2"/>
      <c r="Y419" s="2"/>
      <c r="Z419" s="2"/>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N419" s="52"/>
      <c r="BO419" s="52"/>
      <c r="BP419" s="52"/>
      <c r="BQ419" s="52"/>
    </row>
    <row r="420" spans="1:69" customFormat="1" x14ac:dyDescent="0.2">
      <c r="A420" s="31" t="s">
        <v>39</v>
      </c>
      <c r="B420" s="7">
        <f t="array" ref="B420">_xll.GetPrice("FP-LBR-0756","Actual","Low",_SPECIFICvarPubDate)</f>
        <v>450</v>
      </c>
      <c r="C420" s="7">
        <f t="array" ref="C420">_xll.GetPrice("FP-LBR-0757","Actual","Low",_SPECIFICvarPubDate)</f>
        <v>460</v>
      </c>
      <c r="D420" s="7">
        <f t="array" ref="D420">_xll.GetPrice("FP-LBR-0758","Actual","Low",_SPECIFICvarPubDate)</f>
        <v>470</v>
      </c>
      <c r="E420" s="7">
        <f t="array" ref="E420">_xll.GetPrice("FP-LBR-0759","Actual","Low",_SPECIFICvarPubDate)</f>
        <v>495</v>
      </c>
      <c r="F420" s="7">
        <f t="array" ref="F420">_xll.GetPrice("FP-LBR-0760","Actual","Low",_SPECIFICvarPubDate)</f>
        <v>480</v>
      </c>
      <c r="J420" s="31" t="s">
        <v>246</v>
      </c>
      <c r="K420" s="7">
        <f t="array" ref="K420">_xll.GetPrice("FP-LBR-0801","Actual","Low",_SPECIFICvarPubDate)</f>
        <v>685</v>
      </c>
      <c r="L420" s="7">
        <f t="array" ref="L420">_xll.GetPrice("FP-LBR-0802","Actual","Low",_SPECIFICvarPubDate)</f>
        <v>650</v>
      </c>
      <c r="M420" s="7">
        <f t="array" ref="M420">_xll.GetPrice("FP-LBR-0803","Actual","Low",_SPECIFICvarPubDate)</f>
        <v>690</v>
      </c>
      <c r="N420" s="7">
        <f t="array" ref="N420">_xll.GetPrice("FP-LBR-0804","Actual","Low",_SPECIFICvarPubDate)</f>
        <v>655</v>
      </c>
      <c r="O420" s="7">
        <f t="array" ref="O420">_xll.GetPrice("FP-LBR-0805","Actual","Low",_SPECIFICvarPubDate)</f>
        <v>690</v>
      </c>
      <c r="P420" s="2"/>
      <c r="Q420" s="2"/>
      <c r="R420" s="2"/>
      <c r="S420" s="2"/>
      <c r="T420" s="2"/>
      <c r="U420" s="2"/>
      <c r="V420" s="2"/>
      <c r="W420" s="2"/>
      <c r="X420" s="2"/>
      <c r="Y420" s="2"/>
      <c r="Z420" s="2"/>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N420" s="52"/>
      <c r="BO420" s="52"/>
      <c r="BP420" s="52"/>
      <c r="BQ420" s="52"/>
    </row>
    <row r="421" spans="1:69" customFormat="1" x14ac:dyDescent="0.2">
      <c r="A421" s="31" t="s">
        <v>40</v>
      </c>
      <c r="B421" s="7">
        <f t="array" ref="B421">_xll.GetPrice("FP-LBR-0761","Actual","Low",_SPECIFICvarPubDate)</f>
        <v>470</v>
      </c>
      <c r="C421" s="7">
        <f t="array" ref="C421">_xll.GetPrice("FP-LBR-0762","Actual","Low",_SPECIFICvarPubDate)</f>
        <v>460</v>
      </c>
      <c r="D421" s="7">
        <f t="array" ref="D421">_xll.GetPrice("FP-LBR-0763","Actual","Low",_SPECIFICvarPubDate)</f>
        <v>465</v>
      </c>
      <c r="E421" s="7">
        <f t="array" ref="E421">_xll.GetPrice("FP-LBR-0764","Actual","Low",_SPECIFICvarPubDate)</f>
        <v>465</v>
      </c>
      <c r="F421" s="7">
        <f t="array" ref="F421">_xll.GetPrice("FP-LBR-0765","Actual","Low",_SPECIFICvarPubDate)</f>
        <v>475</v>
      </c>
      <c r="J421" s="31" t="s">
        <v>247</v>
      </c>
      <c r="K421" s="7">
        <f t="array" ref="K421">_xll.GetPrice("FP-LBR-0806","Actual","Low",_SPECIFICvarPubDate)</f>
        <v>795</v>
      </c>
      <c r="L421" s="7">
        <f t="array" ref="L421">_xll.GetPrice("FP-LBR-0807","Actual","Low",_SPECIFICvarPubDate)</f>
        <v>845</v>
      </c>
      <c r="M421" s="7">
        <f t="array" ref="M421">_xll.GetPrice("FP-LBR-0808","Actual","Low",_SPECIFICvarPubDate)</f>
        <v>740</v>
      </c>
      <c r="N421" s="7">
        <f t="array" ref="N421">_xll.GetPrice("FP-LBR-0809","Actual","Low",_SPECIFICvarPubDate)</f>
        <v>675</v>
      </c>
      <c r="O421" s="7">
        <f t="array" ref="O421">_xll.GetPrice("FP-LBR-0810","Actual","Low",_SPECIFICvarPubDate)</f>
        <v>785</v>
      </c>
      <c r="P421" s="2"/>
      <c r="Q421" s="2"/>
      <c r="R421" s="2"/>
      <c r="S421" s="2"/>
      <c r="T421" s="2"/>
      <c r="U421" s="2"/>
      <c r="V421" s="2"/>
      <c r="W421" s="2"/>
      <c r="X421" s="2"/>
      <c r="Y421" s="2"/>
      <c r="Z421" s="2"/>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N421" s="52"/>
      <c r="BO421" s="52"/>
      <c r="BP421" s="52"/>
      <c r="BQ421" s="52"/>
    </row>
    <row r="422" spans="1:69" customFormat="1" x14ac:dyDescent="0.2">
      <c r="A422" s="31" t="s">
        <v>41</v>
      </c>
      <c r="B422" s="7">
        <f t="array" ref="B422">_xll.GetPrice("FP-LBR-0766","Actual","Low",_SPECIFICvarPubDate)</f>
        <v>450</v>
      </c>
      <c r="C422" s="7">
        <f t="array" ref="C422">_xll.GetPrice("FP-LBR-0767","Actual","Low",_SPECIFICvarPubDate)</f>
        <v>500</v>
      </c>
      <c r="D422" s="7">
        <f t="array" ref="D422">_xll.GetPrice("FP-LBR-0768","Actual","Low",_SPECIFICvarPubDate)</f>
        <v>515</v>
      </c>
      <c r="E422" s="7">
        <f t="array" ref="E422">_xll.GetPrice("FP-LBR-0769","Actual","Low",_SPECIFICvarPubDate)</f>
        <v>540</v>
      </c>
      <c r="F422" s="7">
        <f t="array" ref="F422">_xll.GetPrice("FP-LBR-0770","Actual","Low",_SPECIFICvarPubDate)</f>
        <v>535</v>
      </c>
      <c r="J422" s="23" t="s">
        <v>248</v>
      </c>
      <c r="K422" s="2"/>
      <c r="L422" s="2"/>
      <c r="M422" s="2"/>
      <c r="N422" s="2"/>
      <c r="O422" s="2"/>
      <c r="P422" s="2"/>
      <c r="Q422" s="2"/>
      <c r="R422" s="2"/>
      <c r="S422" s="2"/>
      <c r="T422" s="2"/>
      <c r="U422" s="2"/>
      <c r="V422" s="2"/>
      <c r="W422" s="2"/>
      <c r="X422" s="2"/>
      <c r="Y422" s="2"/>
      <c r="Z422" s="2"/>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N422" s="52"/>
      <c r="BO422" s="52"/>
      <c r="BP422" s="52"/>
      <c r="BQ422" s="52"/>
    </row>
    <row r="423" spans="1:69" customFormat="1" x14ac:dyDescent="0.2">
      <c r="A423" s="31" t="s">
        <v>42</v>
      </c>
      <c r="B423" s="7">
        <f t="array" ref="B423">_xll.GetPrice("FP-LBR-0771","Actual","Low",_SPECIFICvarPubDate)</f>
        <v>445</v>
      </c>
      <c r="C423" s="7">
        <f t="array" ref="C423">_xll.GetPrice("FP-LBR-0772","Actual","Low",_SPECIFICvarPubDate)</f>
        <v>445</v>
      </c>
      <c r="D423" s="7">
        <f t="array" ref="D423">_xll.GetPrice("FP-LBR-0773","Actual","Low",_SPECIFICvarPubDate)</f>
        <v>485</v>
      </c>
      <c r="E423" s="7">
        <f t="array" ref="E423">_xll.GetPrice("FP-LBR-0774","Actual","Low",_SPECIFICvarPubDate)</f>
        <v>445</v>
      </c>
      <c r="F423" s="7">
        <f t="array" ref="F423">_xll.GetPrice("FP-LBR-0775","Actual","Low",_SPECIFICvarPubDate)</f>
        <v>500</v>
      </c>
      <c r="J423" s="31" t="s">
        <v>249</v>
      </c>
      <c r="K423" s="7">
        <f t="array" ref="K423">_xll.GetPrice("FP-LBR-0776","Actual","Low",_SPECIFICvarPubDate)</f>
        <v>915</v>
      </c>
      <c r="L423" s="7">
        <f t="array" ref="L423">_xll.GetPrice("FP-LBR-0777","Actual","Low",_SPECIFICvarPubDate)</f>
        <v>870</v>
      </c>
      <c r="M423" s="7">
        <f t="array" ref="M423">_xll.GetPrice("FP-LBR-0778","Actual","Low",_SPECIFICvarPubDate)</f>
        <v>805</v>
      </c>
      <c r="N423" s="7">
        <f t="array" ref="N423">_xll.GetPrice("FP-LBR-0779","Actual","Low",_SPECIFICvarPubDate)</f>
        <v>780</v>
      </c>
      <c r="O423" s="7">
        <f t="array" ref="O423">_xll.GetPrice("FP-LBR-0780","Actual","Low",_SPECIFICvarPubDate)</f>
        <v>895</v>
      </c>
      <c r="P423" s="2"/>
      <c r="Q423" s="2"/>
      <c r="R423" s="2"/>
      <c r="S423" s="2"/>
      <c r="T423" s="2"/>
      <c r="U423" s="2"/>
      <c r="V423" s="2"/>
      <c r="W423" s="2"/>
      <c r="X423" s="2"/>
      <c r="Y423" s="2"/>
      <c r="Z423" s="2"/>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N423" s="52"/>
      <c r="BO423" s="52"/>
      <c r="BP423" s="52"/>
      <c r="BQ423" s="52"/>
    </row>
    <row r="424" spans="1:69" customFormat="1" x14ac:dyDescent="0.2">
      <c r="A424" s="26" t="s">
        <v>250</v>
      </c>
      <c r="C424" s="7">
        <f t="array" ref="C424">_xll.GetPrice("FP-LBR-0903","Actual","Low",_SPECIFICvarPubDate)</f>
        <v>60</v>
      </c>
      <c r="D424" s="7">
        <f t="array" ref="D424">_xll.GetPrice("FP-LBR-0903","Actual","High",_SPECIFICvarPubDate)</f>
        <v>70</v>
      </c>
      <c r="E424" s="30"/>
      <c r="J424" s="31" t="s">
        <v>251</v>
      </c>
      <c r="K424" s="7">
        <f t="array" ref="K424">_xll.GetPrice("FP-LBR-0781","Actual","Low",_SPECIFICvarPubDate)</f>
        <v>860</v>
      </c>
      <c r="L424" s="7">
        <f t="array" ref="L424">_xll.GetPrice("FP-LBR-0782","Actual","Low",_SPECIFICvarPubDate)</f>
        <v>885</v>
      </c>
      <c r="M424" s="7">
        <f t="array" ref="M424">_xll.GetPrice("FP-LBR-0783","Actual","Low",_SPECIFICvarPubDate)</f>
        <v>965</v>
      </c>
      <c r="N424" s="7">
        <f t="array" ref="N424">_xll.GetPrice("FP-LBR-0784","Actual","Low",_SPECIFICvarPubDate)</f>
        <v>745</v>
      </c>
      <c r="O424" s="7">
        <f t="array" ref="O424">_xll.GetPrice("FP-LBR-0785","Actual","Low",_SPECIFICvarPubDate)</f>
        <v>1110</v>
      </c>
      <c r="P424" s="2"/>
      <c r="Q424" s="2"/>
      <c r="R424" s="2"/>
      <c r="S424" s="2"/>
      <c r="T424" s="2"/>
      <c r="U424" s="2"/>
      <c r="V424" s="2"/>
      <c r="W424" s="2"/>
      <c r="X424" s="2"/>
      <c r="Y424" s="2"/>
      <c r="Z424" s="2"/>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N424" s="52"/>
      <c r="BO424" s="52"/>
      <c r="BP424" s="52"/>
      <c r="BQ424" s="52"/>
    </row>
    <row r="425" spans="1:69" customFormat="1" x14ac:dyDescent="0.2">
      <c r="A425" s="3"/>
      <c r="B425" s="3"/>
      <c r="C425" s="3"/>
      <c r="D425" s="3"/>
      <c r="J425" s="31" t="s">
        <v>252</v>
      </c>
      <c r="K425" s="7">
        <f t="array" ref="K425">_xll.GetPrice("FP-LBR-0786","Actual","Low",_SPECIFICvarPubDate)</f>
        <v>720</v>
      </c>
      <c r="L425" s="7">
        <f t="array" ref="L425">_xll.GetPrice("FP-LBR-0787","Actual","Low",_SPECIFICvarPubDate)</f>
        <v>715</v>
      </c>
      <c r="M425" s="7">
        <f t="array" ref="M425">_xll.GetPrice("FP-LBR-0788","Actual","Low",_SPECIFICvarPubDate)</f>
        <v>650</v>
      </c>
      <c r="N425" s="7">
        <f t="array" ref="N425">_xll.GetPrice("FP-LBR-0789","Actual","Low",_SPECIFICvarPubDate)</f>
        <v>580</v>
      </c>
      <c r="O425" s="7">
        <f t="array" ref="O425">_xll.GetPrice("FP-LBR-0790","Actual","Low",_SPECIFICvarPubDate)</f>
        <v>660</v>
      </c>
      <c r="P425" s="2"/>
      <c r="Q425" s="2"/>
      <c r="R425" s="2"/>
      <c r="S425" s="2"/>
      <c r="T425" s="2"/>
      <c r="U425" s="2"/>
      <c r="V425" s="2"/>
      <c r="W425" s="2"/>
      <c r="X425" s="2"/>
      <c r="Y425" s="2"/>
      <c r="Z425" s="2"/>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N425" s="52"/>
      <c r="BO425" s="52"/>
      <c r="BP425" s="52"/>
      <c r="BQ425" s="52"/>
    </row>
    <row r="426" spans="1:69" customFormat="1" x14ac:dyDescent="0.2">
      <c r="A426" s="2"/>
      <c r="J426" s="31" t="s">
        <v>206</v>
      </c>
      <c r="K426" s="7">
        <f t="array" ref="K426">_xll.GetPrice("FP-LBR-0791","Actual","Low",_SPECIFICvarPubDate)</f>
        <v>825</v>
      </c>
      <c r="L426" s="7">
        <f t="array" ref="L426">_xll.GetPrice("FP-LBR-0792","Actual","Low",_SPECIFICvarPubDate)</f>
        <v>800</v>
      </c>
      <c r="M426" s="7">
        <f t="array" ref="M426">_xll.GetPrice("FP-LBR-0793","Actual","Low",_SPECIFICvarPubDate)</f>
        <v>770</v>
      </c>
      <c r="N426" s="7">
        <f t="array" ref="N426">_xll.GetPrice("FP-LBR-0794","Actual","Low",_SPECIFICvarPubDate)</f>
        <v>705</v>
      </c>
      <c r="O426" s="7">
        <f t="array" ref="O426">_xll.GetPrice("FP-LBR-0795","Actual","Low",_SPECIFICvarPubDate)</f>
        <v>845</v>
      </c>
      <c r="P426" s="2"/>
      <c r="Q426" s="2"/>
      <c r="R426" s="2"/>
      <c r="S426" s="2"/>
      <c r="T426" s="2"/>
      <c r="U426" s="2"/>
      <c r="V426" s="2"/>
      <c r="W426" s="2"/>
      <c r="X426" s="2"/>
      <c r="Y426" s="2"/>
      <c r="Z426" s="2"/>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N426" s="52"/>
      <c r="BO426" s="52"/>
      <c r="BP426" s="52"/>
      <c r="BQ426" s="52"/>
    </row>
    <row r="427" spans="1:69" customFormat="1" x14ac:dyDescent="0.2">
      <c r="A427" s="2"/>
      <c r="B427" s="2"/>
      <c r="C427" s="2"/>
      <c r="D427" s="2"/>
      <c r="E427" s="2"/>
      <c r="F427" s="2"/>
      <c r="G427" s="2"/>
      <c r="H427" s="2"/>
      <c r="I427" s="2"/>
      <c r="J427" s="26" t="s">
        <v>253</v>
      </c>
      <c r="L427" s="7">
        <f t="array" ref="L427">_xll.GetPrice("FP-LBR-0902","Actual","Low",_SPECIFICvarPubDate)</f>
        <v>60</v>
      </c>
      <c r="M427" s="7">
        <f t="array" ref="M427">_xll.GetPrice("FP-LBR-0902","Actual","High",_SPECIFICvarPubDate)</f>
        <v>70</v>
      </c>
      <c r="N427" s="2"/>
      <c r="O427" s="2"/>
      <c r="P427" s="2"/>
      <c r="Q427" s="2"/>
      <c r="R427" s="2"/>
      <c r="S427" s="2"/>
      <c r="T427" s="2"/>
      <c r="U427" s="2"/>
      <c r="V427" s="2"/>
      <c r="W427" s="2"/>
      <c r="X427" s="2"/>
      <c r="Y427" s="2"/>
      <c r="Z427" s="2"/>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N427" s="52"/>
      <c r="BO427" s="52"/>
      <c r="BP427" s="52"/>
      <c r="BQ427" s="52"/>
    </row>
    <row r="428" spans="1:69" customFormat="1" x14ac:dyDescent="0.2">
      <c r="A428" s="17" t="s">
        <v>254</v>
      </c>
      <c r="B428" s="2"/>
      <c r="C428" s="2"/>
      <c r="D428" s="2"/>
      <c r="E428" s="2"/>
      <c r="F428" s="2"/>
      <c r="G428" s="2"/>
      <c r="H428" s="2"/>
      <c r="I428" s="2"/>
      <c r="J428" s="30"/>
      <c r="N428" s="2"/>
      <c r="O428" s="2"/>
      <c r="P428" s="2"/>
      <c r="Q428" s="2"/>
      <c r="R428" s="2"/>
      <c r="S428" s="2"/>
      <c r="T428" s="2"/>
      <c r="U428" s="2"/>
      <c r="V428" s="2"/>
      <c r="W428" s="2"/>
      <c r="X428" s="2"/>
      <c r="Y428" s="2"/>
      <c r="Z428" s="2"/>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N428" s="52"/>
      <c r="BO428" s="52"/>
      <c r="BP428" s="52"/>
      <c r="BQ428" s="52"/>
    </row>
    <row r="429" spans="1:69" customFormat="1" x14ac:dyDescent="0.2">
      <c r="A429" s="23" t="s">
        <v>255</v>
      </c>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N429" s="52"/>
      <c r="BO429" s="52"/>
      <c r="BP429" s="52"/>
      <c r="BQ429" s="52"/>
    </row>
    <row r="430" spans="1:69" customFormat="1" x14ac:dyDescent="0.2">
      <c r="A430" s="2"/>
      <c r="C430" s="19" t="s">
        <v>53</v>
      </c>
      <c r="D430" s="19" t="s">
        <v>21</v>
      </c>
      <c r="E430" s="59" t="s">
        <v>256</v>
      </c>
      <c r="F430" s="23"/>
      <c r="G430" s="19" t="s">
        <v>257</v>
      </c>
      <c r="H430" s="19" t="s">
        <v>258</v>
      </c>
      <c r="I430" s="2"/>
      <c r="P430" s="2"/>
      <c r="Q430" s="2"/>
      <c r="R430" s="2"/>
      <c r="S430" s="2"/>
      <c r="T430" s="2"/>
      <c r="U430" s="2"/>
      <c r="V430" s="2"/>
      <c r="W430" s="2"/>
      <c r="X430" s="2"/>
      <c r="Y430" s="2"/>
      <c r="Z430" s="2"/>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N430" s="52"/>
      <c r="BO430" s="52"/>
      <c r="BP430" s="52"/>
      <c r="BQ430" s="52"/>
    </row>
    <row r="431" spans="1:69" customFormat="1" x14ac:dyDescent="0.2">
      <c r="A431" s="31" t="s">
        <v>259</v>
      </c>
      <c r="C431" s="7">
        <f t="array" ref="C431">_xll.GetPrice("FP-LBR-1399","Actual","Low",_SPECIFICvarPubDate)</f>
        <v>555</v>
      </c>
      <c r="D431" s="7">
        <f t="array" ref="D431">_xll.GetPrice("FP-LBR-1404","Actual","Low",_SPECIFICvarPubDate)</f>
        <v>575</v>
      </c>
      <c r="E431" s="60" t="s">
        <v>260</v>
      </c>
      <c r="G431" s="7">
        <f t="array" ref="G431">_xll.GetPrice("FP-LBR-1409","Actual","Low",_SPECIFICvarPubDate)</f>
        <v>1600</v>
      </c>
      <c r="H431" s="7">
        <f t="array" ref="H431">_xll.GetPrice("FP-LBR-1415","Actual","Low",_SPECIFICvarPubDate)</f>
        <v>1275</v>
      </c>
      <c r="J431" s="17" t="s">
        <v>261</v>
      </c>
      <c r="K431" s="2"/>
      <c r="L431" s="2"/>
      <c r="N431" s="3"/>
      <c r="O431" s="3"/>
      <c r="P431" s="2"/>
      <c r="Q431" s="2"/>
      <c r="R431" s="2"/>
      <c r="S431" s="2"/>
      <c r="T431" s="2"/>
      <c r="U431" s="2"/>
      <c r="V431" s="2"/>
      <c r="W431" s="2"/>
      <c r="X431" s="2"/>
      <c r="Y431" s="2"/>
      <c r="Z431" s="2"/>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N431" s="52"/>
      <c r="BO431" s="52"/>
      <c r="BP431" s="52"/>
      <c r="BQ431" s="52"/>
    </row>
    <row r="432" spans="1:69" customFormat="1" x14ac:dyDescent="0.2">
      <c r="A432" s="31" t="s">
        <v>262</v>
      </c>
      <c r="C432" s="7">
        <f t="array" ref="C432">_xll.GetPrice("FP-LBR-1400","Actual","Low",_SPECIFICvarPubDate)</f>
        <v>505</v>
      </c>
      <c r="D432" s="7">
        <f t="array" ref="D432">_xll.GetPrice("FP-LBR-1405","Actual","Low",_SPECIFICvarPubDate)</f>
        <v>540</v>
      </c>
      <c r="E432" s="60" t="s">
        <v>263</v>
      </c>
      <c r="G432" s="7">
        <f t="array" ref="G432">_xll.GetPrice("FP-LBR-1410","Actual","Low",_SPECIFICvarPubDate)</f>
        <v>1510</v>
      </c>
      <c r="H432" s="7">
        <f t="array" ref="H432">_xll.GetPrice("FP-LBR-1416","Actual","Low",_SPECIFICvarPubDate)</f>
        <v>1255</v>
      </c>
      <c r="J432" s="23" t="s">
        <v>264</v>
      </c>
      <c r="M432" s="37"/>
      <c r="O432" s="23" t="s">
        <v>265</v>
      </c>
      <c r="P432" s="3"/>
      <c r="Q432" s="2"/>
      <c r="R432" s="2"/>
      <c r="S432" s="2"/>
      <c r="T432" s="2"/>
      <c r="U432" s="2"/>
      <c r="V432" s="2"/>
      <c r="W432" s="2"/>
      <c r="X432" s="2"/>
      <c r="Y432" s="2"/>
      <c r="Z432" s="2"/>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N432" s="52"/>
      <c r="BO432" s="52"/>
      <c r="BP432" s="52"/>
      <c r="BQ432" s="52"/>
    </row>
    <row r="433" spans="1:69" customFormat="1" x14ac:dyDescent="0.2">
      <c r="A433" s="31" t="s">
        <v>266</v>
      </c>
      <c r="C433" s="7">
        <f t="array" ref="C433">_xll.GetPrice("FP-LBR-1401","Actual","Low",_SPECIFICvarPubDate)</f>
        <v>635</v>
      </c>
      <c r="D433" s="7">
        <f t="array" ref="D433">_xll.GetPrice("FP-LBR-1406","Actual","Low",_SPECIFICvarPubDate)</f>
        <v>640</v>
      </c>
      <c r="E433" s="60" t="s">
        <v>267</v>
      </c>
      <c r="G433" s="7">
        <f t="array" ref="G433">_xll.GetPrice("FP-LBR-1411","Actual","Low",_SPECIFICvarPubDate)</f>
        <v>1685</v>
      </c>
      <c r="H433" s="25" t="s">
        <v>37</v>
      </c>
      <c r="K433" s="19" t="s">
        <v>268</v>
      </c>
      <c r="L433" s="19" t="s">
        <v>257</v>
      </c>
      <c r="M433" s="19" t="s">
        <v>258</v>
      </c>
      <c r="O433" s="37"/>
      <c r="P433" s="19" t="s">
        <v>268</v>
      </c>
      <c r="Q433" s="19" t="s">
        <v>257</v>
      </c>
      <c r="R433" s="19" t="s">
        <v>258</v>
      </c>
      <c r="S433" s="2"/>
      <c r="T433" s="2"/>
      <c r="U433" s="2"/>
      <c r="V433" s="2"/>
      <c r="W433" s="2"/>
      <c r="X433" s="2"/>
      <c r="Y433" s="2"/>
      <c r="Z433" s="2"/>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N433" s="52"/>
      <c r="BO433" s="52"/>
      <c r="BP433" s="52"/>
      <c r="BQ433" s="52"/>
    </row>
    <row r="434" spans="1:69" customFormat="1" x14ac:dyDescent="0.2">
      <c r="A434" s="31" t="s">
        <v>269</v>
      </c>
      <c r="C434" s="7">
        <f t="array" ref="C434">_xll.GetPrice("FP-LBR-1402","Actual","Low",_SPECIFICvarPubDate)</f>
        <v>635</v>
      </c>
      <c r="D434" s="7">
        <f t="array" ref="D434">_xll.GetPrice("FP-LBR-1407","Actual","Low",_SPECIFICvarPubDate)</f>
        <v>600</v>
      </c>
      <c r="E434" s="60" t="s">
        <v>270</v>
      </c>
      <c r="F434" s="60"/>
      <c r="G434" s="7">
        <f t="array" ref="G434">_xll.GetPrice("FP-LBR-1412","Actual","Low",_SPECIFICvarPubDate)</f>
        <v>2240</v>
      </c>
      <c r="H434" s="25" t="s">
        <v>37</v>
      </c>
      <c r="J434" s="31" t="s">
        <v>36</v>
      </c>
      <c r="K434" s="7">
        <f t="array" ref="K434">_xll.GetPrice("FP-LBR-1814","Actual","Low",_SPECIFICvarPubDate)</f>
        <v>1785</v>
      </c>
      <c r="L434" s="7">
        <f t="array" ref="L434">_xll.GetPrice("FP-LBR-1819","Actual","Low",_SPECIFICvarPubDate)</f>
        <v>1485</v>
      </c>
      <c r="M434" s="7">
        <f t="array" ref="M434">_xll.GetPrice("FP-LBR-1824","Actual","Low",_SPECIFICvarPubDate)</f>
        <v>1390</v>
      </c>
      <c r="O434" s="31" t="s">
        <v>271</v>
      </c>
      <c r="P434" s="7">
        <f t="array" ref="P434">_xll.GetPrice("FP-LBR-1831","Actual","Low",_SPECIFICvarPubDate)</f>
        <v>2885</v>
      </c>
      <c r="Q434" s="7">
        <f t="array" ref="Q434">_xll.GetPrice("FP-LBR-2186","Actual","Low",_SPECIFICvarPubDate)</f>
        <v>2435</v>
      </c>
      <c r="R434" s="7">
        <f t="array" ref="R434">_xll.GetPrice("FP-LBR-2192","Actual","Low",_SPECIFICvarPubDate)</f>
        <v>2490</v>
      </c>
      <c r="S434" s="2"/>
      <c r="T434" s="2"/>
      <c r="U434" s="2"/>
      <c r="V434" s="2"/>
      <c r="W434" s="2"/>
      <c r="X434" s="2"/>
      <c r="Y434" s="2"/>
      <c r="Z434" s="2"/>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N434" s="52"/>
      <c r="BO434" s="52"/>
      <c r="BP434" s="52"/>
      <c r="BQ434" s="52"/>
    </row>
    <row r="435" spans="1:69" customFormat="1" x14ac:dyDescent="0.2">
      <c r="A435" s="31" t="s">
        <v>272</v>
      </c>
      <c r="C435" s="7">
        <f t="array" ref="C435">_xll.GetPrice("FP-LBR-1403","Actual","Low",_SPECIFICvarPubDate)</f>
        <v>680</v>
      </c>
      <c r="D435" s="7">
        <f t="array" ref="D435">_xll.GetPrice("FP-LBR-1408","Actual","Low",_SPECIFICvarPubDate)</f>
        <v>620</v>
      </c>
      <c r="E435" s="60" t="s">
        <v>273</v>
      </c>
      <c r="G435" s="7">
        <f t="array" ref="G435">_xll.GetPrice("FP-LBR-1413","Actual","Low",_SPECIFICvarPubDate)</f>
        <v>2025</v>
      </c>
      <c r="H435" s="25" t="s">
        <v>37</v>
      </c>
      <c r="J435" s="31" t="s">
        <v>274</v>
      </c>
      <c r="K435" s="7">
        <f t="array" ref="K435">_xll.GetPrice("FP-LBR-1815","Actual","Low",_SPECIFICvarPubDate)</f>
        <v>1850</v>
      </c>
      <c r="L435" s="7">
        <f t="array" ref="L435">_xll.GetPrice("FP-LBR-1820","Actual","Low",_SPECIFICvarPubDate)</f>
        <v>1535</v>
      </c>
      <c r="M435" s="7">
        <f t="array" ref="M435">_xll.GetPrice("FP-LBR-1825","Actual","Low",_SPECIFICvarPubDate)</f>
        <v>1435</v>
      </c>
      <c r="O435" s="31" t="s">
        <v>275</v>
      </c>
      <c r="P435" s="7">
        <f t="array" ref="P435">_xll.GetPrice("FP-LBR-1832","Actual","Low",_SPECIFICvarPubDate)</f>
        <v>2735</v>
      </c>
      <c r="Q435" s="7">
        <f t="array" ref="Q435">_xll.GetPrice("FP-LBR-2187","Actual","Low",_SPECIFICvarPubDate)</f>
        <v>2330</v>
      </c>
      <c r="R435" s="25" t="s">
        <v>37</v>
      </c>
      <c r="S435" s="2"/>
      <c r="T435" s="2"/>
      <c r="U435" s="2"/>
      <c r="V435" s="2"/>
      <c r="W435" s="2"/>
      <c r="X435" s="2"/>
      <c r="Y435" s="2"/>
      <c r="Z435" s="2"/>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N435" s="52"/>
      <c r="BO435" s="52"/>
      <c r="BP435" s="52"/>
      <c r="BQ435" s="52"/>
    </row>
    <row r="436" spans="1:69" customFormat="1" x14ac:dyDescent="0.2">
      <c r="E436" s="60" t="s">
        <v>276</v>
      </c>
      <c r="G436" s="7">
        <f t="array" ref="G436">_xll.GetPrice("FP-LBR-1414","Actual","Low",_SPECIFICvarPubDate)</f>
        <v>2140</v>
      </c>
      <c r="H436" s="25" t="s">
        <v>37</v>
      </c>
      <c r="J436" s="31" t="s">
        <v>40</v>
      </c>
      <c r="K436" s="7">
        <f t="array" ref="K436">_xll.GetPrice("FP-LBR-1816","Actual","Low",_SPECIFICvarPubDate)</f>
        <v>2540</v>
      </c>
      <c r="L436" s="7">
        <f t="array" ref="L436">_xll.GetPrice("FP-LBR-1821","Actual","Low",_SPECIFICvarPubDate)</f>
        <v>2285</v>
      </c>
      <c r="M436" s="7">
        <f t="array" ref="M436">_xll.GetPrice("FP-LBR-1826","Actual","Low",_SPECIFICvarPubDate)</f>
        <v>2165</v>
      </c>
      <c r="O436" s="31" t="s">
        <v>277</v>
      </c>
      <c r="P436" s="7">
        <f t="array" ref="P436">_xll.GetPrice("FP-LBR-1833","Actual","Low",_SPECIFICvarPubDate)</f>
        <v>2770</v>
      </c>
      <c r="Q436" s="7">
        <f t="array" ref="Q436">_xll.GetPrice("FP-LBR-2188","Actual","Low",_SPECIFICvarPubDate)</f>
        <v>2365</v>
      </c>
      <c r="R436" s="25" t="s">
        <v>37</v>
      </c>
      <c r="S436" s="2"/>
      <c r="T436" s="2"/>
      <c r="U436" s="2"/>
      <c r="V436" s="2"/>
      <c r="W436" s="2"/>
      <c r="X436" s="2"/>
      <c r="Y436" s="2"/>
      <c r="Z436" s="2"/>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N436" s="52"/>
      <c r="BO436" s="52"/>
      <c r="BP436" s="52"/>
      <c r="BQ436" s="52"/>
    </row>
    <row r="437" spans="1:69" customFormat="1" x14ac:dyDescent="0.2">
      <c r="E437" s="61" t="s">
        <v>278</v>
      </c>
      <c r="G437" s="7">
        <f t="array" ref="G437">_xll.GetPrice("FP-LBR-1204","Actual","Low",_SPECIFICvarPubDate)</f>
        <v>90</v>
      </c>
      <c r="H437" s="3"/>
      <c r="I437" s="2"/>
      <c r="J437" s="31" t="s">
        <v>41</v>
      </c>
      <c r="K437" s="7">
        <f t="array" ref="K437">_xll.GetPrice("FP-LBR-1817","Actual","Low",_SPECIFICvarPubDate)</f>
        <v>2805</v>
      </c>
      <c r="L437" s="7">
        <f t="array" ref="L437">_xll.GetPrice("FP-LBR-1822","Actual","Low",_SPECIFICvarPubDate)</f>
        <v>2350</v>
      </c>
      <c r="M437" s="7">
        <f t="array" ref="M437">_xll.GetPrice("FP-LBR-1827","Actual","Low",_SPECIFICvarPubDate)</f>
        <v>2175</v>
      </c>
      <c r="O437" s="31" t="s">
        <v>279</v>
      </c>
      <c r="P437" s="7">
        <f t="array" ref="P437">_xll.GetPrice("FP-LBR-1834","Actual","Low",_SPECIFICvarPubDate)</f>
        <v>3030</v>
      </c>
      <c r="Q437" s="7">
        <f t="array" ref="Q437">_xll.GetPrice("FP-LBR-2189","Actual","Low",_SPECIFICvarPubDate)</f>
        <v>2595</v>
      </c>
      <c r="R437" s="25" t="s">
        <v>37</v>
      </c>
      <c r="S437" s="2"/>
      <c r="T437" s="2"/>
      <c r="U437" s="2"/>
      <c r="V437" s="2"/>
      <c r="W437" s="2"/>
      <c r="X437" s="2"/>
      <c r="Y437" s="2"/>
      <c r="Z437" s="2"/>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N437" s="52"/>
      <c r="BO437" s="52"/>
      <c r="BP437" s="52"/>
      <c r="BQ437" s="52"/>
    </row>
    <row r="438" spans="1:69" customFormat="1" x14ac:dyDescent="0.2">
      <c r="E438" s="61" t="s">
        <v>280</v>
      </c>
      <c r="F438" s="3"/>
      <c r="G438" s="7">
        <f t="array" ref="G438">_xll.GetPrice("FP-LBR-1205","Actual","Low",_SPECIFICvarPubDate)</f>
        <v>130</v>
      </c>
      <c r="H438" s="3"/>
      <c r="J438" s="31" t="s">
        <v>42</v>
      </c>
      <c r="K438" s="7">
        <f t="array" ref="K438">_xll.GetPrice("FP-LBR-1818","Actual","Low",_SPECIFICvarPubDate)</f>
        <v>3110</v>
      </c>
      <c r="L438" s="7">
        <f t="array" ref="L438">_xll.GetPrice("FP-LBR-1823","Actual","Low",_SPECIFICvarPubDate)</f>
        <v>2625</v>
      </c>
      <c r="M438" s="7">
        <f t="array" ref="M438">_xll.GetPrice("FP-LBR-1828","Actual","Low",_SPECIFICvarPubDate)</f>
        <v>2410</v>
      </c>
      <c r="O438" s="31" t="s">
        <v>281</v>
      </c>
      <c r="P438" s="7">
        <f t="array" ref="P438">_xll.GetPrice("FP-LBR-2184","Actual","Low",_SPECIFICvarPubDate)</f>
        <v>3535</v>
      </c>
      <c r="Q438" s="7">
        <f t="array" ref="Q438">_xll.GetPrice("FP-LBR-2190","Actual","Low",_SPECIFICvarPubDate)</f>
        <v>3055</v>
      </c>
      <c r="R438" s="25" t="s">
        <v>37</v>
      </c>
      <c r="S438" s="2"/>
      <c r="T438" s="2"/>
      <c r="U438" s="2"/>
      <c r="V438" s="2"/>
      <c r="W438" s="2"/>
      <c r="X438" s="2"/>
      <c r="Y438" s="2"/>
      <c r="Z438" s="2"/>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N438" s="52"/>
      <c r="BO438" s="52"/>
      <c r="BP438" s="52"/>
      <c r="BQ438" s="52"/>
    </row>
    <row r="439" spans="1:69" customFormat="1" x14ac:dyDescent="0.2">
      <c r="O439" s="31" t="s">
        <v>247</v>
      </c>
      <c r="P439" s="7">
        <f t="array" ref="P439">_xll.GetPrice("FP-LBR-2185","Actual","Low",_SPECIFICvarPubDate)</f>
        <v>3635</v>
      </c>
      <c r="Q439" s="7">
        <f t="array" ref="Q439">_xll.GetPrice("FP-LBR-2191","Actual","Low",_SPECIFICvarPubDate)</f>
        <v>3085</v>
      </c>
      <c r="R439" s="25" t="s">
        <v>37</v>
      </c>
      <c r="S439" s="2"/>
      <c r="T439" s="2"/>
      <c r="U439" s="2"/>
      <c r="V439" s="2"/>
      <c r="W439" s="2"/>
      <c r="X439" s="2"/>
      <c r="Y439" s="2"/>
      <c r="Z439" s="2"/>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N439" s="52"/>
      <c r="BO439" s="52"/>
      <c r="BP439" s="52"/>
      <c r="BQ439" s="52"/>
    </row>
    <row r="440" spans="1:69" customFormat="1" x14ac:dyDescent="0.2">
      <c r="A440" s="23" t="s">
        <v>209</v>
      </c>
      <c r="B440" s="2"/>
      <c r="C440" s="2"/>
      <c r="D440" s="2"/>
      <c r="E440" s="2"/>
      <c r="F440" s="2"/>
      <c r="I440" s="2"/>
      <c r="J440" s="26" t="s">
        <v>282</v>
      </c>
      <c r="L440" s="7">
        <f t="array" ref="L440">_xll.GetPrice("FP-LBR-2193","Actual","Low",_SPECIFICvarPubDate)</f>
        <v>2150</v>
      </c>
      <c r="O440" s="3"/>
      <c r="S440" s="2"/>
      <c r="T440" s="2"/>
      <c r="U440" s="2"/>
      <c r="V440" s="2"/>
      <c r="W440" s="2"/>
      <c r="X440" s="2"/>
      <c r="Y440" s="2"/>
      <c r="Z440" s="2"/>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P440" s="52"/>
      <c r="BQ440" s="52"/>
    </row>
    <row r="441" spans="1:69" customFormat="1" x14ac:dyDescent="0.2">
      <c r="A441" s="19" t="s">
        <v>26</v>
      </c>
      <c r="B441" s="19" t="s">
        <v>127</v>
      </c>
      <c r="C441" s="19" t="s">
        <v>128</v>
      </c>
      <c r="D441" s="19" t="s">
        <v>129</v>
      </c>
      <c r="E441" s="19" t="s">
        <v>130</v>
      </c>
      <c r="F441" s="19" t="s">
        <v>131</v>
      </c>
      <c r="I441" s="2"/>
      <c r="J441" s="26" t="s">
        <v>283</v>
      </c>
      <c r="L441" s="7">
        <f t="array" ref="L441">_xll.GetPrice("FP-LBR-2194","Actual","Low",_SPECIFICvarPubDate)</f>
        <v>2635</v>
      </c>
      <c r="S441" s="2"/>
      <c r="T441" s="2"/>
      <c r="U441" s="2"/>
      <c r="V441" s="2"/>
      <c r="W441" s="2"/>
      <c r="X441" s="2"/>
      <c r="Y441" s="2"/>
      <c r="Z441" s="2"/>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P441" s="52"/>
      <c r="BQ441" s="52"/>
    </row>
    <row r="442" spans="1:69" customFormat="1" x14ac:dyDescent="0.2">
      <c r="A442" s="31" t="s">
        <v>245</v>
      </c>
      <c r="B442" s="7">
        <f t="array" ref="B442">_xll.GetPrice("FP-LBR-0826","Actual","Low",_SPECIFICvarPubDate)</f>
        <v>445</v>
      </c>
      <c r="C442" s="7">
        <f t="array" ref="C442">_xll.GetPrice("FP-LBR-0827","Actual","Low",_SPECIFICvarPubDate)</f>
        <v>410</v>
      </c>
      <c r="D442" s="7">
        <f t="array" ref="D442">_xll.GetPrice("FP-LBR-0828","Actual","Low",_SPECIFICvarPubDate)</f>
        <v>350</v>
      </c>
      <c r="E442" s="7">
        <f t="array" ref="E442">_xll.GetPrice("FP-LBR-0829","Actual","Low",_SPECIFICvarPubDate)</f>
        <v>335</v>
      </c>
      <c r="F442" s="7">
        <f t="array" ref="F442">_xll.GetPrice("FP-LBR-0830","Actual","Low",_SPECIFICvarPubDate)</f>
        <v>425</v>
      </c>
      <c r="G442" s="2"/>
      <c r="H442" s="2"/>
      <c r="I442" s="2"/>
      <c r="J442" s="26" t="s">
        <v>284</v>
      </c>
      <c r="K442" s="3"/>
      <c r="L442" s="7">
        <f t="array" ref="L442">_xll.GetPrice("FP-LBR-2195","Actual","Low",_SPECIFICvarPubDate)</f>
        <v>3095</v>
      </c>
      <c r="T442" s="2"/>
      <c r="U442" s="2"/>
      <c r="V442" s="2"/>
      <c r="W442" s="2"/>
      <c r="X442" s="2"/>
      <c r="Y442" s="2"/>
      <c r="Z442" s="2"/>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N442" s="52"/>
      <c r="BO442" s="52"/>
      <c r="BP442" s="52"/>
      <c r="BQ442" s="52"/>
    </row>
    <row r="443" spans="1:69" customFormat="1" x14ac:dyDescent="0.2">
      <c r="A443" s="31" t="s">
        <v>246</v>
      </c>
      <c r="B443" s="7">
        <f t="array" ref="B443">_xll.GetPrice("FP-LBR-0831","Actual","Low",_SPECIFICvarPubDate)</f>
        <v>430</v>
      </c>
      <c r="C443" s="7">
        <f t="array" ref="C443">_xll.GetPrice("FP-LBR-0832","Actual","Low",_SPECIFICvarPubDate)</f>
        <v>400</v>
      </c>
      <c r="D443" s="7">
        <f t="array" ref="D443">_xll.GetPrice("FP-LBR-0833","Actual","Low",_SPECIFICvarPubDate)</f>
        <v>440</v>
      </c>
      <c r="E443" s="7">
        <f t="array" ref="E443">_xll.GetPrice("FP-LBR-0834","Actual","Low",_SPECIFICvarPubDate)</f>
        <v>405</v>
      </c>
      <c r="F443" s="7">
        <f t="array" ref="F443">_xll.GetPrice("FP-LBR-0835","Actual","Low",_SPECIFICvarPubDate)</f>
        <v>435</v>
      </c>
      <c r="G443" s="2"/>
      <c r="H443" s="2"/>
      <c r="T443" s="2"/>
      <c r="U443" s="2"/>
      <c r="V443" s="2"/>
      <c r="W443" s="2"/>
      <c r="X443" s="2"/>
      <c r="Y443" s="2"/>
      <c r="Z443" s="2"/>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N443" s="52"/>
      <c r="BO443" s="52"/>
      <c r="BP443" s="52"/>
      <c r="BQ443" s="52"/>
    </row>
    <row r="444" spans="1:69" customFormat="1" x14ac:dyDescent="0.2">
      <c r="A444" s="31" t="s">
        <v>247</v>
      </c>
      <c r="B444" s="7">
        <f t="array" ref="B444">_xll.GetPrice("FP-LBR-0836","Actual","Low",_SPECIFICvarPubDate)</f>
        <v>540</v>
      </c>
      <c r="C444" s="7">
        <f t="array" ref="C444">_xll.GetPrice("FP-LBR-0837","Actual","Low",_SPECIFICvarPubDate)</f>
        <v>535</v>
      </c>
      <c r="D444" s="7">
        <f t="array" ref="D444">_xll.GetPrice("FP-LBR-0838","Actual","Low",_SPECIFICvarPubDate)</f>
        <v>475</v>
      </c>
      <c r="E444" s="7">
        <f t="array" ref="E444">_xll.GetPrice("FP-LBR-0839","Actual","Low",_SPECIFICvarPubDate)</f>
        <v>450</v>
      </c>
      <c r="F444" s="7">
        <f t="array" ref="F444">_xll.GetPrice("FP-LBR-0840","Actual","Low",_SPECIFICvarPubDate)</f>
        <v>510</v>
      </c>
      <c r="H444" s="2"/>
      <c r="J444" s="23" t="s">
        <v>285</v>
      </c>
      <c r="O444" s="23" t="s">
        <v>223</v>
      </c>
      <c r="V444" s="2"/>
      <c r="W444" s="2"/>
      <c r="X444" s="2"/>
      <c r="Y444" s="2"/>
      <c r="Z444" s="2"/>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N444" s="52"/>
      <c r="BO444" s="52"/>
      <c r="BP444" s="52"/>
      <c r="BQ444" s="52"/>
    </row>
    <row r="445" spans="1:69" customFormat="1" x14ac:dyDescent="0.2">
      <c r="A445" s="19" t="s">
        <v>28</v>
      </c>
      <c r="K445" s="19" t="s">
        <v>286</v>
      </c>
      <c r="L445" s="27" t="s">
        <v>287</v>
      </c>
      <c r="M445" s="28"/>
      <c r="P445" s="27" t="s">
        <v>288</v>
      </c>
      <c r="S445" s="2"/>
      <c r="V445" s="2"/>
      <c r="W445" s="2"/>
      <c r="X445" s="2"/>
      <c r="Y445" s="2"/>
      <c r="Z445" s="2"/>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N445" s="52"/>
      <c r="BO445" s="52"/>
      <c r="BP445" s="52"/>
      <c r="BQ445" s="52"/>
    </row>
    <row r="446" spans="1:69" customFormat="1" x14ac:dyDescent="0.2">
      <c r="A446" s="31" t="s">
        <v>245</v>
      </c>
      <c r="B446" s="7">
        <f t="array" ref="B446">_xll.GetPrice("FP-LBR-0841","Actual","Low",_SPECIFICvarPubDate)</f>
        <v>490</v>
      </c>
      <c r="C446" s="7">
        <f t="array" ref="C446">_xll.GetPrice("FP-LBR-0842","Actual","Low",_SPECIFICvarPubDate)</f>
        <v>490</v>
      </c>
      <c r="D446" s="7">
        <f t="array" ref="D446">_xll.GetPrice("FP-LBR-0843","Actual","Low",_SPECIFICvarPubDate)</f>
        <v>420</v>
      </c>
      <c r="E446" s="7">
        <f t="array" ref="E446">_xll.GetPrice("FP-LBR-0844","Actual","Low",_SPECIFICvarPubDate)</f>
        <v>405</v>
      </c>
      <c r="F446" s="7">
        <f t="array" ref="F446">_xll.GetPrice("FP-LBR-0845","Actual","Low",_SPECIFICvarPubDate)</f>
        <v>475</v>
      </c>
      <c r="H446" s="3"/>
      <c r="I446" s="2"/>
      <c r="K446" s="19" t="s">
        <v>71</v>
      </c>
      <c r="L446" s="19" t="s">
        <v>71</v>
      </c>
      <c r="M446" s="19" t="s">
        <v>72</v>
      </c>
      <c r="P446" s="19" t="s">
        <v>289</v>
      </c>
      <c r="Q446" s="19" t="s">
        <v>290</v>
      </c>
      <c r="R446" s="19" t="s">
        <v>291</v>
      </c>
      <c r="S446" s="2"/>
      <c r="V446" s="2"/>
      <c r="W446" s="2"/>
      <c r="X446" s="2"/>
      <c r="Y446" s="2"/>
      <c r="Z446" s="2"/>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52"/>
      <c r="BB446" s="52"/>
      <c r="BC446" s="52"/>
      <c r="BD446" s="52"/>
      <c r="BE446" s="52"/>
      <c r="BF446" s="52"/>
      <c r="BG446" s="52"/>
      <c r="BH446" s="52"/>
      <c r="BI446" s="52"/>
      <c r="BJ446" s="52"/>
      <c r="BK446" s="52"/>
      <c r="BL446" s="52"/>
      <c r="BM446" s="52"/>
      <c r="BN446" s="52"/>
      <c r="BO446" s="52"/>
      <c r="BP446" s="52"/>
      <c r="BQ446" s="52"/>
    </row>
    <row r="447" spans="1:69" customFormat="1" x14ac:dyDescent="0.2">
      <c r="A447" s="31" t="s">
        <v>246</v>
      </c>
      <c r="B447" s="7">
        <f t="array" ref="B447">_xll.GetPrice("FP-LBR-0846","Actual","Low",_SPECIFICvarPubDate)</f>
        <v>475</v>
      </c>
      <c r="C447" s="7">
        <f t="array" ref="C447">_xll.GetPrice("FP-LBR-0847","Actual","Low",_SPECIFICvarPubDate)</f>
        <v>440</v>
      </c>
      <c r="D447" s="7">
        <f t="array" ref="D447">_xll.GetPrice("FP-LBR-0848","Actual","Low",_SPECIFICvarPubDate)</f>
        <v>480</v>
      </c>
      <c r="E447" s="7">
        <f t="array" ref="E447">_xll.GetPrice("FP-LBR-0849","Actual","Low",_SPECIFICvarPubDate)</f>
        <v>445</v>
      </c>
      <c r="F447" s="7">
        <f t="array" ref="F447">_xll.GetPrice("FP-LBR-0850","Actual","Low",_SPECIFICvarPubDate)</f>
        <v>480</v>
      </c>
      <c r="G447" s="3"/>
      <c r="I447" s="2"/>
      <c r="J447" s="31" t="s">
        <v>145</v>
      </c>
      <c r="K447" s="7">
        <f t="array" ref="K447">_xll.GetPrice("FP-LBR-2196","Actual","Low",_SPECIFICvarPubDate)</f>
        <v>720</v>
      </c>
      <c r="L447" s="7">
        <f t="array" ref="L447">_xll.GetPrice("FP-LBR-2198","Actual","Low",_SPECIFICvarPubDate)</f>
        <v>865</v>
      </c>
      <c r="M447" s="7">
        <f t="array" ref="M447">_xll.GetPrice("FP-LBR-2201","Actual","Low",_SPECIFICvarPubDate)</f>
        <v>1135</v>
      </c>
      <c r="O447" s="31" t="s">
        <v>292</v>
      </c>
      <c r="P447" s="7">
        <f t="array" ref="P447">_xll.GetPrice("FP-LBR-2204","Actual","Low",_SPECIFICvarPubDate)</f>
        <v>2655</v>
      </c>
      <c r="Q447" s="7">
        <f t="array" ref="Q447">_xll.GetPrice("FP-LBR-2206","Actual","Low",_SPECIFICvarPubDate)</f>
        <v>2380</v>
      </c>
      <c r="R447" s="7">
        <f t="array" ref="R447">_xll.GetPrice("FP-LBR-2208","Actual","Low",_SPECIFICvarPubDate)</f>
        <v>1995</v>
      </c>
      <c r="S447" s="2"/>
      <c r="T447" s="2"/>
      <c r="U447" s="2"/>
      <c r="V447" s="2"/>
      <c r="W447" s="2"/>
      <c r="X447" s="2"/>
      <c r="Y447" s="2"/>
      <c r="Z447" s="2"/>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52"/>
      <c r="BB447" s="52"/>
      <c r="BC447" s="52"/>
      <c r="BD447" s="52"/>
      <c r="BE447" s="52"/>
      <c r="BF447" s="52"/>
      <c r="BG447" s="52"/>
      <c r="BH447" s="52"/>
      <c r="BI447" s="52"/>
      <c r="BJ447" s="52"/>
      <c r="BK447" s="52"/>
      <c r="BL447" s="52"/>
      <c r="BM447" s="52"/>
      <c r="BN447" s="52"/>
      <c r="BO447" s="52"/>
      <c r="BP447" s="52"/>
      <c r="BQ447" s="52"/>
    </row>
    <row r="448" spans="1:69" customFormat="1" x14ac:dyDescent="0.2">
      <c r="A448" s="31" t="s">
        <v>247</v>
      </c>
      <c r="B448" s="7">
        <f t="array" ref="B448">_xll.GetPrice("FP-LBR-0851","Actual","Low",_SPECIFICvarPubDate)</f>
        <v>560</v>
      </c>
      <c r="C448" s="7">
        <f t="array" ref="C448">_xll.GetPrice("FP-LBR-0852","Actual","Low",_SPECIFICvarPubDate)</f>
        <v>610</v>
      </c>
      <c r="D448" s="7">
        <f t="array" ref="D448">_xll.GetPrice("FP-LBR-0853","Actual","Low",_SPECIFICvarPubDate)</f>
        <v>505</v>
      </c>
      <c r="E448" s="7">
        <f t="array" ref="E448">_xll.GetPrice("FP-LBR-0854","Actual","Low",_SPECIFICvarPubDate)</f>
        <v>460</v>
      </c>
      <c r="F448" s="7">
        <f t="array" ref="F448">_xll.GetPrice("FP-LBR-0855","Actual","Low",_SPECIFICvarPubDate)</f>
        <v>555</v>
      </c>
      <c r="H448" s="2"/>
      <c r="I448" s="2"/>
      <c r="J448" s="31" t="s">
        <v>39</v>
      </c>
      <c r="K448" s="7">
        <f t="array" ref="K448">_xll.GetPrice("FP-LBR-2197","Actual","Low",_SPECIFICvarPubDate)</f>
        <v>1285</v>
      </c>
      <c r="L448" s="7">
        <f t="array" ref="L448">_xll.GetPrice("FP-LBR-2199","Actual","Low",_SPECIFICvarPubDate)</f>
        <v>1695</v>
      </c>
      <c r="M448" s="7">
        <f t="array" ref="M448">_xll.GetPrice("FP-LBR-2202","Actual","Low",_SPECIFICvarPubDate)</f>
        <v>2270</v>
      </c>
      <c r="O448" s="31" t="s">
        <v>293</v>
      </c>
      <c r="P448" s="7">
        <f t="array" ref="P448">_xll.GetPrice("FP-LBR-2205","Actual","Low",_SPECIFICvarPubDate)</f>
        <v>2715</v>
      </c>
      <c r="Q448" s="7">
        <f t="array" ref="Q448">_xll.GetPrice("FP-LBR-2207","Actual","Low",_SPECIFICvarPubDate)</f>
        <v>2510</v>
      </c>
      <c r="R448" s="25" t="s">
        <v>37</v>
      </c>
      <c r="S448" s="2"/>
      <c r="T448" s="2"/>
      <c r="U448" s="2"/>
      <c r="V448" s="2"/>
      <c r="W448" s="2"/>
      <c r="X448" s="2"/>
      <c r="Y448" s="2"/>
      <c r="Z448" s="2"/>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52"/>
      <c r="BB448" s="52"/>
      <c r="BC448" s="52"/>
      <c r="BD448" s="52"/>
      <c r="BE448" s="52"/>
      <c r="BF448" s="52"/>
      <c r="BG448" s="52"/>
      <c r="BH448" s="52"/>
      <c r="BI448" s="52"/>
      <c r="BJ448" s="52"/>
      <c r="BK448" s="52"/>
      <c r="BL448" s="52"/>
      <c r="BM448" s="52"/>
      <c r="BN448" s="52"/>
      <c r="BO448" s="52"/>
      <c r="BP448" s="52"/>
      <c r="BQ448" s="52"/>
    </row>
    <row r="449" spans="1:69" customFormat="1" x14ac:dyDescent="0.2">
      <c r="H449" s="2"/>
      <c r="I449" s="2"/>
      <c r="J449" s="31" t="s">
        <v>294</v>
      </c>
      <c r="K449" s="25" t="s">
        <v>37</v>
      </c>
      <c r="L449" s="7">
        <f t="array" ref="L449">_xll.GetPrice("FP-LBR-2200","Actual","Low",_SPECIFICvarPubDate)</f>
        <v>2460</v>
      </c>
      <c r="M449" s="7">
        <f t="array" ref="M449">_xll.GetPrice("FP-LBR-2203","Actual","Low",_SPECIFICvarPubDate)</f>
        <v>2785</v>
      </c>
      <c r="N449" s="2"/>
      <c r="O449" s="2"/>
      <c r="P449" s="27" t="s">
        <v>295</v>
      </c>
      <c r="Q449" s="28"/>
      <c r="R449" s="2"/>
      <c r="S449" s="2"/>
      <c r="T449" s="2"/>
      <c r="U449" s="2"/>
      <c r="V449" s="2"/>
      <c r="W449" s="2"/>
      <c r="X449" s="2"/>
      <c r="Y449" s="2"/>
      <c r="Z449" s="2"/>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52"/>
      <c r="BB449" s="52"/>
      <c r="BC449" s="52"/>
      <c r="BD449" s="52"/>
      <c r="BE449" s="52"/>
      <c r="BF449" s="52"/>
      <c r="BG449" s="52"/>
      <c r="BH449" s="52"/>
      <c r="BI449" s="52"/>
      <c r="BJ449" s="52"/>
      <c r="BK449" s="52"/>
      <c r="BL449" s="52"/>
      <c r="BM449" s="52"/>
      <c r="BN449" s="52"/>
      <c r="BO449" s="52"/>
      <c r="BP449" s="52"/>
      <c r="BQ449" s="52"/>
    </row>
    <row r="450" spans="1:69" customFormat="1" x14ac:dyDescent="0.2">
      <c r="H450" s="2"/>
      <c r="P450" s="19" t="s">
        <v>289</v>
      </c>
      <c r="Q450" s="19" t="s">
        <v>296</v>
      </c>
      <c r="R450" s="2"/>
      <c r="S450" s="2"/>
      <c r="T450" s="2"/>
      <c r="U450" s="2"/>
      <c r="V450" s="2"/>
      <c r="W450" s="2"/>
      <c r="X450" s="2"/>
      <c r="Y450" s="2"/>
      <c r="Z450" s="2"/>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52"/>
      <c r="BB450" s="52"/>
      <c r="BC450" s="52"/>
      <c r="BD450" s="52"/>
      <c r="BE450" s="52"/>
      <c r="BF450" s="52"/>
      <c r="BG450" s="52"/>
      <c r="BH450" s="52"/>
      <c r="BI450" s="52"/>
      <c r="BJ450" s="52"/>
      <c r="BK450" s="52"/>
      <c r="BL450" s="52"/>
      <c r="BM450" s="52"/>
      <c r="BN450" s="52"/>
      <c r="BO450" s="52"/>
      <c r="BP450" s="52"/>
      <c r="BQ450" s="52"/>
    </row>
    <row r="451" spans="1:69" customFormat="1" x14ac:dyDescent="0.2">
      <c r="A451" s="17" t="s">
        <v>297</v>
      </c>
      <c r="B451" s="2"/>
      <c r="C451" s="2"/>
      <c r="D451" s="2"/>
      <c r="E451" s="2"/>
      <c r="F451" s="2"/>
      <c r="G451" s="2"/>
      <c r="H451" s="2"/>
      <c r="O451" s="31" t="s">
        <v>292</v>
      </c>
      <c r="P451" s="7">
        <f t="array" ref="P451">_xll.GetPrice("FP-LBR-2209","Actual","Low",_SPECIFICvarPubDate)</f>
        <v>1815</v>
      </c>
      <c r="Q451" s="7">
        <f t="array" ref="Q451">_xll.GetPrice("FP-LBR-2210","Actual","Low",_SPECIFICvarPubDate)</f>
        <v>1620</v>
      </c>
      <c r="R451" s="2"/>
      <c r="S451" s="2"/>
      <c r="T451" s="2"/>
      <c r="U451" s="2"/>
      <c r="V451" s="2"/>
      <c r="W451" s="2"/>
      <c r="X451" s="2"/>
      <c r="Y451" s="2"/>
      <c r="Z451" s="2"/>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52"/>
      <c r="BB451" s="52"/>
      <c r="BC451" s="52"/>
      <c r="BD451" s="52"/>
      <c r="BE451" s="52"/>
      <c r="BF451" s="52"/>
      <c r="BG451" s="52"/>
      <c r="BH451" s="52"/>
      <c r="BI451" s="52"/>
      <c r="BJ451" s="52"/>
      <c r="BK451" s="52"/>
      <c r="BL451" s="52"/>
      <c r="BM451" s="52"/>
      <c r="BN451" s="52"/>
      <c r="BO451" s="52"/>
      <c r="BP451" s="52"/>
      <c r="BQ451" s="52"/>
    </row>
    <row r="452" spans="1:69" customFormat="1" x14ac:dyDescent="0.2">
      <c r="A452" s="23" t="s">
        <v>298</v>
      </c>
      <c r="B452" s="2"/>
      <c r="C452" s="2"/>
      <c r="D452" s="2"/>
      <c r="E452" s="2"/>
      <c r="F452" s="2"/>
      <c r="G452" s="2"/>
      <c r="S452" s="2"/>
      <c r="T452" s="2"/>
      <c r="U452" s="2"/>
      <c r="V452" s="2"/>
      <c r="W452" s="2"/>
      <c r="X452" s="2"/>
      <c r="Y452" s="2"/>
      <c r="Z452" s="2"/>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52"/>
      <c r="BB452" s="52"/>
      <c r="BC452" s="52"/>
      <c r="BD452" s="52"/>
      <c r="BE452" s="52"/>
      <c r="BF452" s="52"/>
      <c r="BG452" s="52"/>
      <c r="BH452" s="52"/>
      <c r="BI452" s="52"/>
      <c r="BJ452" s="52"/>
      <c r="BK452" s="52"/>
      <c r="BL452" s="52"/>
      <c r="BM452" s="52"/>
      <c r="BN452" s="52"/>
      <c r="BO452" s="52"/>
      <c r="BP452" s="52"/>
      <c r="BQ452" s="52"/>
    </row>
    <row r="453" spans="1:69" customFormat="1" x14ac:dyDescent="0.2">
      <c r="A453" s="2"/>
      <c r="B453" s="19" t="s">
        <v>299</v>
      </c>
      <c r="C453" s="19" t="s">
        <v>300</v>
      </c>
      <c r="D453" s="19" t="s">
        <v>301</v>
      </c>
      <c r="E453" s="19" t="s">
        <v>302</v>
      </c>
      <c r="F453" s="19" t="s">
        <v>303</v>
      </c>
      <c r="G453" s="3"/>
      <c r="H453" s="19"/>
      <c r="R453" s="2"/>
      <c r="S453" s="2"/>
      <c r="T453" s="2"/>
      <c r="U453" s="2"/>
      <c r="V453" s="2"/>
      <c r="W453" s="2"/>
      <c r="X453" s="2"/>
      <c r="Y453" s="2"/>
      <c r="Z453" s="2"/>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52"/>
      <c r="BB453" s="52"/>
      <c r="BC453" s="52"/>
      <c r="BD453" s="52"/>
      <c r="BE453" s="52"/>
      <c r="BF453" s="52"/>
      <c r="BG453" s="52"/>
      <c r="BH453" s="52"/>
      <c r="BI453" s="52"/>
      <c r="BJ453" s="52"/>
      <c r="BK453" s="52"/>
      <c r="BL453" s="52"/>
      <c r="BM453" s="52"/>
      <c r="BN453" s="52"/>
      <c r="BO453" s="52"/>
      <c r="BP453" s="52"/>
      <c r="BQ453" s="52"/>
    </row>
    <row r="454" spans="1:69" customFormat="1" x14ac:dyDescent="0.2">
      <c r="A454" s="31" t="s">
        <v>304</v>
      </c>
      <c r="B454" s="7">
        <f t="array" ref="B454">_xll.GetPrice("FP-LBR-0908","Actual","Low",_SPECIFICvarPubDate)</f>
        <v>1960</v>
      </c>
      <c r="C454" s="7">
        <f t="array" ref="C454">_xll.GetPrice("FP-LBR-0911","Actual","Low",_SPECIFICvarPubDate)</f>
        <v>1255</v>
      </c>
      <c r="D454" s="7">
        <f t="array" ref="D454">_xll.GetPrice("FP-LBR-0914","Actual","Low",_SPECIFICvarPubDate)</f>
        <v>1065</v>
      </c>
      <c r="E454" s="25" t="s">
        <v>37</v>
      </c>
      <c r="F454" s="25" t="s">
        <v>37</v>
      </c>
      <c r="G454" s="3"/>
      <c r="H454" s="7"/>
      <c r="I454" s="2"/>
      <c r="O454" s="2"/>
      <c r="P454" s="2"/>
      <c r="Q454" s="2"/>
      <c r="R454" s="2"/>
      <c r="S454" s="2"/>
      <c r="T454" s="2"/>
      <c r="U454" s="2"/>
      <c r="V454" s="2"/>
      <c r="W454" s="2"/>
      <c r="X454" s="2"/>
      <c r="Y454" s="2"/>
      <c r="Z454" s="2"/>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52"/>
      <c r="BB454" s="52"/>
      <c r="BC454" s="52"/>
      <c r="BD454" s="52"/>
      <c r="BE454" s="52"/>
      <c r="BF454" s="52"/>
      <c r="BG454" s="52"/>
      <c r="BH454" s="52"/>
      <c r="BI454" s="52"/>
      <c r="BJ454" s="52"/>
      <c r="BK454" s="52"/>
      <c r="BL454" s="52"/>
      <c r="BM454" s="52"/>
      <c r="BN454" s="52"/>
      <c r="BO454" s="52"/>
      <c r="BP454" s="52"/>
      <c r="BQ454" s="52"/>
    </row>
    <row r="455" spans="1:69" customFormat="1" x14ac:dyDescent="0.2">
      <c r="A455" s="31" t="s">
        <v>305</v>
      </c>
      <c r="B455" s="7">
        <f t="array" ref="B455">_xll.GetPrice("FP-LBR-0909","Actual","Low",_SPECIFICvarPubDate)</f>
        <v>2105</v>
      </c>
      <c r="C455" s="7">
        <f t="array" ref="C455">_xll.GetPrice("FP-LBR-0912","Actual","Low",_SPECIFICvarPubDate)</f>
        <v>1210</v>
      </c>
      <c r="D455" s="7">
        <f t="array" ref="D455">_xll.GetPrice("FP-LBR-0915","Actual","Low",_SPECIFICvarPubDate)</f>
        <v>980</v>
      </c>
      <c r="E455" s="7">
        <f t="array" ref="E455">_xll.GetPrice("FP-LBR-0917","Actual","Low",_SPECIFICvarPubDate)</f>
        <v>730</v>
      </c>
      <c r="F455" s="7">
        <f t="array" ref="F455">_xll.GetPrice("FP-LBR-0919","Actual","Low",_SPECIFICvarPubDate)</f>
        <v>535</v>
      </c>
      <c r="G455" s="3"/>
      <c r="H455" s="7"/>
      <c r="I455" s="2"/>
      <c r="J455" s="23" t="s">
        <v>306</v>
      </c>
      <c r="L455" s="19" t="s">
        <v>307</v>
      </c>
      <c r="M455" s="19" t="s">
        <v>196</v>
      </c>
      <c r="N455" s="37"/>
      <c r="O455" s="2"/>
      <c r="P455" s="2"/>
      <c r="Q455" s="2"/>
      <c r="R455" s="2"/>
      <c r="S455" s="2"/>
      <c r="T455" s="2"/>
      <c r="U455" s="2"/>
      <c r="V455" s="2"/>
      <c r="W455" s="2"/>
      <c r="X455" s="2"/>
      <c r="Y455" s="2"/>
      <c r="Z455" s="2"/>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52"/>
      <c r="BB455" s="52"/>
      <c r="BC455" s="52"/>
      <c r="BD455" s="52"/>
      <c r="BE455" s="52"/>
      <c r="BF455" s="52"/>
      <c r="BG455" s="52"/>
      <c r="BH455" s="52"/>
      <c r="BI455" s="52"/>
      <c r="BJ455" s="52"/>
      <c r="BK455" s="52"/>
      <c r="BL455" s="52"/>
      <c r="BM455" s="52"/>
      <c r="BN455" s="52"/>
      <c r="BO455" s="52"/>
      <c r="BP455" s="52"/>
      <c r="BQ455" s="52"/>
    </row>
    <row r="456" spans="1:69" customFormat="1" x14ac:dyDescent="0.2">
      <c r="A456" s="31" t="s">
        <v>308</v>
      </c>
      <c r="B456" s="7">
        <f t="array" ref="B456">_xll.GetPrice("FP-LBR-0910","Actual","Low",_SPECIFICvarPubDate)</f>
        <v>2130</v>
      </c>
      <c r="C456" s="7">
        <f t="array" ref="C456">_xll.GetPrice("FP-LBR-0913","Actual","Low",_SPECIFICvarPubDate)</f>
        <v>1310</v>
      </c>
      <c r="D456" s="7">
        <f t="array" ref="D456">_xll.GetPrice("FP-LBR-0916","Actual","Low",_SPECIFICvarPubDate)</f>
        <v>1110</v>
      </c>
      <c r="E456" s="7">
        <f t="array" ref="E456">_xll.GetPrice("FP-LBR-0918","Actual","Low",_SPECIFICvarPubDate)</f>
        <v>745</v>
      </c>
      <c r="F456" s="7">
        <f t="array" ref="F456">_xll.GetPrice("FP-LBR-0920","Actual","Low",_SPECIFICvarPubDate)</f>
        <v>530</v>
      </c>
      <c r="G456" s="3"/>
      <c r="H456" s="7"/>
      <c r="I456" s="2"/>
      <c r="L456" s="19" t="s">
        <v>257</v>
      </c>
      <c r="M456" s="19" t="s">
        <v>257</v>
      </c>
      <c r="N456" s="19" t="s">
        <v>309</v>
      </c>
      <c r="O456" s="2"/>
      <c r="P456" s="2"/>
      <c r="Q456" s="2"/>
      <c r="R456" s="2"/>
      <c r="S456" s="2"/>
      <c r="T456" s="2"/>
      <c r="U456" s="2"/>
      <c r="V456" s="2"/>
      <c r="W456" s="2"/>
      <c r="X456" s="2"/>
      <c r="Y456" s="2"/>
      <c r="Z456" s="2"/>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52"/>
      <c r="BB456" s="52"/>
      <c r="BC456" s="52"/>
      <c r="BD456" s="52"/>
      <c r="BE456" s="52"/>
      <c r="BF456" s="52"/>
      <c r="BG456" s="52"/>
      <c r="BH456" s="52"/>
      <c r="BI456" s="52"/>
      <c r="BJ456" s="52"/>
      <c r="BK456" s="52"/>
      <c r="BL456" s="52"/>
      <c r="BM456" s="52"/>
      <c r="BN456" s="52"/>
      <c r="BO456" s="52"/>
      <c r="BP456" s="52"/>
      <c r="BQ456" s="52"/>
    </row>
    <row r="457" spans="1:69" customFormat="1" x14ac:dyDescent="0.2">
      <c r="A457" s="23" t="s">
        <v>310</v>
      </c>
      <c r="B457" s="2"/>
      <c r="C457" s="2"/>
      <c r="D457" s="2"/>
      <c r="E457" s="2"/>
      <c r="F457" s="2"/>
      <c r="G457" s="3"/>
      <c r="H457" s="2"/>
      <c r="I457" s="2"/>
      <c r="J457" s="31" t="s">
        <v>311</v>
      </c>
      <c r="L457" s="7">
        <f t="array" ref="L457">_xll.GetPrice("FP-LBR-2211","Actual","Low",_SPECIFICvarPubDate)</f>
        <v>860</v>
      </c>
      <c r="M457" s="25" t="s">
        <v>37</v>
      </c>
      <c r="N457" s="7">
        <f t="array" ref="N457">_xll.GetPrice("FP-LBR-2212","Actual","Low",_SPECIFICvarPubDate)</f>
        <v>800</v>
      </c>
      <c r="O457" s="2"/>
      <c r="P457" s="2"/>
      <c r="Q457" s="2"/>
      <c r="R457" s="2"/>
      <c r="S457" s="2"/>
      <c r="T457" s="2"/>
      <c r="U457" s="2"/>
      <c r="V457" s="2"/>
      <c r="W457" s="2"/>
      <c r="X457" s="2"/>
      <c r="Y457" s="2"/>
      <c r="Z457" s="2"/>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52"/>
      <c r="BB457" s="52"/>
      <c r="BC457" s="52"/>
      <c r="BD457" s="52"/>
      <c r="BE457" s="52"/>
      <c r="BF457" s="52"/>
      <c r="BG457" s="52"/>
      <c r="BH457" s="52"/>
      <c r="BI457" s="52"/>
      <c r="BJ457" s="52"/>
      <c r="BK457" s="52"/>
      <c r="BL457" s="52"/>
      <c r="BM457" s="52"/>
      <c r="BN457" s="52"/>
      <c r="BO457" s="52"/>
      <c r="BP457" s="52"/>
      <c r="BQ457" s="52"/>
    </row>
    <row r="458" spans="1:69" customFormat="1" x14ac:dyDescent="0.2">
      <c r="A458" s="31" t="s">
        <v>305</v>
      </c>
      <c r="B458" s="7">
        <f t="array" ref="B458">_xll.GetPrice("FP-LBR-0921","Actual","Low",_SPECIFICvarPubDate)</f>
        <v>1160</v>
      </c>
      <c r="C458" s="7">
        <f t="array" ref="C458">_xll.GetPrice("FP-LBR-0922","Actual","Low",_SPECIFICvarPubDate)</f>
        <v>690</v>
      </c>
      <c r="D458" s="7">
        <f t="array" ref="D458">_xll.GetPrice("FP-LBR-0923","Actual","Low",_SPECIFICvarPubDate)</f>
        <v>600</v>
      </c>
      <c r="E458" s="7">
        <f t="array" ref="E458">_xll.GetPrice("FP-LBR-0924","Actual","Low",_SPECIFICvarPubDate)</f>
        <v>530</v>
      </c>
      <c r="F458" s="25" t="s">
        <v>37</v>
      </c>
      <c r="G458" s="3"/>
      <c r="H458" s="25"/>
      <c r="I458" s="2"/>
      <c r="J458" s="31" t="s">
        <v>312</v>
      </c>
      <c r="L458" s="7">
        <f t="array" ref="L458">_xll.GetPrice("FP-LBR-2213","Actual","Low",_SPECIFICvarPubDate)</f>
        <v>830</v>
      </c>
      <c r="M458" s="7">
        <f t="array" ref="M458">_xll.GetPrice("FP-LBR-2214","Actual","Low",_SPECIFICvarPubDate)</f>
        <v>735</v>
      </c>
      <c r="N458" s="7">
        <f t="array" ref="N458">_xll.GetPrice("FP-LBR-2215","Actual","Low",_SPECIFICvarPubDate)</f>
        <v>730</v>
      </c>
      <c r="P458" s="2"/>
      <c r="Q458" s="2"/>
      <c r="R458" s="2"/>
      <c r="S458" s="2"/>
      <c r="T458" s="2"/>
      <c r="U458" s="2"/>
      <c r="V458" s="2"/>
      <c r="W458" s="2"/>
      <c r="X458" s="2"/>
      <c r="Y458" s="2"/>
      <c r="Z458" s="2"/>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52"/>
      <c r="BB458" s="52"/>
      <c r="BC458" s="52"/>
      <c r="BD458" s="52"/>
      <c r="BE458" s="52"/>
      <c r="BF458" s="52"/>
      <c r="BG458" s="52"/>
      <c r="BH458" s="52"/>
      <c r="BI458" s="52"/>
      <c r="BJ458" s="52"/>
      <c r="BK458" s="52"/>
      <c r="BL458" s="52"/>
      <c r="BM458" s="52"/>
      <c r="BN458" s="52"/>
      <c r="BO458" s="52"/>
      <c r="BP458" s="52"/>
      <c r="BQ458" s="52"/>
    </row>
    <row r="459" spans="1:69" customFormat="1" x14ac:dyDescent="0.2">
      <c r="A459" s="23" t="s">
        <v>313</v>
      </c>
      <c r="B459" s="2"/>
      <c r="C459" s="2"/>
      <c r="D459" s="2"/>
      <c r="E459" s="2"/>
      <c r="F459" s="2"/>
      <c r="G459" s="3"/>
      <c r="H459" s="2"/>
      <c r="I459" s="2"/>
      <c r="J459" s="31" t="s">
        <v>314</v>
      </c>
      <c r="L459" s="7">
        <f t="array" ref="L459">_xll.GetPrice("FP-LBR-2216","Actual","Low",_SPECIFICvarPubDate)</f>
        <v>1280</v>
      </c>
      <c r="M459" s="25" t="s">
        <v>37</v>
      </c>
      <c r="N459" s="7">
        <f t="array" ref="N459">_xll.GetPrice("FP-LBR-2217","Actual","Low",_SPECIFICvarPubDate)</f>
        <v>1230</v>
      </c>
      <c r="O459" s="3"/>
      <c r="P459" s="2"/>
      <c r="Q459" s="2"/>
      <c r="R459" s="2"/>
      <c r="S459" s="2"/>
      <c r="T459" s="2"/>
      <c r="U459" s="2"/>
      <c r="V459" s="2"/>
      <c r="W459" s="2"/>
      <c r="X459" s="2"/>
      <c r="Y459" s="2"/>
      <c r="Z459" s="2"/>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52"/>
      <c r="BB459" s="52"/>
      <c r="BC459" s="52"/>
      <c r="BD459" s="52"/>
      <c r="BE459" s="52"/>
      <c r="BF459" s="52"/>
      <c r="BG459" s="52"/>
      <c r="BH459" s="52"/>
      <c r="BI459" s="52"/>
      <c r="BJ459" s="52"/>
      <c r="BK459" s="52"/>
      <c r="BL459" s="52"/>
      <c r="BM459" s="52"/>
      <c r="BN459" s="52"/>
      <c r="BO459" s="52"/>
      <c r="BP459" s="52"/>
      <c r="BQ459" s="52"/>
    </row>
    <row r="460" spans="1:69" customFormat="1" x14ac:dyDescent="0.2">
      <c r="A460" s="31" t="s">
        <v>305</v>
      </c>
      <c r="B460" s="7">
        <f t="array" ref="B460">_xll.GetPrice("FP-LBR-0925","Actual","Low",_SPECIFICvarPubDate)</f>
        <v>1900</v>
      </c>
      <c r="C460" s="7">
        <f t="array" ref="C460">_xll.GetPrice("FP-LBR-0927","Actual","Low",_SPECIFICvarPubDate)</f>
        <v>1800</v>
      </c>
      <c r="D460" s="7">
        <f t="array" ref="D460">_xll.GetPrice("FP-LBR-0929","Actual","Low",_SPECIFICvarPubDate)</f>
        <v>1600</v>
      </c>
      <c r="E460" s="7">
        <f t="array" ref="E460">_xll.GetPrice("FP-LBR-0931","Actual","Low",_SPECIFICvarPubDate)</f>
        <v>560</v>
      </c>
      <c r="F460" s="25" t="s">
        <v>37</v>
      </c>
      <c r="G460" s="3"/>
      <c r="H460" s="25"/>
      <c r="I460" s="2"/>
      <c r="J460" s="31" t="s">
        <v>315</v>
      </c>
      <c r="L460" s="7">
        <f t="array" ref="L460">_xll.GetPrice("FP-LBR-2218","Actual","Low",_SPECIFICvarPubDate)</f>
        <v>1290</v>
      </c>
      <c r="M460" s="7">
        <f t="array" ref="M460">_xll.GetPrice("FP-LBR-2219","Actual","Low",_SPECIFICvarPubDate)</f>
        <v>1185</v>
      </c>
      <c r="N460" s="7">
        <f t="array" ref="N460">_xll.GetPrice("FP-LBR-2220","Actual","Low",_SPECIFICvarPubDate)</f>
        <v>1085</v>
      </c>
      <c r="O460" s="3"/>
      <c r="P460" s="3"/>
      <c r="Q460" s="3"/>
      <c r="R460" s="3"/>
      <c r="S460" s="2"/>
      <c r="T460" s="2"/>
      <c r="U460" s="2"/>
      <c r="V460" s="2"/>
      <c r="W460" s="2"/>
      <c r="X460" s="2"/>
      <c r="Y460" s="2"/>
      <c r="Z460" s="2"/>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52"/>
      <c r="BB460" s="52"/>
      <c r="BC460" s="52"/>
      <c r="BD460" s="52"/>
      <c r="BE460" s="52"/>
      <c r="BF460" s="52"/>
      <c r="BG460" s="52"/>
      <c r="BH460" s="52"/>
      <c r="BI460" s="52"/>
      <c r="BJ460" s="52"/>
      <c r="BK460" s="52"/>
      <c r="BL460" s="52"/>
      <c r="BM460" s="52"/>
      <c r="BN460" s="52"/>
      <c r="BO460" s="52"/>
      <c r="BP460" s="52"/>
      <c r="BQ460" s="52"/>
    </row>
    <row r="461" spans="1:69" customFormat="1" x14ac:dyDescent="0.2">
      <c r="A461" s="31" t="s">
        <v>308</v>
      </c>
      <c r="B461" s="7">
        <f t="array" ref="B461">_xll.GetPrice("FP-LBR-0926","Actual","Low",_SPECIFICvarPubDate)</f>
        <v>1880</v>
      </c>
      <c r="C461" s="7">
        <f t="array" ref="C461">_xll.GetPrice("FP-LBR-0928","Actual","Low",_SPECIFICvarPubDate)</f>
        <v>1840</v>
      </c>
      <c r="D461" s="7">
        <f t="array" ref="D461">_xll.GetPrice("FP-LBR-0930","Actual","Low",_SPECIFICvarPubDate)</f>
        <v>1620</v>
      </c>
      <c r="E461" s="7">
        <f t="array" ref="E461">_xll.GetPrice("FP-LBR-0932","Actual","Low",_SPECIFICvarPubDate)</f>
        <v>560</v>
      </c>
      <c r="F461" s="25" t="s">
        <v>37</v>
      </c>
      <c r="G461" s="3"/>
      <c r="H461" s="25"/>
      <c r="J461" s="26" t="s">
        <v>316</v>
      </c>
      <c r="L461" s="7">
        <f t="array" ref="L461">_xll.GetPrice("FP-LBR-0904","Actual","Low",_SPECIFICvarPubDate)</f>
        <v>10</v>
      </c>
      <c r="M461" s="7">
        <f t="array" ref="M461">_xll.GetPrice("FP-LBR-0904","Actual","High",_SPECIFICvarPubDate)</f>
        <v>25</v>
      </c>
      <c r="N461" s="2"/>
      <c r="O461" s="3"/>
      <c r="P461" s="3"/>
      <c r="Q461" s="3"/>
      <c r="R461" s="3"/>
      <c r="S461" s="2"/>
      <c r="T461" s="2"/>
      <c r="U461" s="2"/>
      <c r="V461" s="2"/>
      <c r="W461" s="2"/>
      <c r="X461" s="2"/>
      <c r="Y461" s="2"/>
      <c r="Z461" s="2"/>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52"/>
      <c r="BB461" s="52"/>
      <c r="BC461" s="52"/>
      <c r="BD461" s="52"/>
      <c r="BE461" s="52"/>
      <c r="BF461" s="52"/>
      <c r="BG461" s="52"/>
      <c r="BH461" s="52"/>
      <c r="BI461" s="52"/>
      <c r="BJ461" s="52"/>
      <c r="BK461" s="52"/>
      <c r="BL461" s="52"/>
      <c r="BM461" s="52"/>
      <c r="BN461" s="52"/>
      <c r="BO461" s="52"/>
      <c r="BP461" s="52"/>
      <c r="BQ461" s="52"/>
    </row>
    <row r="462" spans="1:69" customFormat="1" x14ac:dyDescent="0.2">
      <c r="A462" s="2"/>
      <c r="B462" s="2"/>
      <c r="C462" s="2"/>
      <c r="D462" s="2"/>
      <c r="E462" s="2"/>
      <c r="F462" s="2"/>
      <c r="G462" s="2"/>
      <c r="H462" s="2"/>
      <c r="J462" s="3"/>
      <c r="K462" s="3"/>
      <c r="L462" s="3"/>
      <c r="M462" s="3"/>
      <c r="N462" s="3"/>
      <c r="O462" s="3"/>
      <c r="P462" s="3"/>
      <c r="Q462" s="3"/>
      <c r="R462" s="3"/>
      <c r="S462" s="2"/>
      <c r="T462" s="2"/>
      <c r="U462" s="2"/>
      <c r="V462" s="2"/>
      <c r="W462" s="2"/>
      <c r="X462" s="2"/>
      <c r="Y462" s="2"/>
      <c r="Z462" s="2"/>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52"/>
      <c r="BB462" s="52"/>
      <c r="BC462" s="52"/>
      <c r="BD462" s="52"/>
      <c r="BE462" s="52"/>
      <c r="BF462" s="52"/>
      <c r="BG462" s="52"/>
      <c r="BH462" s="52"/>
      <c r="BI462" s="52"/>
      <c r="BJ462" s="52"/>
      <c r="BK462" s="52"/>
      <c r="BL462" s="52"/>
      <c r="BM462" s="52"/>
      <c r="BN462" s="52"/>
      <c r="BO462" s="52"/>
      <c r="BP462" s="52"/>
      <c r="BQ462" s="52"/>
    </row>
    <row r="463" spans="1:69" customFormat="1" x14ac:dyDescent="0.2">
      <c r="A463" s="23" t="s">
        <v>317</v>
      </c>
      <c r="B463" s="2"/>
      <c r="C463" s="2"/>
      <c r="D463" s="2"/>
      <c r="E463" s="2"/>
      <c r="F463" s="2"/>
      <c r="G463" s="2"/>
      <c r="J463" s="3"/>
      <c r="K463" s="3"/>
      <c r="L463" s="3"/>
      <c r="M463" s="3"/>
      <c r="N463" s="3"/>
      <c r="O463" s="3"/>
      <c r="P463" s="3"/>
      <c r="Q463" s="2"/>
      <c r="R463" s="3"/>
      <c r="S463" s="2"/>
      <c r="T463" s="2"/>
      <c r="U463" s="2"/>
      <c r="V463" s="2"/>
      <c r="W463" s="2"/>
      <c r="X463" s="2"/>
      <c r="Y463" s="2"/>
      <c r="Z463" s="2"/>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52"/>
      <c r="BB463" s="52"/>
      <c r="BC463" s="52"/>
      <c r="BD463" s="52"/>
      <c r="BE463" s="52"/>
      <c r="BF463" s="52"/>
      <c r="BG463" s="52"/>
      <c r="BH463" s="52"/>
      <c r="BI463" s="52"/>
      <c r="BJ463" s="52"/>
      <c r="BK463" s="52"/>
      <c r="BL463" s="52"/>
      <c r="BM463" s="52"/>
      <c r="BN463" s="52"/>
      <c r="BO463" s="52"/>
      <c r="BP463" s="52"/>
      <c r="BQ463" s="52"/>
    </row>
    <row r="464" spans="1:69" customFormat="1" x14ac:dyDescent="0.2">
      <c r="A464" s="2"/>
      <c r="B464" s="19" t="s">
        <v>318</v>
      </c>
      <c r="C464" s="19" t="s">
        <v>319</v>
      </c>
      <c r="D464" s="19" t="s">
        <v>320</v>
      </c>
      <c r="E464" s="2"/>
      <c r="F464" s="2"/>
      <c r="G464" s="2"/>
      <c r="J464" s="3"/>
      <c r="K464" s="3"/>
      <c r="L464" s="3"/>
      <c r="M464" s="3"/>
      <c r="N464" s="3"/>
      <c r="O464" s="3"/>
      <c r="P464" s="3"/>
      <c r="Q464" s="3"/>
      <c r="R464" s="2"/>
      <c r="S464" s="2"/>
      <c r="T464" s="2"/>
      <c r="U464" s="2"/>
      <c r="V464" s="2"/>
      <c r="W464" s="2"/>
      <c r="X464" s="2"/>
      <c r="Y464" s="2"/>
      <c r="Z464" s="2"/>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52"/>
      <c r="BB464" s="52"/>
      <c r="BC464" s="52"/>
      <c r="BD464" s="52"/>
      <c r="BE464" s="52"/>
      <c r="BF464" s="52"/>
      <c r="BG464" s="52"/>
      <c r="BH464" s="52"/>
      <c r="BI464" s="52"/>
      <c r="BJ464" s="52"/>
      <c r="BK464" s="52"/>
      <c r="BL464" s="52"/>
      <c r="BM464" s="52"/>
      <c r="BN464" s="52"/>
      <c r="BO464" s="52"/>
      <c r="BP464" s="52"/>
      <c r="BQ464" s="52"/>
    </row>
    <row r="465" spans="1:69" customFormat="1" x14ac:dyDescent="0.2">
      <c r="A465" s="31" t="s">
        <v>321</v>
      </c>
      <c r="B465" s="7">
        <f t="array" ref="B465">_xll.GetPrice("FP-LBR-0933","Actual","Low",_SPECIFICvarPubDate)</f>
        <v>1735</v>
      </c>
      <c r="C465" s="7">
        <f t="array" ref="C465">_xll.GetPrice("FP-LBR-0935","Actual","Low",_SPECIFICvarPubDate)</f>
        <v>1500</v>
      </c>
      <c r="D465" s="7">
        <f t="array" ref="D465">_xll.GetPrice("FP-LBR-0936","Actual","Low",_SPECIFICvarPubDate)</f>
        <v>1985</v>
      </c>
      <c r="Q465" s="2"/>
      <c r="R465" s="2"/>
      <c r="T465" s="2"/>
      <c r="U465" s="2"/>
      <c r="V465" s="2"/>
      <c r="W465" s="2"/>
      <c r="X465" s="2"/>
      <c r="Y465" s="2"/>
      <c r="Z465" s="2"/>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52"/>
      <c r="BB465" s="52"/>
      <c r="BC465" s="52"/>
      <c r="BD465" s="52"/>
      <c r="BE465" s="52"/>
      <c r="BF465" s="52"/>
      <c r="BG465" s="52"/>
      <c r="BH465" s="52"/>
      <c r="BI465" s="52"/>
      <c r="BJ465" s="52"/>
      <c r="BK465" s="52"/>
      <c r="BL465" s="52"/>
      <c r="BM465" s="52"/>
      <c r="BN465" s="52"/>
      <c r="BO465" s="52"/>
      <c r="BP465" s="52"/>
      <c r="BQ465" s="52"/>
    </row>
    <row r="466" spans="1:69" customFormat="1" x14ac:dyDescent="0.2">
      <c r="A466" s="31" t="s">
        <v>322</v>
      </c>
      <c r="B466" s="7">
        <f t="array" ref="B466">_xll.GetPrice("FP-LBR-0934","Actual","Low",_SPECIFICvarPubDate)</f>
        <v>1770</v>
      </c>
      <c r="C466" s="25" t="s">
        <v>37</v>
      </c>
      <c r="D466" s="7">
        <f t="array" ref="D466">_xll.GetPrice("FP-LBR-0937","Actual","Low",_SPECIFICvarPubDate)</f>
        <v>2045</v>
      </c>
      <c r="I466" s="2"/>
      <c r="J466" s="23" t="s">
        <v>323</v>
      </c>
      <c r="K466" s="2"/>
      <c r="L466" s="2"/>
      <c r="M466" s="2"/>
      <c r="O466" s="23" t="s">
        <v>324</v>
      </c>
      <c r="P466" s="3"/>
      <c r="Q466" s="2"/>
      <c r="R466" s="2"/>
      <c r="T466" s="2"/>
      <c r="U466" s="2"/>
      <c r="V466" s="2"/>
      <c r="W466" s="2"/>
      <c r="X466" s="2"/>
      <c r="Y466" s="2"/>
      <c r="Z466" s="2"/>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52"/>
      <c r="BB466" s="52"/>
      <c r="BC466" s="52"/>
      <c r="BD466" s="52"/>
      <c r="BE466" s="52"/>
      <c r="BF466" s="52"/>
      <c r="BG466" s="52"/>
      <c r="BH466" s="52"/>
      <c r="BI466" s="52"/>
      <c r="BJ466" s="52"/>
      <c r="BK466" s="52"/>
      <c r="BL466" s="52"/>
      <c r="BM466" s="52"/>
      <c r="BN466" s="52"/>
      <c r="BO466" s="52"/>
      <c r="BP466" s="52"/>
      <c r="BQ466" s="52"/>
    </row>
    <row r="467" spans="1:69" customFormat="1" x14ac:dyDescent="0.2">
      <c r="H467" s="2"/>
      <c r="I467" s="2"/>
      <c r="J467" s="23" t="s">
        <v>325</v>
      </c>
      <c r="K467" s="2"/>
      <c r="L467" s="2"/>
      <c r="M467" s="2"/>
      <c r="O467" s="23" t="s">
        <v>326</v>
      </c>
      <c r="P467" s="2"/>
      <c r="Q467" s="2"/>
      <c r="R467" s="2"/>
      <c r="S467" s="2"/>
      <c r="T467" s="2"/>
      <c r="U467" s="2"/>
      <c r="V467" s="2"/>
      <c r="W467" s="2"/>
      <c r="X467" s="2"/>
      <c r="Y467" s="2"/>
      <c r="Z467" s="2"/>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52"/>
      <c r="BB467" s="52"/>
      <c r="BC467" s="52"/>
      <c r="BD467" s="52"/>
      <c r="BE467" s="52"/>
      <c r="BF467" s="52"/>
      <c r="BG467" s="52"/>
      <c r="BH467" s="52"/>
      <c r="BI467" s="52"/>
      <c r="BJ467" s="52"/>
      <c r="BK467" s="52"/>
      <c r="BL467" s="52"/>
      <c r="BM467" s="52"/>
      <c r="BN467" s="52"/>
      <c r="BO467" s="52"/>
      <c r="BP467" s="52"/>
      <c r="BQ467" s="52"/>
    </row>
    <row r="468" spans="1:69" customFormat="1" x14ac:dyDescent="0.2">
      <c r="A468" s="23" t="s">
        <v>327</v>
      </c>
      <c r="H468" s="2"/>
      <c r="I468" s="2"/>
      <c r="J468" s="23" t="s">
        <v>328</v>
      </c>
      <c r="L468" s="19" t="s">
        <v>329</v>
      </c>
      <c r="M468" s="19" t="s">
        <v>210</v>
      </c>
      <c r="O468" s="23" t="s">
        <v>328</v>
      </c>
      <c r="P468" s="2"/>
      <c r="Q468" s="2"/>
      <c r="R468" s="2"/>
      <c r="S468" s="2"/>
      <c r="T468" s="2"/>
      <c r="U468" s="2"/>
      <c r="V468" s="2"/>
      <c r="W468" s="2"/>
      <c r="X468" s="2"/>
      <c r="Y468" s="2"/>
      <c r="Z468" s="2"/>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52"/>
      <c r="BB468" s="52"/>
      <c r="BC468" s="52"/>
      <c r="BD468" s="52"/>
      <c r="BE468" s="52"/>
      <c r="BF468" s="52"/>
      <c r="BG468" s="52"/>
      <c r="BH468" s="52"/>
      <c r="BI468" s="52"/>
      <c r="BJ468" s="52"/>
      <c r="BK468" s="52"/>
      <c r="BL468" s="52"/>
      <c r="BM468" s="52"/>
      <c r="BN468" s="52"/>
      <c r="BO468" s="52"/>
      <c r="BP468" s="52"/>
      <c r="BQ468" s="52"/>
    </row>
    <row r="469" spans="1:69" customFormat="1" x14ac:dyDescent="0.2">
      <c r="A469" s="3"/>
      <c r="B469" s="2"/>
      <c r="C469" s="19" t="s">
        <v>330</v>
      </c>
      <c r="D469" s="19" t="s">
        <v>331</v>
      </c>
      <c r="E469" s="2"/>
      <c r="F469" s="2"/>
      <c r="G469" s="2"/>
      <c r="H469" s="2"/>
      <c r="I469" s="2"/>
      <c r="J469" s="40" t="s">
        <v>332</v>
      </c>
      <c r="L469" s="9">
        <f t="array" ref="L469">_xll.GetPrice("FP-LBR-0891","Actual","Low",_SPECIFICvarPubDate)</f>
        <v>368</v>
      </c>
      <c r="M469" s="9">
        <f t="array" ref="M469">_xll.GetPrice("FP-LBR-0894","Actual","Low",_SPECIFICvarPubDate)</f>
        <v>147</v>
      </c>
      <c r="O469" s="40" t="s">
        <v>333</v>
      </c>
      <c r="P469" s="9">
        <f t="array" ref="P469">_xll.GetPrice("FP-LBR-0896","Actual","Low",_SPECIFICvarPubDate)</f>
        <v>439</v>
      </c>
      <c r="Q469" s="2"/>
      <c r="R469" s="2"/>
      <c r="S469" s="2"/>
      <c r="T469" s="2"/>
      <c r="U469" s="2"/>
      <c r="V469" s="2"/>
      <c r="W469" s="2"/>
      <c r="X469" s="2"/>
      <c r="Y469" s="2"/>
      <c r="Z469" s="2"/>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52"/>
      <c r="BB469" s="52"/>
      <c r="BC469" s="52"/>
      <c r="BD469" s="52"/>
      <c r="BE469" s="52"/>
      <c r="BF469" s="52"/>
      <c r="BG469" s="52"/>
      <c r="BH469" s="52"/>
      <c r="BI469" s="52"/>
      <c r="BJ469" s="52"/>
      <c r="BK469" s="52"/>
      <c r="BL469" s="52"/>
      <c r="BM469" s="52"/>
      <c r="BN469" s="52"/>
      <c r="BO469" s="52"/>
      <c r="BP469" s="52"/>
      <c r="BQ469" s="52"/>
    </row>
    <row r="470" spans="1:69" customFormat="1" x14ac:dyDescent="0.2">
      <c r="A470" s="31" t="s">
        <v>334</v>
      </c>
      <c r="B470" s="2"/>
      <c r="C470" s="7">
        <f t="array" ref="C470">_xll.GetPrice("FP-LBR-0938","Actual","Low",_SPECIFICvarPubDate)</f>
        <v>1060</v>
      </c>
      <c r="D470" s="7">
        <f t="array" ref="D470">_xll.GetPrice("FP-LBR-0941","Actual","Low",_SPECIFICvarPubDate)</f>
        <v>1150</v>
      </c>
      <c r="E470" s="2"/>
      <c r="F470" s="2"/>
      <c r="G470" s="2"/>
      <c r="H470" s="2"/>
      <c r="I470" s="2"/>
      <c r="J470" s="47" t="s">
        <v>335</v>
      </c>
      <c r="L470" s="9">
        <f t="array" ref="L470">_xll.GetPrice("FP-LBR-0892","Actual","Low",_SPECIFICvarPubDate)</f>
        <v>409</v>
      </c>
      <c r="M470" s="9">
        <f t="array" ref="M470">_xll.GetPrice("FP-LBR-0895","Actual","Low",_SPECIFICvarPubDate)</f>
        <v>162</v>
      </c>
      <c r="O470" s="40" t="s">
        <v>336</v>
      </c>
      <c r="P470" s="9">
        <f t="array" ref="P470">_xll.GetPrice("FP-LBR-0897","Actual","Low",_SPECIFICvarPubDate)</f>
        <v>483</v>
      </c>
      <c r="S470" s="2"/>
      <c r="T470" s="2"/>
      <c r="U470" s="2"/>
      <c r="V470" s="2"/>
      <c r="W470" s="2"/>
      <c r="X470" s="2"/>
      <c r="Y470" s="2"/>
      <c r="Z470" s="2"/>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52"/>
      <c r="BB470" s="52"/>
      <c r="BC470" s="52"/>
      <c r="BD470" s="52"/>
      <c r="BE470" s="52"/>
      <c r="BF470" s="52"/>
      <c r="BG470" s="52"/>
      <c r="BH470" s="52"/>
      <c r="BI470" s="52"/>
      <c r="BJ470" s="52"/>
      <c r="BK470" s="52"/>
      <c r="BL470" s="52"/>
      <c r="BM470" s="52"/>
      <c r="BN470" s="52"/>
      <c r="BO470" s="52"/>
      <c r="BP470" s="52"/>
      <c r="BQ470" s="52"/>
    </row>
    <row r="471" spans="1:69" customFormat="1" x14ac:dyDescent="0.2">
      <c r="A471" s="31" t="s">
        <v>337</v>
      </c>
      <c r="C471" s="7">
        <f t="array" ref="C471">_xll.GetPrice("FP-LBR-0939","Actual","Low",_SPECIFICvarPubDate)</f>
        <v>1070</v>
      </c>
      <c r="D471" s="7">
        <f t="array" ref="D471">_xll.GetPrice("FP-LBR-0942","Actual","Low",_SPECIFICvarPubDate)</f>
        <v>1160</v>
      </c>
      <c r="E471" s="2"/>
      <c r="F471" s="2"/>
      <c r="G471" s="2"/>
      <c r="H471" s="2"/>
      <c r="I471" s="2"/>
      <c r="J471" s="40" t="s">
        <v>338</v>
      </c>
      <c r="L471" s="9">
        <f t="array" ref="L471">_xll.GetPrice("FP-LBR-0893","Actual","Low",_SPECIFICvarPubDate)</f>
        <v>333</v>
      </c>
      <c r="M471" s="39" t="s">
        <v>37</v>
      </c>
      <c r="O471" s="2"/>
      <c r="P471" s="2"/>
      <c r="Q471" s="3"/>
      <c r="R471" s="2"/>
      <c r="S471" s="2"/>
      <c r="T471" s="2"/>
      <c r="U471" s="2"/>
      <c r="V471" s="2"/>
      <c r="W471" s="2"/>
      <c r="X471" s="2"/>
      <c r="Y471" s="2"/>
      <c r="Z471" s="2"/>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52"/>
      <c r="BB471" s="52"/>
      <c r="BC471" s="52"/>
      <c r="BD471" s="52"/>
      <c r="BE471" s="52"/>
      <c r="BF471" s="52"/>
      <c r="BG471" s="52"/>
      <c r="BH471" s="52"/>
      <c r="BI471" s="52"/>
      <c r="BJ471" s="52"/>
      <c r="BK471" s="52"/>
      <c r="BL471" s="52"/>
      <c r="BM471" s="52"/>
      <c r="BN471" s="52"/>
      <c r="BO471" s="52"/>
      <c r="BP471" s="52"/>
      <c r="BQ471" s="52"/>
    </row>
    <row r="472" spans="1:69" customFormat="1" x14ac:dyDescent="0.2">
      <c r="A472" s="31" t="s">
        <v>339</v>
      </c>
      <c r="B472" s="2"/>
      <c r="C472" s="7">
        <f t="array" ref="C472">_xll.GetPrice("FP-LBR-0940","Actual","Low",_SPECIFICvarPubDate)</f>
        <v>1050</v>
      </c>
      <c r="D472" s="7">
        <f t="array" ref="D472">_xll.GetPrice("FP-LBR-0943","Actual","Low",_SPECIFICvarPubDate)</f>
        <v>1090</v>
      </c>
      <c r="E472" s="2"/>
      <c r="F472" s="2"/>
      <c r="G472" s="2"/>
      <c r="H472" s="2"/>
      <c r="I472" s="2"/>
      <c r="N472" s="26" t="s">
        <v>340</v>
      </c>
      <c r="O472" s="2"/>
      <c r="P472" s="9">
        <f t="array" ref="P472">_xll.GetPrice("FP-LBR-0898","Actual","Low",_SPECIFICvarPubDate)</f>
        <v>425</v>
      </c>
      <c r="Q472" s="2"/>
      <c r="R472" s="2"/>
      <c r="S472" s="2"/>
      <c r="T472" s="2"/>
      <c r="U472" s="2"/>
      <c r="V472" s="2"/>
      <c r="W472" s="2"/>
      <c r="X472" s="2"/>
      <c r="Y472" s="2"/>
      <c r="Z472" s="2"/>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52"/>
      <c r="BB472" s="52"/>
      <c r="BC472" s="52"/>
      <c r="BD472" s="52"/>
      <c r="BE472" s="52"/>
      <c r="BF472" s="52"/>
      <c r="BG472" s="52"/>
      <c r="BH472" s="52"/>
      <c r="BI472" s="52"/>
      <c r="BJ472" s="52"/>
      <c r="BK472" s="52"/>
      <c r="BL472" s="52"/>
      <c r="BM472" s="52"/>
      <c r="BN472" s="52"/>
      <c r="BO472" s="52"/>
      <c r="BP472" s="52"/>
      <c r="BQ472" s="52"/>
    </row>
    <row r="473" spans="1:69" customFormat="1" x14ac:dyDescent="0.2">
      <c r="E473" s="2"/>
      <c r="F473" s="2"/>
      <c r="G473" s="2"/>
      <c r="H473" s="2"/>
      <c r="I473" s="2"/>
      <c r="J473" s="2"/>
      <c r="K473" s="2"/>
      <c r="L473" s="2"/>
      <c r="M473" s="2"/>
      <c r="N473" s="2"/>
      <c r="O473" s="2"/>
      <c r="P473" s="2"/>
      <c r="Q473" s="2"/>
      <c r="R473" s="2"/>
      <c r="S473" s="2"/>
      <c r="T473" s="2"/>
      <c r="U473" s="2"/>
      <c r="V473" s="2"/>
      <c r="W473" s="2"/>
      <c r="X473" s="2"/>
      <c r="Y473" s="2"/>
      <c r="Z473" s="2"/>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52"/>
      <c r="BB473" s="52"/>
      <c r="BC473" s="52"/>
      <c r="BD473" s="52"/>
      <c r="BE473" s="52"/>
      <c r="BF473" s="52"/>
      <c r="BG473" s="52"/>
      <c r="BH473" s="52"/>
      <c r="BI473" s="52"/>
      <c r="BJ473" s="52"/>
      <c r="BK473" s="52"/>
      <c r="BL473" s="52"/>
      <c r="BM473" s="52"/>
      <c r="BN473" s="52"/>
      <c r="BO473" s="52"/>
      <c r="BP473" s="52"/>
      <c r="BQ473" s="52"/>
    </row>
    <row r="474" spans="1:69" customForma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52"/>
      <c r="BB474" s="52"/>
      <c r="BC474" s="52"/>
      <c r="BD474" s="52"/>
      <c r="BE474" s="52"/>
      <c r="BF474" s="52"/>
      <c r="BG474" s="52"/>
      <c r="BH474" s="52"/>
      <c r="BI474" s="52"/>
      <c r="BJ474" s="52"/>
      <c r="BK474" s="52"/>
      <c r="BL474" s="52"/>
      <c r="BM474" s="52"/>
      <c r="BN474" s="52"/>
      <c r="BO474" s="52"/>
      <c r="BP474" s="52"/>
      <c r="BQ474" s="52"/>
    </row>
    <row r="475" spans="1:69" customForma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52"/>
      <c r="BB475" s="52"/>
      <c r="BC475" s="52"/>
      <c r="BD475" s="52"/>
      <c r="BE475" s="52"/>
      <c r="BF475" s="52"/>
      <c r="BG475" s="52"/>
      <c r="BH475" s="52"/>
      <c r="BI475" s="52"/>
      <c r="BJ475" s="52"/>
      <c r="BK475" s="52"/>
      <c r="BL475" s="52"/>
      <c r="BM475" s="52"/>
      <c r="BN475" s="52"/>
      <c r="BO475" s="52"/>
      <c r="BP475" s="52"/>
      <c r="BQ475" s="52"/>
    </row>
    <row r="476" spans="1:69" customForma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52"/>
      <c r="BB476" s="52"/>
      <c r="BC476" s="52"/>
      <c r="BD476" s="52"/>
      <c r="BE476" s="52"/>
      <c r="BF476" s="52"/>
      <c r="BG476" s="52"/>
      <c r="BH476" s="52"/>
      <c r="BI476" s="52"/>
      <c r="BJ476" s="52"/>
      <c r="BK476" s="52"/>
      <c r="BL476" s="52"/>
      <c r="BM476" s="52"/>
      <c r="BN476" s="52"/>
      <c r="BO476" s="52"/>
      <c r="BP476" s="52"/>
      <c r="BQ476" s="52"/>
    </row>
    <row r="477" spans="1:69" customForma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52"/>
      <c r="BB477" s="52"/>
      <c r="BC477" s="52"/>
      <c r="BD477" s="52"/>
      <c r="BE477" s="52"/>
      <c r="BF477" s="52"/>
      <c r="BG477" s="52"/>
      <c r="BH477" s="52"/>
      <c r="BI477" s="52"/>
      <c r="BJ477" s="52"/>
      <c r="BK477" s="52"/>
      <c r="BL477" s="52"/>
      <c r="BM477" s="52"/>
      <c r="BN477" s="52"/>
      <c r="BO477" s="52"/>
      <c r="BP477" s="52"/>
      <c r="BQ477" s="52"/>
    </row>
    <row r="478" spans="1:69" customForma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52"/>
      <c r="BB478" s="52"/>
      <c r="BC478" s="52"/>
      <c r="BD478" s="52"/>
      <c r="BE478" s="52"/>
      <c r="BF478" s="52"/>
      <c r="BG478" s="52"/>
      <c r="BH478" s="52"/>
      <c r="BI478" s="52"/>
      <c r="BJ478" s="52"/>
      <c r="BK478" s="52"/>
      <c r="BL478" s="52"/>
      <c r="BM478" s="52"/>
      <c r="BN478" s="52"/>
      <c r="BO478" s="52"/>
      <c r="BP478" s="52"/>
      <c r="BQ478" s="52"/>
    </row>
    <row r="479" spans="1:69" customForma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52"/>
      <c r="BB479" s="52"/>
      <c r="BC479" s="52"/>
      <c r="BD479" s="52"/>
      <c r="BE479" s="52"/>
      <c r="BF479" s="52"/>
      <c r="BG479" s="52"/>
      <c r="BH479" s="52"/>
      <c r="BI479" s="52"/>
      <c r="BJ479" s="52"/>
      <c r="BK479" s="52"/>
      <c r="BL479" s="52"/>
      <c r="BM479" s="52"/>
      <c r="BN479" s="52"/>
      <c r="BO479" s="52"/>
      <c r="BP479" s="52"/>
      <c r="BQ479" s="52"/>
    </row>
    <row r="480" spans="1:69" customForma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52"/>
      <c r="BB480" s="52"/>
      <c r="BC480" s="52"/>
      <c r="BD480" s="52"/>
      <c r="BE480" s="52"/>
      <c r="BF480" s="52"/>
      <c r="BG480" s="52"/>
      <c r="BH480" s="52"/>
      <c r="BI480" s="52"/>
      <c r="BJ480" s="52"/>
      <c r="BK480" s="52"/>
      <c r="BL480" s="52"/>
      <c r="BM480" s="52"/>
      <c r="BN480" s="52"/>
      <c r="BO480" s="52"/>
      <c r="BP480" s="52"/>
      <c r="BQ480" s="52"/>
    </row>
    <row r="481" spans="1:69" customForma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52"/>
      <c r="BB481" s="52"/>
      <c r="BC481" s="52"/>
      <c r="BD481" s="52"/>
      <c r="BE481" s="52"/>
      <c r="BF481" s="52"/>
      <c r="BG481" s="52"/>
      <c r="BH481" s="52"/>
      <c r="BI481" s="52"/>
      <c r="BJ481" s="52"/>
      <c r="BK481" s="52"/>
      <c r="BL481" s="52"/>
      <c r="BM481" s="52"/>
      <c r="BN481" s="52"/>
      <c r="BO481" s="52"/>
      <c r="BP481" s="52"/>
      <c r="BQ481" s="52"/>
    </row>
    <row r="482" spans="1:69" customForma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52"/>
      <c r="BB482" s="52"/>
      <c r="BC482" s="52"/>
      <c r="BD482" s="52"/>
      <c r="BE482" s="52"/>
      <c r="BF482" s="52"/>
      <c r="BG482" s="52"/>
      <c r="BH482" s="52"/>
      <c r="BI482" s="52"/>
      <c r="BJ482" s="52"/>
      <c r="BK482" s="52"/>
      <c r="BL482" s="52"/>
      <c r="BM482" s="52"/>
      <c r="BN482" s="52"/>
      <c r="BO482" s="52"/>
      <c r="BP482" s="52"/>
      <c r="BQ482" s="52"/>
    </row>
    <row r="483" spans="1:69" customForma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52"/>
      <c r="BB483" s="52"/>
      <c r="BC483" s="52"/>
      <c r="BD483" s="52"/>
      <c r="BE483" s="52"/>
      <c r="BF483" s="52"/>
      <c r="BG483" s="52"/>
      <c r="BH483" s="52"/>
      <c r="BI483" s="52"/>
      <c r="BJ483" s="52"/>
      <c r="BK483" s="52"/>
      <c r="BL483" s="52"/>
      <c r="BM483" s="52"/>
      <c r="BN483" s="52"/>
      <c r="BO483" s="52"/>
      <c r="BP483" s="52"/>
      <c r="BQ483" s="52"/>
    </row>
    <row r="484" spans="1:69" customForma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52"/>
      <c r="BB484" s="52"/>
      <c r="BC484" s="52"/>
      <c r="BD484" s="52"/>
      <c r="BE484" s="52"/>
      <c r="BF484" s="52"/>
      <c r="BG484" s="52"/>
      <c r="BH484" s="52"/>
      <c r="BI484" s="52"/>
      <c r="BJ484" s="52"/>
      <c r="BK484" s="52"/>
      <c r="BL484" s="52"/>
      <c r="BM484" s="52"/>
      <c r="BN484" s="52"/>
      <c r="BO484" s="52"/>
      <c r="BP484" s="52"/>
      <c r="BQ484" s="52"/>
    </row>
    <row r="485" spans="1:69" customForma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52"/>
      <c r="BB485" s="52"/>
      <c r="BC485" s="52"/>
      <c r="BD485" s="52"/>
      <c r="BE485" s="52"/>
      <c r="BF485" s="52"/>
      <c r="BG485" s="52"/>
      <c r="BH485" s="52"/>
      <c r="BI485" s="52"/>
      <c r="BJ485" s="52"/>
      <c r="BK485" s="52"/>
      <c r="BL485" s="52"/>
      <c r="BM485" s="52"/>
      <c r="BN485" s="52"/>
      <c r="BO485" s="52"/>
      <c r="BP485" s="52"/>
      <c r="BQ485" s="52"/>
    </row>
    <row r="486" spans="1:69" customForma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52"/>
      <c r="BB486" s="52"/>
      <c r="BC486" s="52"/>
      <c r="BD486" s="52"/>
      <c r="BE486" s="52"/>
      <c r="BF486" s="52"/>
      <c r="BG486" s="52"/>
      <c r="BH486" s="52"/>
      <c r="BI486" s="52"/>
      <c r="BJ486" s="52"/>
      <c r="BK486" s="52"/>
      <c r="BL486" s="52"/>
      <c r="BM486" s="52"/>
      <c r="BN486" s="52"/>
      <c r="BO486" s="52"/>
      <c r="BP486" s="52"/>
      <c r="BQ486" s="52"/>
    </row>
    <row r="487" spans="1:69" customForma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52"/>
      <c r="BB487" s="52"/>
      <c r="BC487" s="52"/>
      <c r="BD487" s="52"/>
      <c r="BE487" s="52"/>
      <c r="BF487" s="52"/>
      <c r="BG487" s="52"/>
      <c r="BH487" s="52"/>
      <c r="BI487" s="52"/>
      <c r="BJ487" s="52"/>
      <c r="BK487" s="52"/>
      <c r="BL487" s="52"/>
      <c r="BM487" s="52"/>
      <c r="BN487" s="52"/>
      <c r="BO487" s="52"/>
      <c r="BP487" s="52"/>
      <c r="BQ487" s="52"/>
    </row>
    <row r="488" spans="1:69" customForma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52"/>
      <c r="BB488" s="52"/>
      <c r="BC488" s="52"/>
      <c r="BD488" s="52"/>
      <c r="BE488" s="52"/>
      <c r="BF488" s="52"/>
      <c r="BG488" s="52"/>
      <c r="BH488" s="52"/>
      <c r="BI488" s="52"/>
      <c r="BJ488" s="52"/>
      <c r="BK488" s="52"/>
      <c r="BL488" s="52"/>
      <c r="BM488" s="52"/>
      <c r="BN488" s="52"/>
      <c r="BO488" s="52"/>
      <c r="BP488" s="52"/>
      <c r="BQ488" s="52"/>
    </row>
    <row r="489" spans="1:69" customForma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52"/>
      <c r="BB489" s="52"/>
      <c r="BC489" s="52"/>
      <c r="BD489" s="52"/>
      <c r="BE489" s="52"/>
      <c r="BF489" s="52"/>
      <c r="BG489" s="52"/>
      <c r="BH489" s="52"/>
      <c r="BI489" s="52"/>
      <c r="BJ489" s="52"/>
      <c r="BK489" s="52"/>
      <c r="BL489" s="52"/>
      <c r="BM489" s="52"/>
      <c r="BN489" s="52"/>
      <c r="BO489" s="52"/>
      <c r="BP489" s="52"/>
      <c r="BQ489" s="52"/>
    </row>
    <row r="490" spans="1:69" customForma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52"/>
      <c r="BB490" s="52"/>
      <c r="BC490" s="52"/>
      <c r="BD490" s="52"/>
      <c r="BE490" s="52"/>
      <c r="BF490" s="52"/>
      <c r="BG490" s="52"/>
      <c r="BH490" s="52"/>
      <c r="BI490" s="52"/>
      <c r="BJ490" s="52"/>
      <c r="BK490" s="52"/>
      <c r="BL490" s="52"/>
      <c r="BM490" s="52"/>
      <c r="BN490" s="52"/>
      <c r="BO490" s="52"/>
      <c r="BP490" s="52"/>
      <c r="BQ490" s="52"/>
    </row>
    <row r="491" spans="1:69" customForma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52"/>
      <c r="BB491" s="52"/>
      <c r="BC491" s="52"/>
      <c r="BD491" s="52"/>
      <c r="BE491" s="52"/>
      <c r="BF491" s="52"/>
      <c r="BG491" s="52"/>
      <c r="BH491" s="52"/>
      <c r="BI491" s="52"/>
      <c r="BJ491" s="52"/>
      <c r="BK491" s="52"/>
      <c r="BL491" s="52"/>
      <c r="BM491" s="52"/>
      <c r="BN491" s="52"/>
      <c r="BO491" s="52"/>
      <c r="BP491" s="52"/>
      <c r="BQ491" s="52"/>
    </row>
    <row r="492" spans="1:69" customForma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52"/>
      <c r="BB492" s="52"/>
      <c r="BC492" s="52"/>
      <c r="BD492" s="52"/>
      <c r="BE492" s="52"/>
      <c r="BF492" s="52"/>
      <c r="BG492" s="52"/>
      <c r="BH492" s="52"/>
      <c r="BI492" s="52"/>
      <c r="BJ492" s="52"/>
      <c r="BK492" s="52"/>
      <c r="BL492" s="52"/>
      <c r="BM492" s="52"/>
      <c r="BN492" s="52"/>
      <c r="BO492" s="52"/>
      <c r="BP492" s="52"/>
      <c r="BQ492" s="52"/>
    </row>
    <row r="493" spans="1:69" customForma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52"/>
      <c r="BB493" s="52"/>
      <c r="BC493" s="52"/>
      <c r="BD493" s="52"/>
      <c r="BE493" s="52"/>
      <c r="BF493" s="52"/>
      <c r="BG493" s="52"/>
      <c r="BH493" s="52"/>
      <c r="BI493" s="52"/>
      <c r="BJ493" s="52"/>
      <c r="BK493" s="52"/>
      <c r="BL493" s="52"/>
      <c r="BM493" s="52"/>
      <c r="BN493" s="52"/>
      <c r="BO493" s="52"/>
      <c r="BP493" s="52"/>
      <c r="BQ493" s="52"/>
    </row>
    <row r="494" spans="1:69" customForma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52"/>
      <c r="BB494" s="52"/>
      <c r="BC494" s="52"/>
      <c r="BD494" s="52"/>
      <c r="BE494" s="52"/>
      <c r="BF494" s="52"/>
      <c r="BG494" s="52"/>
      <c r="BH494" s="52"/>
      <c r="BI494" s="52"/>
      <c r="BJ494" s="52"/>
      <c r="BK494" s="52"/>
      <c r="BL494" s="52"/>
      <c r="BM494" s="52"/>
      <c r="BN494" s="52"/>
      <c r="BO494" s="52"/>
      <c r="BP494" s="52"/>
      <c r="BQ494" s="52"/>
    </row>
    <row r="495" spans="1:69" customForma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52"/>
      <c r="BB495" s="52"/>
      <c r="BC495" s="52"/>
      <c r="BD495" s="52"/>
      <c r="BE495" s="52"/>
      <c r="BF495" s="52"/>
      <c r="BG495" s="52"/>
      <c r="BH495" s="52"/>
      <c r="BI495" s="52"/>
      <c r="BJ495" s="52"/>
      <c r="BK495" s="52"/>
      <c r="BL495" s="52"/>
      <c r="BM495" s="52"/>
      <c r="BN495" s="52"/>
      <c r="BO495" s="52"/>
      <c r="BP495" s="52"/>
      <c r="BQ495" s="52"/>
    </row>
    <row r="496" spans="1:69" customForma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52"/>
      <c r="BB496" s="52"/>
      <c r="BC496" s="52"/>
      <c r="BD496" s="52"/>
      <c r="BE496" s="52"/>
      <c r="BF496" s="52"/>
      <c r="BG496" s="52"/>
      <c r="BH496" s="52"/>
      <c r="BI496" s="52"/>
      <c r="BJ496" s="52"/>
      <c r="BK496" s="52"/>
      <c r="BL496" s="52"/>
      <c r="BM496" s="52"/>
      <c r="BN496" s="52"/>
      <c r="BO496" s="52"/>
      <c r="BP496" s="52"/>
      <c r="BQ496" s="52"/>
    </row>
    <row r="497" spans="1:69" customForma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52"/>
      <c r="BB497" s="52"/>
      <c r="BC497" s="52"/>
      <c r="BD497" s="52"/>
      <c r="BE497" s="52"/>
      <c r="BF497" s="52"/>
      <c r="BG497" s="52"/>
      <c r="BH497" s="52"/>
      <c r="BI497" s="52"/>
      <c r="BJ497" s="52"/>
      <c r="BK497" s="52"/>
      <c r="BL497" s="52"/>
      <c r="BM497" s="52"/>
      <c r="BN497" s="52"/>
      <c r="BO497" s="52"/>
      <c r="BP497" s="52"/>
      <c r="BQ497" s="52"/>
    </row>
    <row r="498" spans="1:69" customForma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52"/>
      <c r="BB498" s="52"/>
      <c r="BC498" s="52"/>
      <c r="BD498" s="52"/>
      <c r="BE498" s="52"/>
      <c r="BF498" s="52"/>
      <c r="BG498" s="52"/>
      <c r="BH498" s="52"/>
      <c r="BI498" s="52"/>
      <c r="BJ498" s="52"/>
      <c r="BK498" s="52"/>
      <c r="BL498" s="52"/>
      <c r="BM498" s="52"/>
      <c r="BN498" s="52"/>
      <c r="BO498" s="52"/>
      <c r="BP498" s="52"/>
      <c r="BQ498" s="52"/>
    </row>
    <row r="499" spans="1:69" customForma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52"/>
      <c r="BB499" s="52"/>
      <c r="BC499" s="52"/>
      <c r="BD499" s="52"/>
      <c r="BE499" s="52"/>
      <c r="BF499" s="52"/>
      <c r="BG499" s="52"/>
      <c r="BH499" s="52"/>
      <c r="BI499" s="52"/>
      <c r="BJ499" s="52"/>
      <c r="BK499" s="52"/>
      <c r="BL499" s="52"/>
      <c r="BM499" s="52"/>
      <c r="BN499" s="52"/>
      <c r="BO499" s="52"/>
      <c r="BP499" s="52"/>
      <c r="BQ499" s="52"/>
    </row>
    <row r="500" spans="1:69" customForma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52"/>
      <c r="BB500" s="52"/>
      <c r="BC500" s="52"/>
      <c r="BD500" s="52"/>
      <c r="BE500" s="52"/>
      <c r="BF500" s="52"/>
      <c r="BG500" s="52"/>
      <c r="BH500" s="52"/>
      <c r="BI500" s="52"/>
      <c r="BJ500" s="52"/>
      <c r="BK500" s="52"/>
      <c r="BL500" s="52"/>
      <c r="BM500" s="52"/>
      <c r="BN500" s="52"/>
      <c r="BO500" s="52"/>
      <c r="BP500" s="52"/>
      <c r="BQ500" s="52"/>
    </row>
    <row r="501" spans="1:69" customFormat="1" ht="15" x14ac:dyDescent="0.2">
      <c r="A501" s="32">
        <f>_SPECIFICvarPubDate</f>
        <v>45848</v>
      </c>
      <c r="B501" s="11" t="str">
        <f>$A$1</f>
        <v>RANDOM LENGTHS LUMBER REPORT</v>
      </c>
      <c r="C501" s="12"/>
      <c r="D501" s="12"/>
      <c r="E501" s="12"/>
      <c r="F501" s="12"/>
      <c r="G501" s="33"/>
      <c r="H501" s="10" t="s">
        <v>341</v>
      </c>
      <c r="I501" s="2"/>
      <c r="J501" s="2"/>
      <c r="K501" s="2"/>
      <c r="L501" s="2"/>
      <c r="M501" s="2"/>
      <c r="N501" s="2"/>
      <c r="O501" s="2"/>
      <c r="P501" s="2"/>
      <c r="Q501" s="2"/>
      <c r="R501" s="2"/>
      <c r="S501" s="2"/>
      <c r="T501" s="2"/>
      <c r="U501" s="2"/>
      <c r="V501" s="2"/>
      <c r="W501" s="2"/>
      <c r="X501" s="2"/>
      <c r="Y501" s="2"/>
      <c r="Z501" s="2"/>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52"/>
      <c r="BB501" s="52"/>
      <c r="BC501" s="52"/>
      <c r="BD501" s="52"/>
      <c r="BE501" s="52"/>
      <c r="BF501" s="52"/>
      <c r="BG501" s="52"/>
      <c r="BH501" s="52"/>
      <c r="BI501" s="52"/>
      <c r="BJ501" s="52"/>
      <c r="BK501" s="52"/>
      <c r="BL501" s="52"/>
      <c r="BM501" s="52"/>
      <c r="BN501" s="52"/>
      <c r="BO501" s="52"/>
      <c r="BP501" s="52"/>
      <c r="BQ501" s="52"/>
    </row>
    <row r="502" spans="1:69" customFormat="1" ht="12.75" customHeight="1" x14ac:dyDescent="0.2">
      <c r="H502" s="3"/>
      <c r="I502" s="3"/>
      <c r="J502" s="3"/>
      <c r="K502" s="3"/>
      <c r="L502" s="3"/>
      <c r="M502" s="3"/>
      <c r="N502" s="3"/>
      <c r="O502" s="3"/>
      <c r="P502" s="2"/>
      <c r="Q502" s="2"/>
      <c r="R502" s="2"/>
      <c r="S502" s="2"/>
      <c r="T502" s="2"/>
      <c r="U502" s="2"/>
      <c r="V502" s="2"/>
      <c r="W502" s="2"/>
      <c r="X502" s="2"/>
      <c r="Y502" s="2"/>
      <c r="Z502" s="2"/>
      <c r="AJ502" s="3"/>
      <c r="AK502" s="3"/>
      <c r="AL502" s="3"/>
      <c r="AM502" s="3"/>
      <c r="AN502" s="3"/>
      <c r="AO502" s="3"/>
      <c r="AP502" s="3"/>
      <c r="AQ502" s="3"/>
      <c r="AR502" s="3"/>
      <c r="AS502" s="3"/>
      <c r="AT502" s="3"/>
      <c r="AU502" s="3"/>
      <c r="AV502" s="3"/>
      <c r="AW502" s="3"/>
      <c r="AX502" s="3"/>
      <c r="AY502" s="3"/>
      <c r="AZ502" s="3"/>
      <c r="BI502" s="52"/>
      <c r="BJ502" s="52"/>
      <c r="BK502" s="52"/>
      <c r="BL502" s="52"/>
      <c r="BM502" s="52"/>
      <c r="BN502" s="52"/>
      <c r="BO502" s="52"/>
      <c r="BP502" s="52"/>
      <c r="BQ502" s="52"/>
    </row>
    <row r="503" spans="1:69" customFormat="1" ht="15" customHeight="1" x14ac:dyDescent="0.2">
      <c r="F503" s="55" t="s">
        <v>342</v>
      </c>
      <c r="G503" s="55" t="s">
        <v>343</v>
      </c>
      <c r="H503" s="55" t="s">
        <v>344</v>
      </c>
      <c r="O503" s="3"/>
      <c r="P503" s="3"/>
      <c r="Q503" s="3"/>
      <c r="R503" s="3"/>
      <c r="S503" s="3"/>
      <c r="T503" s="3"/>
      <c r="U503" s="3"/>
      <c r="V503" s="3"/>
      <c r="W503" s="3"/>
      <c r="X503" s="3"/>
      <c r="Y503" s="3"/>
      <c r="Z503" s="3"/>
    </row>
    <row r="504" spans="1:69" customFormat="1" ht="15" customHeight="1" x14ac:dyDescent="0.2">
      <c r="A504" s="56" t="s">
        <v>345</v>
      </c>
      <c r="F504" s="63">
        <f t="array" ref="F504">_xll.GetPrice("FP-LBR-1185","Actual","Low",_SPECIFICvarPubDate)</f>
        <v>427</v>
      </c>
      <c r="G504" s="63" cm="1">
        <f t="array" ref="G504">_xll.GetPrice("FP-LBR-1185","Actual","Low",_SPECIFICvarPrvWk)</f>
        <v>422</v>
      </c>
      <c r="H504" s="63" cm="1">
        <f t="array" ref="H504">_xll.GetPrice("FP-LBR-1185","Actual","Low",_SPECIFICvarPrvYr)</f>
        <v>362</v>
      </c>
      <c r="O504" s="3"/>
      <c r="P504" s="3"/>
    </row>
    <row r="505" spans="1:69" customFormat="1" ht="15" customHeight="1" x14ac:dyDescent="0.2">
      <c r="A505" s="57" t="s">
        <v>346</v>
      </c>
      <c r="F505" s="7">
        <f t="array" ref="F505">_xll.GetPrice("FP-LBR-1186","Actual","Low",_SPECIFICvarPubDate)</f>
        <v>431</v>
      </c>
      <c r="G505" s="7">
        <f t="array" ref="G505">_xll.GetPrice("FP-LBR-1186","Actual","Low",_SPECIFICvarPrvWk)</f>
        <v>428</v>
      </c>
      <c r="H505" s="7" cm="1">
        <f t="array" ref="H505">_xll.GetPrice("FP-LBR-1186","Actual","Low",_SPECIFICvarPrvYr)</f>
        <v>368</v>
      </c>
      <c r="O505" s="3"/>
      <c r="P505" s="3"/>
    </row>
    <row r="506" spans="1:69" customFormat="1" ht="12.75" customHeight="1" x14ac:dyDescent="0.2">
      <c r="A506" s="57" t="s">
        <v>347</v>
      </c>
      <c r="F506" s="7">
        <f t="array" ref="F506">_xll.GetPrice("FP-LBR-1187","Actual","Low",_SPECIFICvarPubDate)</f>
        <v>443</v>
      </c>
      <c r="G506" s="7">
        <f t="array" ref="G506">_xll.GetPrice("FP-LBR-1187","Actual","Low",_SPECIFICvarPrvWk)</f>
        <v>439</v>
      </c>
      <c r="H506" s="7">
        <f t="array" ref="H506">_xll.GetPrice("FP-LBR-1187","Actual","Low",_SPECIFICvarPrvYr)</f>
        <v>356</v>
      </c>
      <c r="P506" s="3"/>
    </row>
    <row r="507" spans="1:69" customFormat="1" x14ac:dyDescent="0.2">
      <c r="A507" s="57" t="s">
        <v>348</v>
      </c>
      <c r="F507" s="7">
        <f t="array" ref="F507">_xll.GetPrice("FP-LBR-1188","Actual","Low",_SPECIFICvarPubDate)</f>
        <v>274</v>
      </c>
      <c r="G507" s="7">
        <f t="array" ref="G507">_xll.GetPrice("FP-LBR-1188","Actual","Low",_SPECIFICvarPrvWk)</f>
        <v>276</v>
      </c>
      <c r="H507" s="7">
        <f t="array" ref="H507">_xll.GetPrice("FP-LBR-1188","Actual","Low",_SPECIFICvarPrvYr)</f>
        <v>247</v>
      </c>
    </row>
    <row r="508" spans="1:69" customFormat="1" ht="12.75" customHeight="1" x14ac:dyDescent="0.2">
      <c r="A508" s="57" t="s">
        <v>349</v>
      </c>
      <c r="F508" s="7">
        <f t="array" ref="F508">_xll.GetPrice("FP-LBR-1189","Actual","Low",_SPECIFICvarPubDate)</f>
        <v>949</v>
      </c>
      <c r="G508" s="7">
        <f t="array" ref="G508">_xll.GetPrice("FP-LBR-1189","Actual","Low",_SPECIFICvarPrvWk)</f>
        <v>953</v>
      </c>
      <c r="H508" s="7">
        <f t="array" ref="H508">_xll.GetPrice("FP-LBR-1189","Actual","Low",_SPECIFICvarPrvYr)</f>
        <v>933</v>
      </c>
    </row>
    <row r="509" spans="1:69" customFormat="1" ht="13.5" customHeight="1" x14ac:dyDescent="0.2">
      <c r="A509" s="57" t="s">
        <v>350</v>
      </c>
      <c r="F509" s="7">
        <f t="array" ref="F509">_xll.GetPrice("FP-LBR-1190","Actual","Low",_SPECIFICvarPubDate)</f>
        <v>942</v>
      </c>
      <c r="G509" s="7">
        <f t="array" ref="G509">_xll.GetPrice("FP-LBR-1190","Actual","Low",_SPECIFICvarPrvWk)</f>
        <v>943</v>
      </c>
      <c r="H509" s="7" cm="1">
        <f t="array" ref="H509">_xll.GetPrice("FP-LBR-1190","Actual","Low",_SPECIFICvarPrvYr)</f>
        <v>1044</v>
      </c>
    </row>
    <row r="510" spans="1:69" customFormat="1" x14ac:dyDescent="0.2">
      <c r="A510" s="57" t="s">
        <v>351</v>
      </c>
      <c r="F510" s="7">
        <f t="array" ref="F510">_xll.GetPrice("FP-LBR-1191","Actual","Low",_SPECIFICvarPubDate)</f>
        <v>446</v>
      </c>
      <c r="G510" s="7">
        <f t="array" ref="G510">_xll.GetPrice("FP-LBR-1191","Actual","Low",_SPECIFICvarPrvWk)</f>
        <v>446</v>
      </c>
      <c r="H510" s="7">
        <f t="array" ref="H510">_xll.GetPrice("FP-LBR-1191","Actual","Low",_SPECIFICvarPrvYr)</f>
        <v>384</v>
      </c>
    </row>
    <row r="511" spans="1:69" customFormat="1" ht="12.75" customHeight="1" x14ac:dyDescent="0.2">
      <c r="A511" s="57" t="s">
        <v>352</v>
      </c>
      <c r="F511" s="7">
        <f t="array" ref="F511">_xll.GetPrice("FP-LBR-1192","Actual","Low",_SPECIFICvarPubDate)</f>
        <v>560</v>
      </c>
      <c r="G511" s="7">
        <f t="array" ref="G511">_xll.GetPrice("FP-LBR-1192","Actual","Low",_SPECIFICvarPrvWk)</f>
        <v>558</v>
      </c>
      <c r="H511" s="7">
        <f t="array" ref="H511">_xll.GetPrice("FP-LBR-1192","Actual","Low",_SPECIFICvarPrvYr)</f>
        <v>510</v>
      </c>
    </row>
    <row r="512" spans="1:69" customFormat="1" x14ac:dyDescent="0.2">
      <c r="A512" s="57" t="s">
        <v>353</v>
      </c>
      <c r="F512" s="7">
        <f t="array" ref="F512">_xll.GetPrice("FP-LBR-1193","Actual","Low",_SPECIFICvarPubDate)</f>
        <v>350</v>
      </c>
      <c r="G512" s="7">
        <f t="array" ref="G512">_xll.GetPrice("FP-LBR-1193","Actual","Low",_SPECIFICvarPrvWk)</f>
        <v>350</v>
      </c>
      <c r="H512" s="7">
        <f t="array" ref="H512">_xll.GetPrice("FP-LBR-1193","Actual","Low",_SPECIFICvarPrvYr)</f>
        <v>330</v>
      </c>
    </row>
    <row r="513" spans="1:16" customFormat="1" x14ac:dyDescent="0.2">
      <c r="A513" s="57" t="s">
        <v>354</v>
      </c>
      <c r="F513" s="7">
        <f t="array" ref="F513">_xll.GetPrice("FP-LBR-1194","Actual","Low",_SPECIFICvarPubDate)</f>
        <v>439</v>
      </c>
      <c r="G513" s="7">
        <f t="array" ref="G513">_xll.GetPrice("FP-LBR-1194","Actual","Low",_SPECIFICvarPrvWk)</f>
        <v>434</v>
      </c>
      <c r="H513" s="7">
        <f t="array" ref="H513">_xll.GetPrice("FP-LBR-1194","Actual","Low",_SPECIFICvarPrvYr)</f>
        <v>345</v>
      </c>
    </row>
    <row r="514" spans="1:16" customFormat="1" x14ac:dyDescent="0.2">
      <c r="A514" s="57" t="s">
        <v>355</v>
      </c>
      <c r="F514" s="7">
        <f t="array" ref="F514">_xll.GetPrice("FP-LBR-1195","Actual","Low",_SPECIFICvarPubDate)</f>
        <v>532</v>
      </c>
      <c r="G514" s="7">
        <f t="array" ref="G514">_xll.GetPrice("FP-LBR-1195","Actual","Low",_SPECIFICvarPrvWk)</f>
        <v>525</v>
      </c>
      <c r="H514" s="7">
        <f t="array" ref="H514">_xll.GetPrice("FP-LBR-1195","Actual","Low",_SPECIFICvarPrvYr)</f>
        <v>433</v>
      </c>
    </row>
    <row r="515" spans="1:16" customFormat="1" x14ac:dyDescent="0.2">
      <c r="A515" s="57" t="s">
        <v>356</v>
      </c>
      <c r="F515" s="7">
        <f t="array" ref="F515">_xll.GetPrice("FP-LBR-1196","Actual","Low",_SPECIFICvarPubDate)</f>
        <v>487</v>
      </c>
      <c r="G515" s="7">
        <f t="array" ref="G515">_xll.GetPrice("FP-LBR-1196","Actual","Low",_SPECIFICvarPrvWk)</f>
        <v>493</v>
      </c>
      <c r="H515" s="7">
        <f t="array" ref="H515">_xll.GetPrice("FP-LBR-1196","Actual","Low",_SPECIFICvarPrvYr)</f>
        <v>441</v>
      </c>
    </row>
    <row r="516" spans="1:16" customFormat="1" x14ac:dyDescent="0.2"/>
    <row r="517" spans="1:16" customFormat="1" x14ac:dyDescent="0.2"/>
    <row r="518" spans="1:16" customFormat="1" ht="13.5" customHeight="1" x14ac:dyDescent="0.2"/>
    <row r="519" spans="1:16" customFormat="1" x14ac:dyDescent="0.2"/>
    <row r="520" spans="1:16" customFormat="1" x14ac:dyDescent="0.2"/>
    <row r="521" spans="1:16" customFormat="1" x14ac:dyDescent="0.2"/>
    <row r="522" spans="1:16" customFormat="1" x14ac:dyDescent="0.2"/>
    <row r="523" spans="1:16" customFormat="1" x14ac:dyDescent="0.2"/>
    <row r="524" spans="1:16" customFormat="1" x14ac:dyDescent="0.2"/>
    <row r="525" spans="1:16" customFormat="1" x14ac:dyDescent="0.2"/>
    <row r="526" spans="1:16" customFormat="1" x14ac:dyDescent="0.2"/>
    <row r="527" spans="1:16" customFormat="1" x14ac:dyDescent="0.2">
      <c r="O527" s="54"/>
    </row>
    <row r="528" spans="1:16" customFormat="1" x14ac:dyDescent="0.2">
      <c r="O528" s="54"/>
      <c r="P528" s="54"/>
    </row>
    <row r="529" spans="15:16" customFormat="1" x14ac:dyDescent="0.2">
      <c r="O529" s="3"/>
      <c r="P529" s="54"/>
    </row>
    <row r="530" spans="15:16" customFormat="1" x14ac:dyDescent="0.2">
      <c r="O530" s="3"/>
      <c r="P530" s="3"/>
    </row>
    <row r="531" spans="15:16" customFormat="1" x14ac:dyDescent="0.2">
      <c r="O531" s="3"/>
      <c r="P531" s="3"/>
    </row>
    <row r="532" spans="15:16" customFormat="1" x14ac:dyDescent="0.2">
      <c r="O532" s="3"/>
      <c r="P532" s="3"/>
    </row>
    <row r="533" spans="15:16" customFormat="1" x14ac:dyDescent="0.2">
      <c r="O533" s="3"/>
      <c r="P533" s="3"/>
    </row>
    <row r="534" spans="15:16" customFormat="1" x14ac:dyDescent="0.2">
      <c r="O534" s="3"/>
      <c r="P534" s="3"/>
    </row>
    <row r="535" spans="15:16" customFormat="1" x14ac:dyDescent="0.2">
      <c r="O535" s="3"/>
      <c r="P535" s="3"/>
    </row>
    <row r="536" spans="15:16" customFormat="1" x14ac:dyDescent="0.2">
      <c r="O536" s="3"/>
      <c r="P536" s="3"/>
    </row>
    <row r="537" spans="15:16" customFormat="1" x14ac:dyDescent="0.2">
      <c r="O537" s="3"/>
      <c r="P537" s="3"/>
    </row>
    <row r="538" spans="15:16" customFormat="1" x14ac:dyDescent="0.2">
      <c r="O538" s="3"/>
      <c r="P538" s="3"/>
    </row>
    <row r="539" spans="15:16" customFormat="1" x14ac:dyDescent="0.2">
      <c r="O539" s="3"/>
      <c r="P539" s="3"/>
    </row>
    <row r="540" spans="15:16" customFormat="1" x14ac:dyDescent="0.2">
      <c r="O540" s="3"/>
      <c r="P540" s="3"/>
    </row>
    <row r="541" spans="15:16" customFormat="1" x14ac:dyDescent="0.2">
      <c r="O541" s="3"/>
      <c r="P541" s="3"/>
    </row>
    <row r="542" spans="15:16" customFormat="1" x14ac:dyDescent="0.2">
      <c r="O542" s="3"/>
      <c r="P542" s="3"/>
    </row>
    <row r="543" spans="15:16" customFormat="1" x14ac:dyDescent="0.2">
      <c r="O543" s="3"/>
      <c r="P543" s="3"/>
    </row>
    <row r="544" spans="15:16" customFormat="1" x14ac:dyDescent="0.2">
      <c r="O544" s="3"/>
      <c r="P544" s="3"/>
    </row>
    <row r="545" spans="15:16" customFormat="1" x14ac:dyDescent="0.2">
      <c r="O545" s="3"/>
      <c r="P545" s="3"/>
    </row>
    <row r="546" spans="15:16" customFormat="1" x14ac:dyDescent="0.2">
      <c r="O546" s="3"/>
      <c r="P546" s="3"/>
    </row>
    <row r="547" spans="15:16" customFormat="1" x14ac:dyDescent="0.2">
      <c r="O547" s="3"/>
      <c r="P547" s="3"/>
    </row>
    <row r="548" spans="15:16" customFormat="1" x14ac:dyDescent="0.2">
      <c r="O548" s="3"/>
      <c r="P548" s="3"/>
    </row>
    <row r="549" spans="15:16" customFormat="1" x14ac:dyDescent="0.2">
      <c r="O549" s="3"/>
      <c r="P549" s="3"/>
    </row>
    <row r="550" spans="15:16" customFormat="1" x14ac:dyDescent="0.2">
      <c r="O550" s="3"/>
      <c r="P550" s="3"/>
    </row>
    <row r="551" spans="15:16" customFormat="1" x14ac:dyDescent="0.2">
      <c r="O551" s="3"/>
      <c r="P551" s="3"/>
    </row>
    <row r="552" spans="15:16" customFormat="1" x14ac:dyDescent="0.2">
      <c r="O552" s="3"/>
      <c r="P552" s="3"/>
    </row>
    <row r="553" spans="15:16" customFormat="1" x14ac:dyDescent="0.2">
      <c r="O553" s="3"/>
      <c r="P553" s="3"/>
    </row>
    <row r="554" spans="15:16" customFormat="1" x14ac:dyDescent="0.2">
      <c r="O554" s="3"/>
      <c r="P554" s="3"/>
    </row>
    <row r="555" spans="15:16" customFormat="1" x14ac:dyDescent="0.2">
      <c r="O555" s="3"/>
      <c r="P555" s="3"/>
    </row>
    <row r="556" spans="15:16" customFormat="1" x14ac:dyDescent="0.2">
      <c r="O556" s="3"/>
      <c r="P556" s="3"/>
    </row>
    <row r="557" spans="15:16" customFormat="1" x14ac:dyDescent="0.2">
      <c r="O557" s="3"/>
      <c r="P557" s="3"/>
    </row>
    <row r="558" spans="15:16" customFormat="1" x14ac:dyDescent="0.2">
      <c r="O558" s="3"/>
      <c r="P558" s="3"/>
    </row>
    <row r="559" spans="15:16" customFormat="1" x14ac:dyDescent="0.2">
      <c r="O559" s="3"/>
      <c r="P559" s="3"/>
    </row>
    <row r="560" spans="15:16" customFormat="1" x14ac:dyDescent="0.2">
      <c r="O560" s="3"/>
      <c r="P560" s="3"/>
    </row>
    <row r="561" spans="15:16" customFormat="1" x14ac:dyDescent="0.2">
      <c r="O561" s="3"/>
      <c r="P561" s="3"/>
    </row>
    <row r="562" spans="15:16" customFormat="1" x14ac:dyDescent="0.2">
      <c r="O562" s="3"/>
      <c r="P562" s="3"/>
    </row>
    <row r="563" spans="15:16" customFormat="1" x14ac:dyDescent="0.2">
      <c r="O563" s="3"/>
      <c r="P563" s="3"/>
    </row>
    <row r="564" spans="15:16" customFormat="1" x14ac:dyDescent="0.2">
      <c r="O564" s="3"/>
      <c r="P564" s="3"/>
    </row>
    <row r="565" spans="15:16" customFormat="1" x14ac:dyDescent="0.2">
      <c r="O565" s="3"/>
      <c r="P565" s="3"/>
    </row>
    <row r="566" spans="15:16" customFormat="1" x14ac:dyDescent="0.2">
      <c r="O566" s="3"/>
      <c r="P566" s="3"/>
    </row>
    <row r="567" spans="15:16" customFormat="1" x14ac:dyDescent="0.2">
      <c r="O567" s="3"/>
      <c r="P567" s="3"/>
    </row>
    <row r="568" spans="15:16" customFormat="1" x14ac:dyDescent="0.2">
      <c r="O568" s="3"/>
      <c r="P568" s="3"/>
    </row>
    <row r="569" spans="15:16" customFormat="1" x14ac:dyDescent="0.2">
      <c r="O569" s="3"/>
      <c r="P569" s="3"/>
    </row>
    <row r="570" spans="15:16" customFormat="1" x14ac:dyDescent="0.2">
      <c r="O570" s="3"/>
      <c r="P570" s="3"/>
    </row>
    <row r="571" spans="15:16" customFormat="1" x14ac:dyDescent="0.2">
      <c r="O571" s="3"/>
      <c r="P571" s="3"/>
    </row>
    <row r="572" spans="15:16" customFormat="1" x14ac:dyDescent="0.2">
      <c r="O572" s="3"/>
      <c r="P572" s="3"/>
    </row>
    <row r="573" spans="15:16" customFormat="1" x14ac:dyDescent="0.2">
      <c r="O573" s="3"/>
      <c r="P573" s="3"/>
    </row>
    <row r="574" spans="15:16" customFormat="1" x14ac:dyDescent="0.2">
      <c r="O574" s="3"/>
      <c r="P574" s="3"/>
    </row>
    <row r="575" spans="15:16" customFormat="1" x14ac:dyDescent="0.2">
      <c r="O575" s="3"/>
      <c r="P575" s="3"/>
    </row>
    <row r="576" spans="15:16" customFormat="1" x14ac:dyDescent="0.2">
      <c r="O576" s="3"/>
      <c r="P576" s="3"/>
    </row>
    <row r="577" spans="15:16" customFormat="1" x14ac:dyDescent="0.2">
      <c r="O577" s="3"/>
      <c r="P577" s="3"/>
    </row>
    <row r="578" spans="15:16" customFormat="1" x14ac:dyDescent="0.2">
      <c r="O578" s="3"/>
      <c r="P578" s="3"/>
    </row>
    <row r="579" spans="15:16" customFormat="1" x14ac:dyDescent="0.2">
      <c r="O579" s="3"/>
      <c r="P579" s="3"/>
    </row>
    <row r="580" spans="15:16" customFormat="1" x14ac:dyDescent="0.2">
      <c r="O580" s="3"/>
      <c r="P580" s="3"/>
    </row>
    <row r="581" spans="15:16" customFormat="1" x14ac:dyDescent="0.2">
      <c r="O581" s="3"/>
    </row>
    <row r="582" spans="15:16" customFormat="1" x14ac:dyDescent="0.2">
      <c r="O582" s="3"/>
    </row>
    <row r="583" spans="15:16" customFormat="1" x14ac:dyDescent="0.2">
      <c r="O583" s="3"/>
    </row>
    <row r="584" spans="15:16" customFormat="1" x14ac:dyDescent="0.2">
      <c r="O584" s="3"/>
    </row>
    <row r="585" spans="15:16" customFormat="1" x14ac:dyDescent="0.2">
      <c r="O585" s="3"/>
    </row>
    <row r="586" spans="15:16" customFormat="1" x14ac:dyDescent="0.2">
      <c r="O586" s="3"/>
      <c r="P586" s="3"/>
    </row>
    <row r="587" spans="15:16" customFormat="1" x14ac:dyDescent="0.2">
      <c r="O587" s="3"/>
      <c r="P587" s="3"/>
    </row>
    <row r="588" spans="15:16" customFormat="1" x14ac:dyDescent="0.2">
      <c r="O588" s="3"/>
      <c r="P588" s="3"/>
    </row>
    <row r="589" spans="15:16" customFormat="1" x14ac:dyDescent="0.2">
      <c r="O589" s="3"/>
      <c r="P589" s="3"/>
    </row>
    <row r="590" spans="15:16" customFormat="1" x14ac:dyDescent="0.2">
      <c r="O590" s="3"/>
      <c r="P590" s="3"/>
    </row>
    <row r="591" spans="15:16" customFormat="1" x14ac:dyDescent="0.2">
      <c r="O591" s="3"/>
      <c r="P591" s="3"/>
    </row>
    <row r="592" spans="15:16" customFormat="1" x14ac:dyDescent="0.2">
      <c r="O592" s="3"/>
      <c r="P592" s="3"/>
    </row>
    <row r="593" spans="1:60" customFormat="1" x14ac:dyDescent="0.2">
      <c r="O593" s="3"/>
      <c r="P593" s="3"/>
    </row>
    <row r="594" spans="1:60" customFormat="1" x14ac:dyDescent="0.2">
      <c r="O594" s="3"/>
      <c r="P594" s="3"/>
    </row>
    <row r="595" spans="1:60" customFormat="1" x14ac:dyDescent="0.2">
      <c r="O595" s="3"/>
      <c r="P595" s="3"/>
    </row>
    <row r="596" spans="1:60" customFormat="1" x14ac:dyDescent="0.2">
      <c r="O596" s="3"/>
      <c r="P596" s="3"/>
    </row>
    <row r="597" spans="1:60" customFormat="1" x14ac:dyDescent="0.2">
      <c r="O597" s="3"/>
      <c r="P597" s="3"/>
    </row>
    <row r="598" spans="1:60" customFormat="1" x14ac:dyDescent="0.2">
      <c r="O598" s="3"/>
      <c r="P598" s="3"/>
    </row>
    <row r="599" spans="1:60" customFormat="1" x14ac:dyDescent="0.2">
      <c r="O599" s="3"/>
      <c r="P599" s="3"/>
    </row>
    <row r="600" spans="1:60" customFormat="1" x14ac:dyDescent="0.2">
      <c r="O600" s="3"/>
      <c r="P600" s="3"/>
    </row>
    <row r="601" spans="1:60" customFormat="1" x14ac:dyDescent="0.2">
      <c r="O601" s="3"/>
      <c r="P601" s="3"/>
    </row>
    <row r="602" spans="1:60" customFormat="1" x14ac:dyDescent="0.2">
      <c r="O602" s="3"/>
      <c r="P602" s="3"/>
      <c r="BA602" s="3"/>
      <c r="BB602" s="3"/>
      <c r="BC602" s="3"/>
      <c r="BD602" s="3"/>
      <c r="BE602" s="3"/>
      <c r="BF602" s="3"/>
      <c r="BG602" s="3"/>
      <c r="BH602" s="3"/>
    </row>
    <row r="603" spans="1:60" x14ac:dyDescent="0.2">
      <c r="A603"/>
      <c r="B603"/>
      <c r="C603"/>
      <c r="D603"/>
      <c r="E603"/>
      <c r="F603"/>
      <c r="G603"/>
      <c r="H603"/>
      <c r="I603"/>
      <c r="J603"/>
      <c r="K603"/>
      <c r="L603"/>
      <c r="M603"/>
      <c r="N603"/>
      <c r="X603"/>
      <c r="Y603"/>
      <c r="Z603"/>
      <c r="AA603"/>
      <c r="AB603"/>
      <c r="AC603"/>
      <c r="AD603"/>
      <c r="AE603"/>
      <c r="AF603"/>
      <c r="AG603"/>
      <c r="AH603"/>
      <c r="AI603"/>
      <c r="AJ603"/>
    </row>
    <row r="604" spans="1:60" x14ac:dyDescent="0.2">
      <c r="A604"/>
      <c r="B604"/>
      <c r="C604"/>
      <c r="D604"/>
      <c r="E604"/>
      <c r="F604"/>
      <c r="G604"/>
      <c r="H604"/>
      <c r="I604"/>
      <c r="J604"/>
      <c r="K604"/>
      <c r="L604"/>
      <c r="M604"/>
      <c r="N604"/>
      <c r="X604"/>
      <c r="Y604"/>
      <c r="Z604"/>
      <c r="AA604"/>
      <c r="AB604"/>
      <c r="AC604"/>
      <c r="AD604"/>
      <c r="AE604"/>
      <c r="AF604"/>
      <c r="AG604"/>
      <c r="AH604"/>
      <c r="AI604"/>
      <c r="AJ604"/>
    </row>
    <row r="605" spans="1:60" x14ac:dyDescent="0.2">
      <c r="A605"/>
      <c r="B605"/>
      <c r="C605"/>
      <c r="D605"/>
      <c r="E605"/>
      <c r="F605"/>
      <c r="G605"/>
      <c r="H605"/>
      <c r="I605"/>
      <c r="J605"/>
      <c r="K605"/>
      <c r="L605"/>
      <c r="M605"/>
      <c r="N605"/>
      <c r="X605"/>
      <c r="Y605"/>
      <c r="Z605"/>
      <c r="AA605"/>
      <c r="AB605"/>
      <c r="AC605"/>
      <c r="AD605"/>
      <c r="AE605"/>
      <c r="AF605"/>
      <c r="AG605"/>
      <c r="AH605"/>
      <c r="AI605"/>
      <c r="AJ605"/>
    </row>
    <row r="606" spans="1:60" x14ac:dyDescent="0.2">
      <c r="A606"/>
      <c r="B606"/>
      <c r="C606"/>
      <c r="D606"/>
      <c r="E606"/>
      <c r="F606"/>
      <c r="G606"/>
      <c r="H606"/>
      <c r="I606"/>
      <c r="J606"/>
      <c r="K606"/>
      <c r="L606"/>
      <c r="M606"/>
      <c r="N606"/>
      <c r="X606"/>
      <c r="Y606"/>
      <c r="Z606"/>
      <c r="AA606"/>
      <c r="AB606"/>
      <c r="AC606"/>
      <c r="AD606"/>
      <c r="AE606"/>
      <c r="AF606"/>
      <c r="AG606"/>
      <c r="AH606"/>
      <c r="AI606"/>
      <c r="AJ606"/>
    </row>
    <row r="607" spans="1:60" x14ac:dyDescent="0.2">
      <c r="A607"/>
      <c r="B607"/>
      <c r="C607"/>
      <c r="D607"/>
      <c r="E607"/>
      <c r="F607"/>
      <c r="G607"/>
      <c r="H607"/>
      <c r="I607"/>
      <c r="J607"/>
      <c r="K607"/>
      <c r="L607"/>
      <c r="M607"/>
      <c r="N607"/>
      <c r="X607"/>
      <c r="Y607"/>
      <c r="Z607"/>
      <c r="AA607"/>
      <c r="AB607"/>
      <c r="AC607"/>
      <c r="AD607"/>
      <c r="AE607"/>
      <c r="AF607"/>
      <c r="AG607"/>
      <c r="AH607"/>
      <c r="AI607"/>
      <c r="AJ607"/>
    </row>
    <row r="608" spans="1:60" x14ac:dyDescent="0.2">
      <c r="A608"/>
      <c r="B608"/>
      <c r="C608"/>
      <c r="D608"/>
      <c r="E608"/>
      <c r="F608"/>
      <c r="G608"/>
      <c r="H608"/>
      <c r="I608"/>
      <c r="J608"/>
      <c r="K608"/>
      <c r="L608"/>
      <c r="M608"/>
      <c r="N608"/>
      <c r="X608"/>
      <c r="Y608"/>
      <c r="Z608"/>
      <c r="AA608"/>
      <c r="AB608"/>
      <c r="AC608"/>
      <c r="AD608"/>
      <c r="AE608"/>
      <c r="AF608"/>
      <c r="AG608"/>
      <c r="AH608"/>
      <c r="AI608"/>
      <c r="AJ608"/>
    </row>
    <row r="609" spans="1:36" x14ac:dyDescent="0.2">
      <c r="A609"/>
      <c r="B609"/>
      <c r="C609"/>
      <c r="D609"/>
      <c r="E609"/>
      <c r="F609"/>
      <c r="G609"/>
      <c r="H609"/>
      <c r="I609"/>
      <c r="J609"/>
      <c r="K609"/>
      <c r="L609"/>
      <c r="M609"/>
      <c r="N609"/>
      <c r="X609"/>
      <c r="Y609"/>
      <c r="Z609"/>
      <c r="AA609"/>
      <c r="AB609"/>
      <c r="AC609"/>
      <c r="AD609"/>
      <c r="AE609"/>
      <c r="AF609"/>
      <c r="AG609"/>
      <c r="AH609"/>
      <c r="AI609"/>
      <c r="AJ609"/>
    </row>
    <row r="610" spans="1:36" x14ac:dyDescent="0.2">
      <c r="A610"/>
      <c r="B610"/>
      <c r="C610"/>
      <c r="D610"/>
      <c r="E610"/>
      <c r="F610"/>
      <c r="G610"/>
      <c r="H610"/>
      <c r="I610"/>
      <c r="J610"/>
      <c r="K610"/>
      <c r="L610"/>
      <c r="M610"/>
      <c r="N610"/>
      <c r="X610"/>
      <c r="Y610"/>
      <c r="Z610"/>
      <c r="AA610"/>
      <c r="AB610"/>
      <c r="AC610"/>
      <c r="AD610"/>
      <c r="AE610"/>
      <c r="AF610"/>
      <c r="AG610"/>
      <c r="AH610"/>
      <c r="AI610"/>
      <c r="AJ610"/>
    </row>
    <row r="611" spans="1:36" x14ac:dyDescent="0.2">
      <c r="A611"/>
      <c r="B611"/>
      <c r="C611"/>
      <c r="D611"/>
      <c r="E611"/>
      <c r="F611"/>
      <c r="G611"/>
      <c r="H611"/>
      <c r="I611"/>
      <c r="J611"/>
      <c r="K611"/>
      <c r="L611"/>
      <c r="M611"/>
      <c r="N611"/>
      <c r="X611"/>
      <c r="Y611"/>
      <c r="Z611"/>
      <c r="AA611"/>
      <c r="AB611"/>
      <c r="AC611"/>
      <c r="AD611"/>
      <c r="AE611"/>
      <c r="AF611"/>
      <c r="AG611"/>
      <c r="AH611"/>
      <c r="AI611"/>
      <c r="AJ611"/>
    </row>
    <row r="612" spans="1:36" x14ac:dyDescent="0.2">
      <c r="A612"/>
      <c r="B612"/>
      <c r="C612"/>
      <c r="D612"/>
      <c r="E612"/>
      <c r="F612"/>
      <c r="G612"/>
      <c r="H612"/>
      <c r="I612"/>
      <c r="J612"/>
      <c r="K612"/>
      <c r="L612"/>
      <c r="M612"/>
      <c r="N612"/>
      <c r="X612"/>
      <c r="Y612"/>
      <c r="Z612"/>
      <c r="AA612"/>
      <c r="AB612"/>
      <c r="AC612"/>
      <c r="AD612"/>
      <c r="AE612"/>
      <c r="AF612"/>
      <c r="AG612"/>
      <c r="AH612"/>
      <c r="AI612"/>
      <c r="AJ612"/>
    </row>
    <row r="613" spans="1:36" x14ac:dyDescent="0.2">
      <c r="A613"/>
      <c r="B613"/>
      <c r="C613"/>
      <c r="D613"/>
      <c r="E613"/>
      <c r="F613"/>
      <c r="G613"/>
      <c r="H613"/>
      <c r="I613"/>
      <c r="J613"/>
      <c r="K613"/>
      <c r="L613"/>
      <c r="M613"/>
      <c r="N613"/>
      <c r="X613"/>
      <c r="Y613"/>
      <c r="Z613"/>
      <c r="AA613"/>
      <c r="AB613"/>
      <c r="AC613"/>
      <c r="AD613"/>
      <c r="AE613"/>
      <c r="AF613"/>
      <c r="AG613"/>
      <c r="AH613"/>
      <c r="AI613"/>
      <c r="AJ613"/>
    </row>
    <row r="614" spans="1:36" x14ac:dyDescent="0.2">
      <c r="A614"/>
      <c r="B614"/>
      <c r="C614"/>
      <c r="D614"/>
      <c r="E614"/>
      <c r="F614"/>
      <c r="G614"/>
      <c r="H614"/>
      <c r="I614"/>
      <c r="J614"/>
      <c r="K614"/>
      <c r="L614"/>
      <c r="M614"/>
      <c r="N614"/>
      <c r="X614"/>
      <c r="Y614"/>
      <c r="Z614"/>
      <c r="AA614"/>
      <c r="AB614"/>
      <c r="AC614"/>
      <c r="AD614"/>
      <c r="AE614"/>
      <c r="AF614"/>
      <c r="AG614"/>
      <c r="AH614"/>
      <c r="AI614"/>
      <c r="AJ614"/>
    </row>
    <row r="615" spans="1:36" x14ac:dyDescent="0.2">
      <c r="A615"/>
      <c r="B615"/>
      <c r="C615"/>
      <c r="D615"/>
      <c r="E615"/>
      <c r="F615"/>
      <c r="G615"/>
      <c r="H615"/>
      <c r="I615"/>
      <c r="J615"/>
      <c r="K615"/>
      <c r="L615"/>
      <c r="M615"/>
      <c r="N615"/>
      <c r="X615"/>
      <c r="Y615"/>
      <c r="Z615"/>
      <c r="AA615"/>
      <c r="AB615"/>
      <c r="AC615"/>
      <c r="AD615"/>
      <c r="AE615"/>
      <c r="AF615"/>
      <c r="AG615"/>
      <c r="AH615"/>
      <c r="AI615"/>
      <c r="AJ615"/>
    </row>
    <row r="616" spans="1:36" x14ac:dyDescent="0.2">
      <c r="A616"/>
      <c r="B616"/>
      <c r="C616"/>
      <c r="D616"/>
      <c r="E616"/>
      <c r="F616"/>
      <c r="G616"/>
      <c r="H616"/>
      <c r="I616"/>
      <c r="J616"/>
      <c r="K616"/>
      <c r="L616"/>
      <c r="M616"/>
      <c r="N616"/>
      <c r="X616"/>
      <c r="Y616"/>
      <c r="Z616"/>
      <c r="AA616"/>
      <c r="AB616"/>
      <c r="AC616"/>
      <c r="AD616"/>
      <c r="AE616"/>
      <c r="AF616"/>
      <c r="AG616"/>
      <c r="AH616"/>
      <c r="AI616"/>
      <c r="AJ616"/>
    </row>
    <row r="617" spans="1:36" x14ac:dyDescent="0.2">
      <c r="A617"/>
      <c r="B617"/>
      <c r="C617"/>
      <c r="D617"/>
      <c r="E617"/>
      <c r="F617"/>
      <c r="G617"/>
      <c r="H617"/>
      <c r="I617"/>
      <c r="J617"/>
      <c r="K617"/>
      <c r="L617"/>
      <c r="M617"/>
      <c r="N617"/>
      <c r="X617"/>
      <c r="Y617"/>
      <c r="Z617"/>
      <c r="AA617"/>
      <c r="AB617"/>
      <c r="AC617"/>
      <c r="AD617"/>
      <c r="AE617"/>
      <c r="AF617"/>
      <c r="AG617"/>
      <c r="AH617"/>
      <c r="AI617"/>
      <c r="AJ617"/>
    </row>
    <row r="618" spans="1:36" x14ac:dyDescent="0.2">
      <c r="A618"/>
      <c r="B618"/>
      <c r="C618"/>
      <c r="D618"/>
      <c r="E618"/>
      <c r="F618"/>
      <c r="G618"/>
      <c r="H618"/>
      <c r="I618"/>
      <c r="J618"/>
      <c r="K618"/>
      <c r="L618"/>
      <c r="M618"/>
      <c r="N618"/>
      <c r="X618"/>
      <c r="Y618"/>
      <c r="Z618"/>
      <c r="AA618"/>
      <c r="AB618"/>
      <c r="AC618"/>
      <c r="AD618"/>
      <c r="AE618"/>
      <c r="AF618"/>
      <c r="AG618"/>
      <c r="AH618"/>
      <c r="AI618"/>
      <c r="AJ618"/>
    </row>
    <row r="619" spans="1:36" x14ac:dyDescent="0.2">
      <c r="A619"/>
      <c r="B619"/>
      <c r="C619"/>
      <c r="D619"/>
      <c r="E619"/>
      <c r="F619"/>
      <c r="G619"/>
      <c r="H619"/>
      <c r="I619"/>
      <c r="J619"/>
      <c r="K619"/>
      <c r="L619"/>
      <c r="M619"/>
      <c r="N619"/>
      <c r="X619"/>
      <c r="Y619"/>
      <c r="Z619"/>
      <c r="AA619"/>
      <c r="AB619"/>
      <c r="AC619"/>
      <c r="AD619"/>
      <c r="AE619"/>
      <c r="AF619"/>
      <c r="AG619"/>
      <c r="AH619"/>
      <c r="AI619"/>
      <c r="AJ619"/>
    </row>
    <row r="620" spans="1:36" x14ac:dyDescent="0.2">
      <c r="A620"/>
      <c r="B620"/>
      <c r="C620"/>
      <c r="D620"/>
      <c r="E620"/>
      <c r="F620"/>
      <c r="G620"/>
      <c r="H620"/>
      <c r="I620"/>
      <c r="J620"/>
      <c r="K620"/>
      <c r="L620"/>
      <c r="M620"/>
      <c r="N620"/>
      <c r="X620"/>
      <c r="Y620"/>
      <c r="Z620"/>
      <c r="AA620"/>
      <c r="AB620"/>
      <c r="AC620"/>
      <c r="AD620"/>
      <c r="AE620"/>
      <c r="AF620"/>
      <c r="AG620"/>
      <c r="AH620"/>
      <c r="AI620"/>
      <c r="AJ620"/>
    </row>
    <row r="621" spans="1:36" x14ac:dyDescent="0.2">
      <c r="A621"/>
      <c r="B621"/>
      <c r="C621"/>
      <c r="D621"/>
      <c r="E621"/>
      <c r="F621"/>
      <c r="G621"/>
      <c r="H621"/>
      <c r="I621"/>
      <c r="J621"/>
      <c r="K621"/>
      <c r="L621"/>
      <c r="M621"/>
      <c r="N621"/>
      <c r="X621"/>
      <c r="Y621"/>
      <c r="Z621"/>
      <c r="AA621"/>
      <c r="AB621"/>
      <c r="AC621"/>
      <c r="AD621"/>
      <c r="AE621"/>
      <c r="AF621"/>
      <c r="AG621"/>
      <c r="AH621"/>
      <c r="AI621"/>
      <c r="AJ621"/>
    </row>
    <row r="622" spans="1:36" x14ac:dyDescent="0.2">
      <c r="A622"/>
      <c r="B622"/>
      <c r="C622"/>
      <c r="D622"/>
      <c r="E622"/>
      <c r="F622"/>
      <c r="G622"/>
      <c r="H622"/>
      <c r="I622"/>
      <c r="J622"/>
      <c r="K622"/>
      <c r="L622"/>
      <c r="M622"/>
      <c r="N622"/>
      <c r="X622"/>
      <c r="Y622"/>
      <c r="Z622"/>
      <c r="AA622"/>
      <c r="AB622"/>
      <c r="AC622"/>
      <c r="AD622"/>
      <c r="AE622"/>
      <c r="AF622"/>
      <c r="AG622"/>
      <c r="AH622"/>
      <c r="AI622"/>
      <c r="AJ622"/>
    </row>
    <row r="623" spans="1:36" x14ac:dyDescent="0.2">
      <c r="A623"/>
      <c r="B623"/>
      <c r="C623"/>
      <c r="D623"/>
      <c r="E623"/>
      <c r="F623"/>
      <c r="G623"/>
      <c r="H623"/>
      <c r="I623"/>
      <c r="J623"/>
      <c r="K623"/>
      <c r="L623"/>
      <c r="M623"/>
      <c r="N623"/>
      <c r="X623"/>
      <c r="Y623"/>
      <c r="Z623"/>
      <c r="AA623"/>
      <c r="AB623"/>
      <c r="AC623"/>
      <c r="AD623"/>
      <c r="AE623"/>
      <c r="AF623"/>
      <c r="AG623"/>
      <c r="AH623"/>
      <c r="AI623"/>
      <c r="AJ623"/>
    </row>
    <row r="624" spans="1:36" x14ac:dyDescent="0.2">
      <c r="A624"/>
      <c r="B624"/>
      <c r="C624"/>
      <c r="D624"/>
      <c r="E624"/>
      <c r="F624"/>
      <c r="G624"/>
      <c r="H624"/>
      <c r="I624"/>
      <c r="J624"/>
      <c r="K624"/>
      <c r="L624"/>
      <c r="M624"/>
      <c r="N624"/>
      <c r="X624"/>
      <c r="Y624"/>
      <c r="Z624"/>
      <c r="AA624"/>
      <c r="AB624"/>
      <c r="AC624"/>
      <c r="AD624"/>
      <c r="AE624"/>
      <c r="AF624"/>
      <c r="AG624"/>
      <c r="AH624"/>
      <c r="AI624"/>
      <c r="AJ624"/>
    </row>
    <row r="625" spans="1:36" x14ac:dyDescent="0.2">
      <c r="A625"/>
      <c r="B625"/>
      <c r="C625"/>
      <c r="D625"/>
      <c r="E625"/>
      <c r="F625"/>
      <c r="G625"/>
      <c r="H625"/>
      <c r="I625"/>
      <c r="J625"/>
      <c r="K625"/>
      <c r="L625"/>
      <c r="M625"/>
      <c r="N625"/>
      <c r="X625"/>
      <c r="Y625"/>
      <c r="Z625"/>
      <c r="AA625"/>
      <c r="AB625"/>
      <c r="AC625"/>
      <c r="AD625"/>
      <c r="AE625"/>
      <c r="AF625"/>
      <c r="AG625"/>
      <c r="AH625"/>
      <c r="AI625"/>
      <c r="AJ625"/>
    </row>
    <row r="626" spans="1:36" x14ac:dyDescent="0.2">
      <c r="A626"/>
      <c r="B626"/>
      <c r="C626"/>
      <c r="D626"/>
      <c r="E626"/>
      <c r="F626"/>
      <c r="G626"/>
      <c r="H626"/>
      <c r="I626"/>
      <c r="J626"/>
      <c r="K626"/>
      <c r="L626"/>
      <c r="M626"/>
      <c r="N626"/>
      <c r="X626"/>
      <c r="Y626"/>
      <c r="Z626"/>
      <c r="AA626"/>
      <c r="AB626"/>
      <c r="AC626"/>
      <c r="AD626"/>
      <c r="AE626"/>
      <c r="AF626"/>
      <c r="AG626"/>
      <c r="AH626"/>
      <c r="AI626"/>
      <c r="AJ626"/>
    </row>
    <row r="627" spans="1:36" x14ac:dyDescent="0.2">
      <c r="A627"/>
      <c r="B627"/>
      <c r="C627"/>
      <c r="D627"/>
      <c r="E627"/>
      <c r="F627"/>
      <c r="G627"/>
      <c r="H627"/>
      <c r="I627"/>
      <c r="J627"/>
      <c r="K627"/>
      <c r="L627"/>
      <c r="M627"/>
      <c r="N627"/>
      <c r="X627"/>
      <c r="Y627"/>
      <c r="Z627"/>
      <c r="AA627"/>
      <c r="AB627"/>
      <c r="AC627"/>
      <c r="AD627"/>
      <c r="AE627"/>
      <c r="AF627"/>
      <c r="AG627"/>
      <c r="AH627"/>
      <c r="AI627"/>
      <c r="AJ627"/>
    </row>
    <row r="628" spans="1:36" x14ac:dyDescent="0.2">
      <c r="A628"/>
      <c r="B628"/>
      <c r="C628"/>
      <c r="D628"/>
      <c r="E628"/>
      <c r="F628"/>
      <c r="G628"/>
      <c r="H628"/>
      <c r="I628"/>
      <c r="J628"/>
      <c r="K628"/>
      <c r="L628"/>
      <c r="M628"/>
      <c r="N628"/>
      <c r="X628"/>
      <c r="Y628"/>
      <c r="Z628"/>
      <c r="AA628"/>
      <c r="AB628"/>
      <c r="AC628"/>
      <c r="AD628"/>
      <c r="AE628"/>
      <c r="AF628"/>
      <c r="AG628"/>
      <c r="AH628"/>
      <c r="AI628"/>
      <c r="AJ628"/>
    </row>
    <row r="629" spans="1:36" x14ac:dyDescent="0.2">
      <c r="A629"/>
      <c r="B629"/>
      <c r="C629"/>
      <c r="D629"/>
      <c r="E629"/>
      <c r="F629"/>
      <c r="G629"/>
      <c r="H629"/>
      <c r="I629"/>
      <c r="J629"/>
      <c r="K629"/>
      <c r="L629"/>
      <c r="M629"/>
      <c r="N629"/>
      <c r="X629"/>
      <c r="Y629"/>
      <c r="Z629"/>
      <c r="AA629"/>
      <c r="AB629"/>
      <c r="AC629"/>
      <c r="AD629"/>
      <c r="AE629"/>
      <c r="AF629"/>
      <c r="AG629"/>
      <c r="AH629"/>
      <c r="AI629"/>
      <c r="AJ629"/>
    </row>
    <row r="630" spans="1:36" x14ac:dyDescent="0.2">
      <c r="A630"/>
      <c r="B630"/>
      <c r="C630"/>
      <c r="D630"/>
      <c r="E630"/>
      <c r="F630"/>
      <c r="G630"/>
      <c r="H630"/>
      <c r="I630"/>
      <c r="J630"/>
      <c r="K630"/>
      <c r="L630"/>
      <c r="M630"/>
      <c r="N630"/>
      <c r="X630"/>
      <c r="Y630"/>
      <c r="Z630"/>
      <c r="AA630"/>
      <c r="AB630"/>
      <c r="AC630"/>
      <c r="AD630"/>
      <c r="AE630"/>
      <c r="AF630"/>
      <c r="AG630"/>
      <c r="AH630"/>
      <c r="AI630"/>
      <c r="AJ630"/>
    </row>
    <row r="631" spans="1:36" x14ac:dyDescent="0.2">
      <c r="A631"/>
      <c r="B631"/>
      <c r="C631"/>
      <c r="D631"/>
      <c r="E631"/>
      <c r="F631"/>
      <c r="G631"/>
      <c r="H631"/>
      <c r="I631"/>
      <c r="J631"/>
      <c r="K631"/>
      <c r="L631"/>
      <c r="M631"/>
      <c r="N631"/>
      <c r="X631"/>
      <c r="Y631"/>
      <c r="Z631"/>
      <c r="AA631"/>
      <c r="AB631"/>
      <c r="AC631"/>
      <c r="AD631"/>
      <c r="AE631"/>
      <c r="AF631"/>
      <c r="AG631"/>
      <c r="AH631"/>
      <c r="AI631"/>
      <c r="AJ631"/>
    </row>
    <row r="632" spans="1:36" x14ac:dyDescent="0.2">
      <c r="A632"/>
      <c r="B632"/>
      <c r="C632"/>
      <c r="D632"/>
      <c r="E632"/>
      <c r="F632"/>
      <c r="G632"/>
      <c r="H632"/>
      <c r="I632"/>
      <c r="J632"/>
      <c r="K632"/>
      <c r="L632"/>
      <c r="M632"/>
      <c r="N632"/>
      <c r="X632"/>
      <c r="Y632"/>
      <c r="Z632"/>
      <c r="AA632"/>
      <c r="AB632"/>
      <c r="AC632"/>
      <c r="AD632"/>
      <c r="AE632"/>
      <c r="AF632"/>
      <c r="AG632"/>
      <c r="AH632"/>
      <c r="AI632"/>
      <c r="AJ632"/>
    </row>
    <row r="633" spans="1:36" x14ac:dyDescent="0.2">
      <c r="A633"/>
      <c r="B633"/>
      <c r="C633"/>
      <c r="D633"/>
      <c r="E633"/>
      <c r="F633"/>
      <c r="G633"/>
      <c r="H633"/>
      <c r="I633"/>
      <c r="J633"/>
      <c r="K633"/>
      <c r="L633"/>
      <c r="M633"/>
      <c r="N633"/>
      <c r="X633"/>
      <c r="Y633"/>
      <c r="Z633"/>
      <c r="AA633"/>
      <c r="AB633"/>
      <c r="AC633"/>
      <c r="AD633"/>
      <c r="AE633"/>
      <c r="AF633"/>
      <c r="AG633"/>
      <c r="AH633"/>
      <c r="AI633"/>
      <c r="AJ633"/>
    </row>
    <row r="634" spans="1:36" x14ac:dyDescent="0.2">
      <c r="A634"/>
      <c r="B634"/>
      <c r="C634"/>
      <c r="D634"/>
      <c r="E634"/>
      <c r="F634"/>
      <c r="G634"/>
      <c r="H634"/>
      <c r="I634"/>
      <c r="J634"/>
      <c r="K634"/>
      <c r="L634"/>
      <c r="M634"/>
      <c r="N634"/>
      <c r="X634"/>
      <c r="Y634"/>
      <c r="Z634"/>
      <c r="AA634"/>
      <c r="AB634"/>
      <c r="AC634"/>
      <c r="AD634"/>
      <c r="AE634"/>
      <c r="AF634"/>
      <c r="AG634"/>
      <c r="AH634"/>
      <c r="AI634"/>
      <c r="AJ634"/>
    </row>
    <row r="635" spans="1:36" x14ac:dyDescent="0.2">
      <c r="A635"/>
      <c r="B635"/>
      <c r="C635"/>
      <c r="D635"/>
      <c r="E635"/>
      <c r="F635"/>
      <c r="G635"/>
      <c r="H635"/>
      <c r="I635"/>
      <c r="J635"/>
      <c r="K635"/>
      <c r="L635"/>
      <c r="M635"/>
      <c r="N635"/>
      <c r="X635"/>
      <c r="Y635"/>
      <c r="Z635"/>
      <c r="AA635"/>
      <c r="AB635"/>
      <c r="AC635"/>
      <c r="AD635"/>
      <c r="AE635"/>
      <c r="AF635"/>
      <c r="AG635"/>
      <c r="AH635"/>
      <c r="AI635"/>
      <c r="AJ635"/>
    </row>
    <row r="636" spans="1:36" x14ac:dyDescent="0.2">
      <c r="A636"/>
      <c r="B636"/>
      <c r="C636"/>
      <c r="D636"/>
      <c r="E636"/>
      <c r="F636"/>
      <c r="G636"/>
      <c r="H636"/>
      <c r="I636"/>
      <c r="J636"/>
      <c r="K636"/>
      <c r="L636"/>
      <c r="M636"/>
      <c r="N636"/>
      <c r="X636"/>
      <c r="Y636"/>
      <c r="Z636"/>
      <c r="AA636"/>
      <c r="AB636"/>
      <c r="AC636"/>
      <c r="AD636"/>
      <c r="AE636"/>
      <c r="AF636"/>
      <c r="AG636"/>
      <c r="AH636"/>
      <c r="AI636"/>
      <c r="AJ636"/>
    </row>
    <row r="637" spans="1:36" x14ac:dyDescent="0.2">
      <c r="A637"/>
      <c r="B637"/>
      <c r="C637"/>
      <c r="D637"/>
      <c r="E637"/>
      <c r="F637"/>
      <c r="G637"/>
      <c r="H637"/>
      <c r="I637"/>
      <c r="J637"/>
      <c r="K637"/>
      <c r="L637"/>
      <c r="M637"/>
      <c r="N637"/>
      <c r="X637"/>
      <c r="Y637"/>
      <c r="Z637"/>
      <c r="AA637"/>
      <c r="AB637"/>
      <c r="AC637"/>
      <c r="AD637"/>
      <c r="AE637"/>
      <c r="AF637"/>
      <c r="AG637"/>
      <c r="AH637"/>
      <c r="AI637"/>
      <c r="AJ637"/>
    </row>
    <row r="638" spans="1:36" x14ac:dyDescent="0.2">
      <c r="A638"/>
      <c r="B638"/>
      <c r="C638"/>
      <c r="D638"/>
      <c r="E638"/>
      <c r="F638"/>
      <c r="G638"/>
      <c r="H638"/>
      <c r="I638"/>
      <c r="J638"/>
      <c r="K638"/>
      <c r="L638"/>
      <c r="M638"/>
      <c r="N638"/>
      <c r="X638"/>
      <c r="Y638"/>
      <c r="Z638"/>
      <c r="AA638"/>
      <c r="AB638"/>
      <c r="AC638"/>
      <c r="AD638"/>
      <c r="AE638"/>
      <c r="AF638"/>
      <c r="AG638"/>
      <c r="AH638"/>
      <c r="AI638"/>
      <c r="AJ638"/>
    </row>
    <row r="639" spans="1:36" x14ac:dyDescent="0.2">
      <c r="A639"/>
      <c r="B639"/>
      <c r="C639"/>
      <c r="D639"/>
      <c r="E639"/>
      <c r="F639"/>
      <c r="G639"/>
      <c r="H639"/>
      <c r="I639"/>
      <c r="J639"/>
      <c r="K639"/>
      <c r="L639"/>
      <c r="M639"/>
      <c r="N639"/>
      <c r="X639"/>
      <c r="Y639"/>
      <c r="Z639"/>
      <c r="AA639"/>
      <c r="AB639"/>
      <c r="AC639"/>
      <c r="AD639"/>
      <c r="AE639"/>
      <c r="AF639"/>
      <c r="AG639"/>
      <c r="AH639"/>
      <c r="AI639"/>
      <c r="AJ639"/>
    </row>
    <row r="640" spans="1:36" x14ac:dyDescent="0.2">
      <c r="A640"/>
      <c r="B640"/>
      <c r="C640"/>
      <c r="D640"/>
      <c r="E640"/>
      <c r="F640"/>
      <c r="G640"/>
      <c r="H640"/>
      <c r="I640"/>
      <c r="J640"/>
      <c r="K640"/>
      <c r="L640"/>
      <c r="M640"/>
      <c r="N640"/>
      <c r="X640"/>
      <c r="Y640"/>
      <c r="Z640"/>
      <c r="AA640"/>
      <c r="AB640"/>
      <c r="AC640"/>
      <c r="AD640"/>
      <c r="AE640"/>
      <c r="AF640"/>
      <c r="AG640"/>
      <c r="AH640"/>
      <c r="AI640"/>
      <c r="AJ640"/>
    </row>
    <row r="641" spans="1:36" x14ac:dyDescent="0.2">
      <c r="A641"/>
      <c r="B641"/>
      <c r="C641"/>
      <c r="D641"/>
      <c r="E641"/>
      <c r="F641"/>
      <c r="G641"/>
      <c r="H641"/>
      <c r="I641"/>
      <c r="J641"/>
      <c r="K641"/>
      <c r="L641"/>
      <c r="M641"/>
      <c r="N641"/>
      <c r="X641"/>
      <c r="Y641"/>
      <c r="Z641"/>
      <c r="AA641"/>
      <c r="AB641"/>
      <c r="AC641"/>
      <c r="AD641"/>
      <c r="AE641"/>
      <c r="AF641"/>
      <c r="AG641"/>
      <c r="AH641"/>
      <c r="AI641"/>
      <c r="AJ641"/>
    </row>
    <row r="642" spans="1:36" x14ac:dyDescent="0.2">
      <c r="A642"/>
      <c r="B642"/>
      <c r="C642"/>
      <c r="D642"/>
      <c r="E642"/>
      <c r="F642"/>
      <c r="G642"/>
      <c r="H642"/>
      <c r="I642"/>
      <c r="J642"/>
      <c r="K642"/>
      <c r="L642"/>
      <c r="M642"/>
      <c r="N642"/>
      <c r="X642"/>
      <c r="Y642"/>
      <c r="Z642"/>
      <c r="AA642"/>
      <c r="AB642"/>
      <c r="AC642"/>
      <c r="AD642"/>
      <c r="AE642"/>
      <c r="AF642"/>
      <c r="AG642"/>
      <c r="AH642"/>
      <c r="AI642"/>
      <c r="AJ642"/>
    </row>
    <row r="643" spans="1:36" x14ac:dyDescent="0.2">
      <c r="A643"/>
      <c r="B643"/>
      <c r="C643"/>
      <c r="D643"/>
      <c r="E643"/>
      <c r="F643"/>
      <c r="G643"/>
      <c r="H643"/>
      <c r="I643"/>
      <c r="J643"/>
      <c r="K643"/>
      <c r="L643"/>
      <c r="M643"/>
      <c r="N643"/>
      <c r="X643"/>
      <c r="Y643"/>
      <c r="Z643"/>
      <c r="AA643"/>
      <c r="AB643"/>
      <c r="AC643"/>
      <c r="AD643"/>
      <c r="AE643"/>
      <c r="AF643"/>
      <c r="AG643"/>
      <c r="AH643"/>
      <c r="AI643"/>
      <c r="AJ643"/>
    </row>
    <row r="644" spans="1:36" x14ac:dyDescent="0.2">
      <c r="A644"/>
      <c r="B644"/>
      <c r="C644"/>
      <c r="D644"/>
      <c r="E644"/>
      <c r="F644"/>
      <c r="G644"/>
      <c r="H644"/>
      <c r="I644"/>
      <c r="J644"/>
      <c r="K644"/>
      <c r="L644"/>
      <c r="M644"/>
      <c r="N644"/>
      <c r="X644"/>
      <c r="Y644"/>
      <c r="Z644"/>
      <c r="AA644"/>
      <c r="AB644"/>
      <c r="AC644"/>
      <c r="AD644"/>
      <c r="AE644"/>
      <c r="AF644"/>
      <c r="AG644"/>
      <c r="AH644"/>
      <c r="AI644"/>
      <c r="AJ644"/>
    </row>
    <row r="645" spans="1:36" x14ac:dyDescent="0.2">
      <c r="A645"/>
      <c r="B645"/>
      <c r="C645"/>
      <c r="D645"/>
      <c r="E645"/>
      <c r="F645"/>
      <c r="G645"/>
      <c r="H645"/>
      <c r="I645"/>
      <c r="J645"/>
      <c r="K645"/>
      <c r="L645"/>
      <c r="M645"/>
      <c r="N645"/>
      <c r="X645"/>
      <c r="Y645"/>
      <c r="Z645"/>
      <c r="AA645"/>
      <c r="AB645"/>
      <c r="AC645"/>
      <c r="AD645"/>
      <c r="AE645"/>
      <c r="AF645"/>
      <c r="AG645"/>
      <c r="AH645"/>
      <c r="AI645"/>
      <c r="AJ645"/>
    </row>
    <row r="646" spans="1:36" x14ac:dyDescent="0.2">
      <c r="A646"/>
      <c r="B646"/>
      <c r="C646"/>
      <c r="D646"/>
      <c r="E646"/>
      <c r="F646"/>
      <c r="G646"/>
      <c r="H646"/>
      <c r="I646"/>
      <c r="J646"/>
      <c r="K646"/>
      <c r="L646"/>
      <c r="M646"/>
      <c r="N646"/>
      <c r="X646"/>
      <c r="Y646"/>
      <c r="Z646"/>
      <c r="AA646"/>
      <c r="AB646"/>
      <c r="AC646"/>
      <c r="AD646"/>
      <c r="AE646"/>
      <c r="AF646"/>
      <c r="AG646"/>
      <c r="AH646"/>
      <c r="AI646"/>
      <c r="AJ646"/>
    </row>
    <row r="647" spans="1:36" x14ac:dyDescent="0.2">
      <c r="A647"/>
      <c r="B647"/>
      <c r="C647"/>
      <c r="D647"/>
      <c r="E647"/>
      <c r="F647"/>
      <c r="G647"/>
      <c r="H647"/>
      <c r="I647"/>
      <c r="J647"/>
      <c r="K647"/>
      <c r="L647"/>
      <c r="M647"/>
      <c r="N647"/>
      <c r="X647"/>
      <c r="Y647"/>
      <c r="Z647"/>
      <c r="AA647"/>
      <c r="AB647"/>
      <c r="AC647"/>
      <c r="AD647"/>
      <c r="AE647"/>
      <c r="AF647"/>
      <c r="AG647"/>
      <c r="AH647"/>
      <c r="AI647"/>
      <c r="AJ647"/>
    </row>
    <row r="648" spans="1:36" x14ac:dyDescent="0.2">
      <c r="A648"/>
      <c r="B648"/>
      <c r="C648"/>
      <c r="D648"/>
      <c r="E648"/>
      <c r="F648"/>
      <c r="G648"/>
      <c r="H648"/>
      <c r="I648"/>
      <c r="J648"/>
      <c r="K648"/>
      <c r="L648"/>
      <c r="M648"/>
      <c r="N648"/>
      <c r="X648"/>
      <c r="Y648"/>
      <c r="Z648"/>
      <c r="AA648"/>
      <c r="AB648"/>
      <c r="AC648"/>
      <c r="AD648"/>
      <c r="AE648"/>
      <c r="AF648"/>
      <c r="AG648"/>
      <c r="AH648"/>
      <c r="AI648"/>
      <c r="AJ648"/>
    </row>
    <row r="649" spans="1:36" x14ac:dyDescent="0.2">
      <c r="A649"/>
      <c r="B649"/>
      <c r="C649"/>
      <c r="D649"/>
      <c r="E649"/>
      <c r="F649"/>
      <c r="G649"/>
      <c r="H649"/>
      <c r="I649"/>
      <c r="J649"/>
      <c r="K649"/>
      <c r="L649"/>
      <c r="M649"/>
      <c r="N649"/>
      <c r="X649"/>
      <c r="Y649"/>
      <c r="Z649"/>
      <c r="AA649"/>
      <c r="AB649"/>
      <c r="AC649"/>
      <c r="AD649"/>
      <c r="AE649"/>
      <c r="AF649"/>
      <c r="AG649"/>
      <c r="AH649"/>
      <c r="AI649"/>
      <c r="AJ649"/>
    </row>
    <row r="650" spans="1:36" x14ac:dyDescent="0.2">
      <c r="A650"/>
      <c r="B650"/>
      <c r="C650"/>
      <c r="D650"/>
      <c r="E650"/>
      <c r="F650"/>
      <c r="G650"/>
      <c r="H650"/>
      <c r="I650"/>
      <c r="J650"/>
      <c r="K650"/>
      <c r="L650"/>
      <c r="M650"/>
      <c r="N650"/>
      <c r="X650"/>
      <c r="Y650"/>
      <c r="Z650"/>
      <c r="AA650"/>
      <c r="AB650"/>
      <c r="AC650"/>
      <c r="AD650"/>
      <c r="AE650"/>
      <c r="AF650"/>
      <c r="AG650"/>
      <c r="AH650"/>
      <c r="AI650"/>
      <c r="AJ650"/>
    </row>
    <row r="651" spans="1:36" x14ac:dyDescent="0.2">
      <c r="A651"/>
      <c r="B651"/>
      <c r="C651"/>
      <c r="D651"/>
      <c r="E651"/>
      <c r="F651"/>
      <c r="G651"/>
      <c r="H651"/>
      <c r="I651"/>
      <c r="J651"/>
      <c r="K651"/>
      <c r="L651"/>
      <c r="M651"/>
      <c r="N651"/>
      <c r="X651"/>
      <c r="Y651"/>
      <c r="Z651"/>
      <c r="AA651"/>
      <c r="AB651"/>
      <c r="AC651"/>
      <c r="AD651"/>
      <c r="AE651"/>
      <c r="AF651"/>
      <c r="AG651"/>
      <c r="AH651"/>
      <c r="AI651"/>
      <c r="AJ651"/>
    </row>
    <row r="652" spans="1:36" x14ac:dyDescent="0.2">
      <c r="A652"/>
      <c r="B652"/>
      <c r="C652"/>
      <c r="D652"/>
      <c r="E652"/>
      <c r="F652"/>
      <c r="G652"/>
      <c r="H652"/>
      <c r="I652"/>
      <c r="J652"/>
      <c r="K652"/>
      <c r="L652"/>
      <c r="M652"/>
      <c r="N652"/>
      <c r="X652"/>
      <c r="Y652"/>
      <c r="Z652"/>
      <c r="AA652"/>
      <c r="AB652"/>
      <c r="AC652"/>
      <c r="AD652"/>
      <c r="AE652"/>
      <c r="AF652"/>
      <c r="AG652"/>
      <c r="AH652"/>
      <c r="AI652"/>
    </row>
    <row r="653" spans="1:36" x14ac:dyDescent="0.2">
      <c r="A653"/>
      <c r="B653"/>
      <c r="C653"/>
      <c r="D653"/>
      <c r="E653"/>
      <c r="F653"/>
      <c r="G653"/>
      <c r="H653"/>
      <c r="I653"/>
      <c r="J653"/>
      <c r="K653"/>
      <c r="L653"/>
      <c r="M653"/>
      <c r="N653"/>
      <c r="X653"/>
      <c r="Y653"/>
      <c r="Z653"/>
      <c r="AA653"/>
      <c r="AB653"/>
      <c r="AC653"/>
      <c r="AD653"/>
      <c r="AE653"/>
      <c r="AF653"/>
      <c r="AG653"/>
      <c r="AH653"/>
      <c r="AI653"/>
    </row>
    <row r="654" spans="1:36" x14ac:dyDescent="0.2">
      <c r="A654"/>
      <c r="B654"/>
      <c r="C654"/>
      <c r="D654"/>
      <c r="E654"/>
      <c r="F654"/>
      <c r="G654"/>
      <c r="H654"/>
      <c r="I654"/>
      <c r="J654"/>
      <c r="K654"/>
      <c r="L654"/>
      <c r="M654"/>
      <c r="N654"/>
      <c r="X654"/>
      <c r="Y654"/>
      <c r="Z654"/>
      <c r="AA654"/>
      <c r="AB654"/>
      <c r="AC654"/>
      <c r="AD654"/>
      <c r="AE654"/>
      <c r="AF654"/>
      <c r="AG654"/>
      <c r="AH654"/>
      <c r="AI654"/>
    </row>
    <row r="655" spans="1:36" x14ac:dyDescent="0.2">
      <c r="A655"/>
      <c r="B655"/>
      <c r="C655"/>
      <c r="D655"/>
      <c r="E655"/>
      <c r="F655"/>
      <c r="G655"/>
      <c r="H655"/>
      <c r="I655"/>
      <c r="J655"/>
      <c r="K655"/>
      <c r="L655"/>
      <c r="M655"/>
      <c r="N655"/>
      <c r="X655"/>
      <c r="Y655"/>
      <c r="Z655"/>
      <c r="AA655"/>
      <c r="AB655"/>
      <c r="AC655"/>
      <c r="AD655"/>
      <c r="AE655"/>
      <c r="AF655"/>
      <c r="AG655"/>
      <c r="AH655"/>
      <c r="AI655"/>
    </row>
    <row r="656" spans="1:36" x14ac:dyDescent="0.2">
      <c r="A656"/>
      <c r="B656"/>
      <c r="C656"/>
      <c r="D656"/>
      <c r="E656"/>
      <c r="F656"/>
      <c r="G656"/>
      <c r="H656"/>
      <c r="I656"/>
      <c r="J656"/>
      <c r="K656"/>
      <c r="L656"/>
      <c r="M656"/>
      <c r="N656"/>
      <c r="X656"/>
      <c r="Y656"/>
      <c r="Z656"/>
      <c r="AA656"/>
      <c r="AB656"/>
      <c r="AC656"/>
      <c r="AD656"/>
      <c r="AE656"/>
      <c r="AF656"/>
      <c r="AG656"/>
      <c r="AH656"/>
      <c r="AI656"/>
    </row>
    <row r="657" spans="1:35" x14ac:dyDescent="0.2">
      <c r="A657"/>
      <c r="B657"/>
      <c r="C657"/>
      <c r="D657"/>
      <c r="E657"/>
      <c r="F657"/>
      <c r="G657"/>
      <c r="H657"/>
      <c r="I657"/>
      <c r="J657"/>
      <c r="K657"/>
      <c r="L657"/>
      <c r="M657"/>
      <c r="N657"/>
      <c r="X657"/>
      <c r="Y657"/>
      <c r="Z657"/>
      <c r="AA657"/>
      <c r="AB657"/>
      <c r="AC657"/>
      <c r="AD657"/>
      <c r="AE657"/>
      <c r="AF657"/>
      <c r="AG657"/>
      <c r="AH657"/>
      <c r="AI657"/>
    </row>
    <row r="658" spans="1:35" x14ac:dyDescent="0.2">
      <c r="A658"/>
      <c r="B658"/>
      <c r="C658"/>
      <c r="D658"/>
      <c r="E658"/>
      <c r="F658"/>
      <c r="G658"/>
      <c r="H658"/>
      <c r="I658"/>
      <c r="J658"/>
      <c r="K658"/>
      <c r="L658"/>
      <c r="M658"/>
      <c r="N658"/>
      <c r="X658"/>
      <c r="Y658"/>
      <c r="Z658"/>
      <c r="AA658"/>
      <c r="AB658"/>
      <c r="AC658"/>
      <c r="AD658"/>
      <c r="AE658"/>
      <c r="AF658"/>
      <c r="AG658"/>
      <c r="AH658"/>
      <c r="AI658"/>
    </row>
    <row r="659" spans="1:35" x14ac:dyDescent="0.2">
      <c r="A659"/>
      <c r="B659"/>
      <c r="C659"/>
      <c r="D659"/>
      <c r="E659"/>
      <c r="F659"/>
      <c r="G659"/>
      <c r="H659"/>
      <c r="I659"/>
      <c r="J659"/>
      <c r="K659"/>
      <c r="L659"/>
      <c r="M659"/>
      <c r="N659"/>
      <c r="X659"/>
      <c r="Y659"/>
      <c r="Z659"/>
      <c r="AA659"/>
      <c r="AB659"/>
      <c r="AC659"/>
      <c r="AD659"/>
      <c r="AE659"/>
      <c r="AF659"/>
      <c r="AG659"/>
      <c r="AH659"/>
      <c r="AI659"/>
    </row>
    <row r="660" spans="1:35" x14ac:dyDescent="0.2">
      <c r="A660"/>
      <c r="B660"/>
      <c r="C660"/>
      <c r="D660"/>
      <c r="E660"/>
      <c r="F660"/>
      <c r="G660"/>
      <c r="H660"/>
      <c r="I660"/>
      <c r="J660"/>
      <c r="K660"/>
      <c r="L660"/>
      <c r="M660"/>
      <c r="N660"/>
      <c r="X660"/>
      <c r="Y660"/>
      <c r="Z660"/>
      <c r="AA660"/>
      <c r="AB660"/>
      <c r="AC660"/>
      <c r="AD660"/>
      <c r="AE660"/>
      <c r="AF660"/>
      <c r="AG660"/>
      <c r="AH660"/>
      <c r="AI660"/>
    </row>
    <row r="661" spans="1:35" x14ac:dyDescent="0.2">
      <c r="A661"/>
      <c r="B661"/>
      <c r="C661"/>
      <c r="D661"/>
      <c r="E661"/>
      <c r="F661"/>
      <c r="G661"/>
      <c r="H661"/>
      <c r="I661"/>
      <c r="J661"/>
      <c r="K661"/>
      <c r="L661"/>
      <c r="M661"/>
      <c r="N661"/>
      <c r="X661"/>
      <c r="Y661"/>
      <c r="Z661"/>
      <c r="AA661"/>
      <c r="AB661"/>
      <c r="AC661"/>
      <c r="AD661"/>
      <c r="AE661"/>
      <c r="AF661"/>
      <c r="AG661"/>
      <c r="AH661"/>
      <c r="AI661"/>
    </row>
    <row r="662" spans="1:35" x14ac:dyDescent="0.2">
      <c r="A662"/>
      <c r="B662"/>
      <c r="C662"/>
      <c r="D662"/>
      <c r="E662"/>
      <c r="F662"/>
      <c r="G662"/>
      <c r="H662"/>
      <c r="I662"/>
      <c r="J662"/>
      <c r="K662"/>
      <c r="L662"/>
      <c r="M662"/>
      <c r="N662"/>
      <c r="X662"/>
      <c r="Y662"/>
      <c r="Z662"/>
      <c r="AA662"/>
      <c r="AB662"/>
      <c r="AC662"/>
      <c r="AD662"/>
      <c r="AE662"/>
      <c r="AF662"/>
      <c r="AG662"/>
      <c r="AH662"/>
      <c r="AI662"/>
    </row>
    <row r="663" spans="1:35" x14ac:dyDescent="0.2">
      <c r="A663"/>
      <c r="B663"/>
      <c r="C663"/>
      <c r="D663"/>
      <c r="E663"/>
      <c r="F663"/>
      <c r="G663"/>
      <c r="H663"/>
      <c r="I663"/>
      <c r="J663"/>
      <c r="K663"/>
      <c r="L663"/>
      <c r="M663"/>
      <c r="N663"/>
      <c r="X663"/>
      <c r="Y663"/>
      <c r="Z663"/>
      <c r="AA663"/>
      <c r="AB663"/>
      <c r="AC663"/>
      <c r="AD663"/>
      <c r="AE663"/>
      <c r="AF663"/>
      <c r="AG663"/>
      <c r="AH663"/>
      <c r="AI663"/>
    </row>
    <row r="664" spans="1:35" x14ac:dyDescent="0.2">
      <c r="A664"/>
      <c r="B664"/>
      <c r="C664"/>
      <c r="D664"/>
      <c r="E664"/>
      <c r="F664"/>
      <c r="G664"/>
      <c r="H664"/>
      <c r="I664"/>
      <c r="J664"/>
      <c r="K664"/>
      <c r="L664"/>
      <c r="M664"/>
      <c r="N664"/>
      <c r="X664"/>
      <c r="Y664"/>
      <c r="Z664"/>
      <c r="AA664"/>
      <c r="AB664"/>
      <c r="AC664"/>
      <c r="AD664"/>
      <c r="AE664"/>
      <c r="AF664"/>
      <c r="AG664"/>
      <c r="AH664"/>
      <c r="AI664"/>
    </row>
    <row r="665" spans="1:35" x14ac:dyDescent="0.2">
      <c r="A665"/>
      <c r="B665"/>
      <c r="C665"/>
      <c r="D665"/>
      <c r="E665"/>
      <c r="F665"/>
      <c r="G665"/>
      <c r="H665"/>
      <c r="I665"/>
      <c r="J665"/>
      <c r="K665"/>
      <c r="L665"/>
      <c r="M665"/>
      <c r="N665"/>
      <c r="X665"/>
      <c r="Y665"/>
      <c r="Z665"/>
      <c r="AA665"/>
      <c r="AB665"/>
      <c r="AC665"/>
      <c r="AD665"/>
      <c r="AE665"/>
      <c r="AF665"/>
      <c r="AG665"/>
      <c r="AH665"/>
      <c r="AI665"/>
    </row>
    <row r="666" spans="1:35" x14ac:dyDescent="0.2">
      <c r="A666"/>
      <c r="B666"/>
      <c r="C666"/>
      <c r="D666"/>
      <c r="E666"/>
      <c r="F666"/>
      <c r="G666"/>
      <c r="H666"/>
      <c r="I666"/>
      <c r="J666"/>
      <c r="K666"/>
      <c r="L666"/>
      <c r="M666"/>
      <c r="N666"/>
      <c r="X666"/>
      <c r="Y666"/>
      <c r="Z666"/>
      <c r="AA666"/>
      <c r="AB666"/>
      <c r="AC666"/>
      <c r="AD666"/>
      <c r="AE666"/>
      <c r="AF666"/>
      <c r="AG666"/>
      <c r="AH666"/>
      <c r="AI666"/>
    </row>
    <row r="667" spans="1:35" x14ac:dyDescent="0.2">
      <c r="A667"/>
      <c r="B667"/>
      <c r="C667"/>
      <c r="D667"/>
      <c r="E667"/>
      <c r="F667"/>
      <c r="G667"/>
      <c r="H667"/>
      <c r="I667"/>
      <c r="J667"/>
      <c r="K667"/>
      <c r="L667"/>
      <c r="M667"/>
      <c r="N667"/>
      <c r="X667"/>
      <c r="Y667"/>
      <c r="Z667"/>
      <c r="AA667"/>
      <c r="AB667"/>
      <c r="AC667"/>
      <c r="AD667"/>
      <c r="AE667"/>
      <c r="AF667"/>
      <c r="AG667"/>
      <c r="AH667"/>
      <c r="AI667"/>
    </row>
    <row r="668" spans="1:35" x14ac:dyDescent="0.2">
      <c r="A668"/>
      <c r="B668"/>
      <c r="C668"/>
      <c r="D668"/>
      <c r="E668"/>
      <c r="F668"/>
      <c r="G668"/>
      <c r="H668"/>
      <c r="I668"/>
      <c r="J668"/>
      <c r="K668"/>
      <c r="L668"/>
      <c r="M668"/>
      <c r="N668"/>
      <c r="X668"/>
      <c r="Y668"/>
      <c r="Z668"/>
      <c r="AA668"/>
      <c r="AB668"/>
      <c r="AC668"/>
      <c r="AD668"/>
      <c r="AE668"/>
      <c r="AF668"/>
      <c r="AG668"/>
      <c r="AH668"/>
      <c r="AI668"/>
    </row>
    <row r="669" spans="1:35" x14ac:dyDescent="0.2">
      <c r="A669"/>
      <c r="B669"/>
      <c r="C669"/>
      <c r="D669"/>
      <c r="E669"/>
      <c r="F669"/>
      <c r="G669"/>
      <c r="H669"/>
      <c r="I669"/>
      <c r="J669"/>
      <c r="K669"/>
      <c r="L669"/>
      <c r="M669"/>
      <c r="N669"/>
      <c r="X669"/>
      <c r="Y669"/>
      <c r="Z669"/>
      <c r="AA669"/>
      <c r="AB669"/>
      <c r="AC669"/>
      <c r="AD669"/>
      <c r="AE669"/>
      <c r="AF669"/>
      <c r="AG669"/>
      <c r="AH669"/>
      <c r="AI669"/>
    </row>
    <row r="670" spans="1:35" x14ac:dyDescent="0.2">
      <c r="A670"/>
      <c r="B670"/>
      <c r="C670"/>
      <c r="D670"/>
      <c r="E670"/>
      <c r="F670"/>
      <c r="G670"/>
      <c r="H670"/>
      <c r="I670"/>
      <c r="J670"/>
      <c r="K670"/>
      <c r="L670"/>
      <c r="M670"/>
      <c r="N670"/>
      <c r="X670"/>
      <c r="Y670"/>
      <c r="Z670"/>
      <c r="AA670"/>
      <c r="AB670"/>
      <c r="AC670"/>
      <c r="AD670"/>
      <c r="AE670"/>
      <c r="AF670"/>
      <c r="AG670"/>
      <c r="AH670"/>
      <c r="AI670"/>
    </row>
    <row r="671" spans="1:35" x14ac:dyDescent="0.2">
      <c r="A671"/>
      <c r="B671"/>
      <c r="C671"/>
      <c r="D671"/>
      <c r="E671"/>
      <c r="F671"/>
      <c r="G671"/>
      <c r="H671"/>
      <c r="I671"/>
      <c r="J671"/>
      <c r="K671"/>
      <c r="L671"/>
      <c r="M671"/>
      <c r="N671"/>
      <c r="X671"/>
      <c r="Y671"/>
      <c r="Z671"/>
      <c r="AA671"/>
      <c r="AB671"/>
      <c r="AC671"/>
      <c r="AD671"/>
      <c r="AE671"/>
      <c r="AF671"/>
      <c r="AG671"/>
      <c r="AH671"/>
      <c r="AI671"/>
    </row>
    <row r="672" spans="1:35" x14ac:dyDescent="0.2">
      <c r="A672"/>
      <c r="B672"/>
      <c r="C672"/>
      <c r="D672"/>
      <c r="E672"/>
      <c r="F672"/>
      <c r="G672"/>
      <c r="H672"/>
      <c r="I672"/>
      <c r="J672"/>
      <c r="K672"/>
      <c r="L672"/>
      <c r="M672"/>
      <c r="N672"/>
      <c r="X672"/>
      <c r="Y672"/>
      <c r="Z672"/>
      <c r="AA672"/>
      <c r="AB672"/>
      <c r="AC672"/>
      <c r="AD672"/>
      <c r="AE672"/>
      <c r="AF672"/>
      <c r="AG672"/>
      <c r="AH672"/>
      <c r="AI672"/>
    </row>
    <row r="673" spans="1:36" x14ac:dyDescent="0.2">
      <c r="A673"/>
      <c r="B673"/>
      <c r="C673"/>
      <c r="D673"/>
      <c r="E673"/>
      <c r="F673"/>
      <c r="G673"/>
      <c r="H673"/>
      <c r="I673"/>
      <c r="J673"/>
      <c r="K673"/>
      <c r="L673"/>
      <c r="M673"/>
      <c r="N673"/>
      <c r="X673"/>
      <c r="Y673"/>
      <c r="Z673"/>
      <c r="AA673"/>
      <c r="AB673"/>
      <c r="AC673"/>
      <c r="AD673"/>
      <c r="AE673"/>
      <c r="AF673"/>
      <c r="AG673"/>
      <c r="AH673"/>
      <c r="AI673"/>
    </row>
    <row r="674" spans="1:36" x14ac:dyDescent="0.2">
      <c r="A674"/>
      <c r="B674"/>
      <c r="C674"/>
      <c r="D674"/>
      <c r="E674"/>
      <c r="F674"/>
      <c r="G674"/>
      <c r="H674"/>
      <c r="I674"/>
      <c r="J674"/>
      <c r="K674"/>
      <c r="L674"/>
      <c r="M674"/>
      <c r="N674"/>
      <c r="X674"/>
      <c r="Y674"/>
      <c r="Z674"/>
      <c r="AA674"/>
      <c r="AB674"/>
      <c r="AC674"/>
      <c r="AD674"/>
      <c r="AE674"/>
      <c r="AF674"/>
      <c r="AG674"/>
      <c r="AH674"/>
      <c r="AI674"/>
    </row>
    <row r="675" spans="1:36" x14ac:dyDescent="0.2">
      <c r="A675"/>
      <c r="B675"/>
      <c r="C675"/>
      <c r="D675"/>
      <c r="E675"/>
      <c r="F675"/>
      <c r="G675"/>
      <c r="H675"/>
      <c r="I675"/>
      <c r="J675"/>
      <c r="K675"/>
      <c r="L675"/>
      <c r="M675"/>
      <c r="N675"/>
      <c r="X675"/>
      <c r="Y675"/>
      <c r="Z675"/>
      <c r="AA675"/>
      <c r="AB675"/>
      <c r="AC675"/>
      <c r="AD675"/>
      <c r="AE675"/>
      <c r="AF675"/>
      <c r="AG675"/>
      <c r="AH675"/>
      <c r="AI675"/>
    </row>
    <row r="676" spans="1:36" x14ac:dyDescent="0.2">
      <c r="A676"/>
      <c r="B676"/>
      <c r="C676"/>
      <c r="D676"/>
      <c r="E676"/>
      <c r="F676"/>
      <c r="G676"/>
      <c r="H676"/>
      <c r="I676"/>
      <c r="J676"/>
      <c r="K676"/>
      <c r="L676"/>
      <c r="M676"/>
      <c r="N676"/>
      <c r="X676"/>
      <c r="Y676"/>
      <c r="Z676"/>
      <c r="AA676"/>
      <c r="AB676"/>
      <c r="AC676"/>
      <c r="AD676"/>
      <c r="AE676"/>
      <c r="AF676"/>
      <c r="AG676"/>
      <c r="AH676"/>
      <c r="AI676"/>
      <c r="AJ676"/>
    </row>
    <row r="677" spans="1:36" x14ac:dyDescent="0.2">
      <c r="A677"/>
      <c r="B677"/>
      <c r="C677"/>
      <c r="D677"/>
      <c r="E677"/>
      <c r="F677"/>
      <c r="G677"/>
      <c r="H677"/>
      <c r="I677"/>
      <c r="J677"/>
      <c r="K677"/>
      <c r="L677"/>
      <c r="M677"/>
      <c r="N677"/>
      <c r="X677"/>
      <c r="Y677"/>
      <c r="Z677"/>
      <c r="AA677"/>
      <c r="AB677"/>
      <c r="AC677"/>
      <c r="AD677"/>
      <c r="AE677"/>
      <c r="AF677"/>
      <c r="AG677"/>
      <c r="AH677"/>
      <c r="AI677"/>
    </row>
    <row r="678" spans="1:36" x14ac:dyDescent="0.2">
      <c r="A678"/>
      <c r="B678"/>
      <c r="C678"/>
      <c r="D678"/>
      <c r="E678"/>
      <c r="F678"/>
      <c r="G678"/>
      <c r="H678"/>
      <c r="I678"/>
      <c r="J678"/>
      <c r="K678"/>
      <c r="L678"/>
      <c r="M678"/>
      <c r="N678"/>
      <c r="X678"/>
      <c r="Y678"/>
      <c r="Z678"/>
      <c r="AA678"/>
      <c r="AB678"/>
      <c r="AC678"/>
      <c r="AD678"/>
      <c r="AE678"/>
      <c r="AF678"/>
      <c r="AG678"/>
      <c r="AH678"/>
      <c r="AI678"/>
    </row>
    <row r="679" spans="1:36" x14ac:dyDescent="0.2">
      <c r="A679"/>
      <c r="B679"/>
      <c r="C679"/>
      <c r="D679"/>
      <c r="E679"/>
      <c r="F679"/>
      <c r="G679"/>
      <c r="H679"/>
      <c r="I679"/>
      <c r="J679"/>
      <c r="K679"/>
      <c r="L679"/>
      <c r="M679"/>
      <c r="N679"/>
      <c r="X679"/>
      <c r="Y679"/>
      <c r="Z679"/>
      <c r="AA679"/>
      <c r="AB679"/>
      <c r="AC679"/>
      <c r="AD679"/>
      <c r="AE679"/>
      <c r="AF679"/>
      <c r="AG679"/>
      <c r="AH679"/>
      <c r="AI679"/>
    </row>
    <row r="680" spans="1:36" x14ac:dyDescent="0.2">
      <c r="A680"/>
      <c r="B680"/>
      <c r="C680"/>
      <c r="D680"/>
      <c r="E680"/>
      <c r="F680"/>
      <c r="G680"/>
      <c r="H680"/>
      <c r="I680"/>
      <c r="J680"/>
      <c r="K680"/>
      <c r="L680"/>
      <c r="M680"/>
      <c r="N680"/>
      <c r="X680"/>
      <c r="Y680"/>
      <c r="Z680"/>
      <c r="AA680"/>
      <c r="AB680"/>
      <c r="AC680"/>
      <c r="AD680"/>
      <c r="AE680"/>
      <c r="AF680"/>
      <c r="AG680"/>
      <c r="AH680"/>
      <c r="AI680"/>
    </row>
    <row r="681" spans="1:36" x14ac:dyDescent="0.2">
      <c r="A681"/>
      <c r="B681"/>
      <c r="C681"/>
      <c r="D681"/>
      <c r="E681"/>
      <c r="F681"/>
      <c r="G681"/>
      <c r="H681"/>
      <c r="I681"/>
      <c r="J681"/>
      <c r="K681"/>
      <c r="L681"/>
      <c r="M681"/>
      <c r="N681"/>
      <c r="X681"/>
      <c r="Y681"/>
      <c r="Z681"/>
      <c r="AA681"/>
      <c r="AB681"/>
      <c r="AC681"/>
      <c r="AD681"/>
      <c r="AE681"/>
      <c r="AF681"/>
      <c r="AG681"/>
      <c r="AH681"/>
      <c r="AI681"/>
    </row>
    <row r="682" spans="1:36" x14ac:dyDescent="0.2">
      <c r="A682"/>
      <c r="B682"/>
      <c r="C682"/>
      <c r="D682"/>
      <c r="E682"/>
      <c r="F682"/>
      <c r="G682"/>
      <c r="H682"/>
      <c r="I682"/>
      <c r="J682"/>
      <c r="K682"/>
      <c r="L682"/>
      <c r="M682"/>
      <c r="N682"/>
      <c r="X682"/>
      <c r="Y682"/>
      <c r="Z682"/>
      <c r="AA682"/>
      <c r="AB682"/>
      <c r="AC682"/>
      <c r="AD682"/>
      <c r="AE682"/>
      <c r="AF682"/>
      <c r="AG682"/>
      <c r="AH682"/>
      <c r="AI682"/>
    </row>
    <row r="683" spans="1:36" x14ac:dyDescent="0.2">
      <c r="A683"/>
      <c r="B683"/>
      <c r="C683"/>
      <c r="D683"/>
      <c r="E683"/>
      <c r="F683"/>
      <c r="G683"/>
      <c r="H683"/>
      <c r="I683"/>
      <c r="J683"/>
      <c r="K683"/>
      <c r="L683"/>
      <c r="M683"/>
      <c r="N683"/>
      <c r="X683"/>
      <c r="Y683"/>
      <c r="Z683"/>
      <c r="AA683"/>
      <c r="AB683"/>
      <c r="AC683"/>
      <c r="AD683"/>
      <c r="AE683"/>
      <c r="AF683"/>
      <c r="AG683"/>
      <c r="AH683"/>
      <c r="AI683"/>
    </row>
    <row r="684" spans="1:36" x14ac:dyDescent="0.2">
      <c r="A684"/>
      <c r="B684"/>
      <c r="C684"/>
      <c r="D684"/>
      <c r="E684"/>
      <c r="F684"/>
      <c r="G684"/>
      <c r="H684"/>
      <c r="I684"/>
      <c r="J684"/>
      <c r="K684"/>
      <c r="L684"/>
      <c r="M684"/>
      <c r="N684"/>
      <c r="X684"/>
      <c r="Y684"/>
      <c r="Z684"/>
      <c r="AA684"/>
      <c r="AB684"/>
      <c r="AC684"/>
      <c r="AD684"/>
      <c r="AE684"/>
      <c r="AF684"/>
      <c r="AG684"/>
      <c r="AH684"/>
      <c r="AI684"/>
    </row>
    <row r="685" spans="1:36" x14ac:dyDescent="0.2">
      <c r="A685"/>
      <c r="B685"/>
      <c r="C685"/>
      <c r="D685"/>
      <c r="E685"/>
      <c r="F685"/>
      <c r="G685"/>
      <c r="H685"/>
      <c r="I685"/>
      <c r="J685"/>
      <c r="K685"/>
      <c r="L685"/>
      <c r="M685"/>
      <c r="N685"/>
      <c r="X685"/>
      <c r="Y685"/>
      <c r="Z685"/>
      <c r="AA685"/>
      <c r="AB685"/>
      <c r="AC685"/>
      <c r="AD685"/>
      <c r="AE685"/>
      <c r="AF685"/>
      <c r="AG685"/>
      <c r="AH685"/>
      <c r="AI685"/>
    </row>
    <row r="686" spans="1:36" x14ac:dyDescent="0.2">
      <c r="A686"/>
      <c r="B686"/>
      <c r="C686"/>
      <c r="D686"/>
      <c r="E686"/>
      <c r="F686"/>
      <c r="G686"/>
      <c r="H686"/>
      <c r="I686"/>
      <c r="J686"/>
      <c r="K686"/>
      <c r="L686"/>
      <c r="M686"/>
      <c r="N686"/>
      <c r="X686"/>
      <c r="Y686"/>
      <c r="Z686"/>
      <c r="AA686"/>
      <c r="AB686"/>
      <c r="AC686"/>
      <c r="AD686"/>
      <c r="AE686"/>
      <c r="AF686"/>
      <c r="AG686"/>
      <c r="AH686"/>
      <c r="AI686"/>
    </row>
    <row r="687" spans="1:36" x14ac:dyDescent="0.2">
      <c r="A687"/>
      <c r="B687"/>
      <c r="C687"/>
      <c r="D687"/>
      <c r="E687"/>
      <c r="F687"/>
      <c r="G687"/>
      <c r="H687"/>
      <c r="I687"/>
      <c r="J687"/>
      <c r="K687"/>
      <c r="L687"/>
      <c r="M687"/>
      <c r="N687"/>
      <c r="X687"/>
      <c r="Y687"/>
      <c r="Z687"/>
      <c r="AA687"/>
      <c r="AB687"/>
      <c r="AC687"/>
      <c r="AD687"/>
      <c r="AE687"/>
      <c r="AF687"/>
      <c r="AG687"/>
      <c r="AH687"/>
      <c r="AI687"/>
    </row>
    <row r="688" spans="1:36" x14ac:dyDescent="0.2">
      <c r="A688"/>
      <c r="B688"/>
      <c r="C688"/>
      <c r="D688"/>
      <c r="E688"/>
      <c r="F688"/>
      <c r="G688"/>
      <c r="H688"/>
      <c r="I688"/>
      <c r="J688"/>
      <c r="K688"/>
      <c r="L688"/>
      <c r="M688"/>
      <c r="N688"/>
      <c r="O688"/>
      <c r="P688"/>
      <c r="X688"/>
      <c r="Y688"/>
      <c r="Z688"/>
      <c r="AA688"/>
      <c r="AB688"/>
      <c r="AC688"/>
      <c r="AD688"/>
      <c r="AE688"/>
      <c r="AF688"/>
      <c r="AG688"/>
      <c r="AH688"/>
      <c r="AI688"/>
    </row>
    <row r="689" spans="1:35" x14ac:dyDescent="0.2">
      <c r="A689"/>
      <c r="B689"/>
      <c r="C689"/>
      <c r="D689"/>
      <c r="E689"/>
      <c r="F689"/>
      <c r="G689"/>
      <c r="H689"/>
      <c r="I689"/>
      <c r="J689"/>
      <c r="K689"/>
      <c r="L689"/>
      <c r="M689"/>
      <c r="N689"/>
      <c r="X689"/>
      <c r="Y689"/>
      <c r="Z689"/>
      <c r="AA689"/>
      <c r="AB689"/>
      <c r="AC689"/>
      <c r="AD689"/>
      <c r="AE689"/>
      <c r="AF689"/>
      <c r="AG689"/>
      <c r="AH689"/>
      <c r="AI689"/>
    </row>
    <row r="690" spans="1:35" x14ac:dyDescent="0.2">
      <c r="A690"/>
      <c r="B690"/>
      <c r="C690"/>
      <c r="D690"/>
      <c r="E690"/>
      <c r="F690"/>
      <c r="G690"/>
      <c r="H690"/>
      <c r="I690"/>
      <c r="J690"/>
      <c r="K690"/>
      <c r="L690"/>
      <c r="M690"/>
      <c r="N690"/>
      <c r="X690"/>
      <c r="Y690"/>
      <c r="Z690"/>
      <c r="AA690"/>
      <c r="AB690"/>
      <c r="AC690"/>
      <c r="AD690"/>
      <c r="AE690"/>
      <c r="AF690"/>
      <c r="AG690"/>
      <c r="AH690"/>
      <c r="AI690"/>
    </row>
    <row r="691" spans="1:35" x14ac:dyDescent="0.2">
      <c r="A691"/>
      <c r="B691"/>
      <c r="C691"/>
      <c r="D691"/>
      <c r="E691"/>
      <c r="F691"/>
      <c r="G691"/>
      <c r="H691"/>
      <c r="I691"/>
      <c r="J691"/>
      <c r="K691"/>
      <c r="L691"/>
      <c r="M691"/>
      <c r="N691"/>
      <c r="X691"/>
      <c r="Y691"/>
      <c r="Z691"/>
      <c r="AA691"/>
      <c r="AB691"/>
      <c r="AC691"/>
      <c r="AD691"/>
      <c r="AE691"/>
      <c r="AF691"/>
      <c r="AG691"/>
      <c r="AH691"/>
      <c r="AI691"/>
    </row>
    <row r="692" spans="1:35" x14ac:dyDescent="0.2">
      <c r="A692"/>
      <c r="B692"/>
      <c r="C692"/>
      <c r="D692"/>
      <c r="E692"/>
      <c r="F692"/>
      <c r="G692"/>
      <c r="H692"/>
      <c r="I692"/>
      <c r="J692"/>
      <c r="K692"/>
      <c r="L692"/>
      <c r="M692"/>
      <c r="N692"/>
      <c r="X692"/>
      <c r="Y692"/>
      <c r="Z692"/>
      <c r="AA692"/>
      <c r="AB692"/>
      <c r="AC692"/>
      <c r="AD692"/>
      <c r="AE692"/>
      <c r="AF692"/>
      <c r="AG692"/>
      <c r="AH692"/>
      <c r="AI692"/>
    </row>
    <row r="693" spans="1:35" x14ac:dyDescent="0.2">
      <c r="A693"/>
      <c r="B693"/>
      <c r="C693"/>
      <c r="D693"/>
      <c r="E693"/>
      <c r="F693"/>
      <c r="G693"/>
      <c r="H693"/>
      <c r="I693"/>
      <c r="J693"/>
      <c r="K693"/>
      <c r="L693"/>
      <c r="M693"/>
      <c r="N693"/>
      <c r="X693"/>
      <c r="Y693"/>
      <c r="Z693"/>
      <c r="AA693"/>
      <c r="AB693"/>
      <c r="AC693"/>
      <c r="AD693"/>
      <c r="AE693"/>
      <c r="AF693"/>
      <c r="AG693"/>
      <c r="AH693"/>
      <c r="AI693"/>
    </row>
    <row r="694" spans="1:35" x14ac:dyDescent="0.2">
      <c r="A694"/>
      <c r="B694"/>
      <c r="C694"/>
      <c r="D694"/>
      <c r="E694"/>
      <c r="F694"/>
      <c r="G694"/>
      <c r="H694"/>
      <c r="I694"/>
      <c r="J694"/>
      <c r="K694"/>
      <c r="L694"/>
      <c r="M694"/>
      <c r="N694"/>
      <c r="X694"/>
      <c r="Y694"/>
      <c r="Z694"/>
      <c r="AA694"/>
      <c r="AB694"/>
      <c r="AC694"/>
      <c r="AD694"/>
      <c r="AE694"/>
      <c r="AF694"/>
      <c r="AG694"/>
      <c r="AH694"/>
      <c r="AI694"/>
    </row>
    <row r="695" spans="1:35" x14ac:dyDescent="0.2">
      <c r="A695"/>
      <c r="B695"/>
      <c r="C695"/>
      <c r="D695"/>
      <c r="E695"/>
      <c r="F695"/>
      <c r="G695"/>
      <c r="H695"/>
      <c r="I695"/>
      <c r="J695"/>
      <c r="K695"/>
      <c r="L695"/>
      <c r="M695"/>
      <c r="N695"/>
      <c r="X695"/>
      <c r="Y695"/>
      <c r="Z695"/>
      <c r="AA695"/>
      <c r="AB695"/>
      <c r="AC695"/>
      <c r="AD695"/>
      <c r="AE695"/>
      <c r="AF695"/>
      <c r="AG695"/>
      <c r="AH695"/>
      <c r="AI695"/>
    </row>
    <row r="696" spans="1:35" x14ac:dyDescent="0.2">
      <c r="A696"/>
      <c r="B696"/>
      <c r="C696"/>
      <c r="D696"/>
      <c r="E696"/>
      <c r="F696"/>
      <c r="G696"/>
      <c r="H696"/>
      <c r="I696"/>
      <c r="J696"/>
      <c r="K696"/>
      <c r="L696"/>
      <c r="M696"/>
      <c r="N696"/>
      <c r="X696"/>
      <c r="Y696"/>
      <c r="Z696"/>
      <c r="AA696"/>
      <c r="AB696"/>
      <c r="AC696"/>
      <c r="AD696"/>
      <c r="AE696"/>
      <c r="AF696"/>
      <c r="AG696"/>
      <c r="AH696"/>
      <c r="AI696"/>
    </row>
    <row r="697" spans="1:35" x14ac:dyDescent="0.2">
      <c r="A697"/>
      <c r="B697"/>
      <c r="C697"/>
      <c r="D697"/>
      <c r="E697"/>
      <c r="F697"/>
      <c r="G697"/>
      <c r="H697"/>
      <c r="I697"/>
      <c r="J697"/>
      <c r="K697"/>
      <c r="L697"/>
      <c r="M697"/>
      <c r="N697"/>
      <c r="X697"/>
      <c r="Y697"/>
      <c r="Z697"/>
      <c r="AA697"/>
      <c r="AB697"/>
      <c r="AC697"/>
      <c r="AD697"/>
      <c r="AE697"/>
      <c r="AF697"/>
      <c r="AG697"/>
      <c r="AH697"/>
      <c r="AI697"/>
    </row>
    <row r="698" spans="1:35" x14ac:dyDescent="0.2">
      <c r="A698"/>
      <c r="B698"/>
      <c r="C698"/>
      <c r="D698"/>
      <c r="E698"/>
      <c r="F698"/>
      <c r="G698"/>
      <c r="H698"/>
      <c r="I698"/>
      <c r="J698"/>
      <c r="K698"/>
      <c r="L698"/>
      <c r="M698"/>
      <c r="N698"/>
      <c r="X698"/>
      <c r="Y698"/>
      <c r="Z698"/>
      <c r="AA698"/>
      <c r="AB698"/>
      <c r="AC698"/>
      <c r="AD698"/>
      <c r="AE698"/>
      <c r="AF698"/>
      <c r="AG698"/>
      <c r="AH698"/>
      <c r="AI698"/>
    </row>
    <row r="699" spans="1:35" x14ac:dyDescent="0.2">
      <c r="A699"/>
      <c r="B699"/>
      <c r="C699"/>
      <c r="D699"/>
      <c r="E699"/>
      <c r="F699"/>
      <c r="G699"/>
      <c r="H699"/>
      <c r="I699"/>
      <c r="J699"/>
      <c r="K699"/>
      <c r="L699"/>
      <c r="M699"/>
      <c r="N699"/>
      <c r="X699"/>
      <c r="Y699"/>
      <c r="Z699"/>
      <c r="AA699"/>
      <c r="AB699"/>
      <c r="AC699"/>
      <c r="AD699"/>
      <c r="AE699"/>
      <c r="AF699"/>
      <c r="AG699"/>
      <c r="AH699"/>
      <c r="AI699"/>
    </row>
    <row r="700" spans="1:35" x14ac:dyDescent="0.2">
      <c r="A700"/>
      <c r="B700"/>
      <c r="C700"/>
      <c r="D700"/>
      <c r="E700"/>
      <c r="F700"/>
      <c r="G700"/>
      <c r="H700"/>
      <c r="I700"/>
      <c r="J700"/>
      <c r="K700"/>
      <c r="L700"/>
      <c r="M700"/>
      <c r="N700"/>
      <c r="X700"/>
      <c r="Y700"/>
      <c r="Z700"/>
      <c r="AA700"/>
      <c r="AB700"/>
      <c r="AC700"/>
      <c r="AD700"/>
      <c r="AE700"/>
      <c r="AF700"/>
      <c r="AG700"/>
      <c r="AH700"/>
      <c r="AI700"/>
    </row>
    <row r="701" spans="1:35" x14ac:dyDescent="0.2">
      <c r="A701"/>
      <c r="B701"/>
      <c r="C701"/>
      <c r="D701"/>
      <c r="E701"/>
      <c r="F701"/>
      <c r="G701"/>
      <c r="H701"/>
      <c r="I701"/>
      <c r="J701"/>
      <c r="K701"/>
      <c r="L701"/>
      <c r="M701"/>
      <c r="N701"/>
      <c r="X701"/>
      <c r="Y701"/>
      <c r="Z701"/>
      <c r="AA701"/>
      <c r="AB701"/>
      <c r="AC701"/>
      <c r="AD701"/>
      <c r="AE701"/>
      <c r="AF701"/>
      <c r="AG701"/>
      <c r="AH701"/>
      <c r="AI701"/>
    </row>
    <row r="702" spans="1:35" x14ac:dyDescent="0.2">
      <c r="A702"/>
      <c r="B702"/>
      <c r="C702"/>
      <c r="D702"/>
      <c r="E702"/>
      <c r="F702"/>
      <c r="G702"/>
      <c r="H702"/>
      <c r="I702"/>
      <c r="J702"/>
      <c r="K702"/>
      <c r="L702"/>
      <c r="M702"/>
      <c r="N702"/>
      <c r="X702"/>
      <c r="Y702"/>
      <c r="Z702"/>
      <c r="AA702"/>
      <c r="AB702"/>
      <c r="AC702"/>
      <c r="AD702"/>
      <c r="AE702"/>
      <c r="AF702"/>
      <c r="AG702"/>
      <c r="AH702"/>
      <c r="AI702"/>
    </row>
    <row r="703" spans="1:35" x14ac:dyDescent="0.2">
      <c r="A703"/>
      <c r="B703"/>
      <c r="C703"/>
      <c r="D703"/>
      <c r="E703"/>
      <c r="F703"/>
      <c r="G703"/>
      <c r="H703"/>
      <c r="I703"/>
      <c r="J703"/>
      <c r="K703"/>
      <c r="L703"/>
      <c r="M703"/>
      <c r="N703"/>
      <c r="X703"/>
      <c r="Y703"/>
      <c r="Z703"/>
      <c r="AA703"/>
      <c r="AB703"/>
      <c r="AC703"/>
      <c r="AD703"/>
      <c r="AE703"/>
      <c r="AF703"/>
      <c r="AG703"/>
      <c r="AH703"/>
      <c r="AI703"/>
    </row>
    <row r="704" spans="1:35" x14ac:dyDescent="0.2">
      <c r="A704"/>
      <c r="B704"/>
      <c r="C704"/>
      <c r="D704"/>
      <c r="E704"/>
      <c r="F704"/>
      <c r="G704"/>
      <c r="H704"/>
      <c r="I704"/>
      <c r="J704"/>
      <c r="K704"/>
      <c r="L704"/>
      <c r="M704"/>
      <c r="N704"/>
      <c r="X704"/>
      <c r="Y704"/>
      <c r="Z704"/>
      <c r="AA704"/>
      <c r="AB704"/>
      <c r="AC704"/>
      <c r="AD704"/>
      <c r="AE704"/>
      <c r="AF704"/>
      <c r="AG704"/>
      <c r="AH704"/>
      <c r="AI704"/>
    </row>
    <row r="705" spans="1:35" x14ac:dyDescent="0.2">
      <c r="A705"/>
      <c r="B705"/>
      <c r="C705"/>
      <c r="D705"/>
      <c r="E705"/>
      <c r="F705"/>
      <c r="G705"/>
      <c r="H705"/>
      <c r="I705"/>
      <c r="J705"/>
      <c r="K705"/>
      <c r="L705"/>
      <c r="M705"/>
      <c r="N705"/>
      <c r="X705"/>
      <c r="Y705"/>
      <c r="Z705"/>
      <c r="AA705"/>
      <c r="AB705"/>
      <c r="AC705"/>
      <c r="AD705"/>
      <c r="AE705"/>
      <c r="AF705"/>
      <c r="AG705"/>
      <c r="AH705"/>
      <c r="AI705"/>
    </row>
    <row r="706" spans="1:35" x14ac:dyDescent="0.2">
      <c r="A706"/>
      <c r="B706"/>
      <c r="C706"/>
      <c r="D706"/>
      <c r="E706"/>
      <c r="F706"/>
      <c r="G706"/>
      <c r="H706"/>
      <c r="I706"/>
      <c r="J706"/>
      <c r="K706"/>
      <c r="L706"/>
      <c r="M706"/>
      <c r="N706"/>
      <c r="Q706"/>
      <c r="R706"/>
      <c r="S706"/>
      <c r="X706"/>
      <c r="Y706"/>
      <c r="Z706"/>
      <c r="AA706"/>
      <c r="AB706"/>
      <c r="AC706"/>
      <c r="AD706"/>
      <c r="AE706"/>
      <c r="AF706"/>
      <c r="AG706"/>
      <c r="AH706"/>
      <c r="AI706"/>
    </row>
    <row r="707" spans="1:35" x14ac:dyDescent="0.2">
      <c r="A707"/>
      <c r="B707"/>
      <c r="C707"/>
      <c r="D707"/>
      <c r="E707"/>
      <c r="F707"/>
      <c r="G707"/>
      <c r="H707"/>
      <c r="I707"/>
      <c r="J707"/>
      <c r="K707"/>
      <c r="L707"/>
      <c r="M707"/>
      <c r="N707"/>
      <c r="Q707"/>
      <c r="R707"/>
      <c r="S707"/>
      <c r="X707"/>
      <c r="Y707"/>
      <c r="Z707"/>
      <c r="AA707"/>
      <c r="AB707"/>
      <c r="AC707"/>
      <c r="AD707"/>
      <c r="AE707"/>
      <c r="AF707"/>
      <c r="AG707"/>
      <c r="AH707"/>
      <c r="AI707"/>
    </row>
    <row r="708" spans="1:35" x14ac:dyDescent="0.2">
      <c r="A708"/>
      <c r="B708"/>
      <c r="C708"/>
      <c r="D708"/>
      <c r="E708"/>
      <c r="F708"/>
      <c r="G708"/>
      <c r="H708"/>
      <c r="I708"/>
      <c r="J708"/>
      <c r="K708"/>
      <c r="L708"/>
      <c r="M708"/>
      <c r="N708"/>
      <c r="Q708"/>
      <c r="R708"/>
      <c r="S708"/>
      <c r="X708"/>
      <c r="Y708"/>
      <c r="Z708"/>
      <c r="AA708"/>
      <c r="AB708"/>
      <c r="AC708"/>
      <c r="AD708"/>
      <c r="AE708"/>
      <c r="AF708"/>
      <c r="AG708"/>
      <c r="AH708"/>
      <c r="AI708"/>
    </row>
    <row r="709" spans="1:35" x14ac:dyDescent="0.2">
      <c r="A709"/>
      <c r="B709"/>
      <c r="C709"/>
      <c r="D709"/>
      <c r="E709"/>
      <c r="F709"/>
      <c r="G709"/>
      <c r="H709"/>
      <c r="I709"/>
      <c r="J709"/>
      <c r="K709"/>
      <c r="L709"/>
      <c r="M709"/>
      <c r="N709"/>
      <c r="Q709" s="54"/>
      <c r="R709" s="54"/>
      <c r="S709" s="54"/>
      <c r="X709"/>
      <c r="Y709"/>
      <c r="Z709"/>
      <c r="AA709"/>
      <c r="AB709"/>
      <c r="AC709"/>
      <c r="AD709"/>
      <c r="AE709"/>
      <c r="AF709"/>
      <c r="AG709"/>
      <c r="AH709"/>
      <c r="AI709"/>
    </row>
    <row r="710" spans="1:35" x14ac:dyDescent="0.2">
      <c r="A710"/>
      <c r="B710"/>
      <c r="C710"/>
      <c r="D710"/>
      <c r="E710"/>
      <c r="F710"/>
      <c r="G710"/>
      <c r="H710"/>
      <c r="I710"/>
      <c r="J710"/>
      <c r="K710"/>
      <c r="L710"/>
      <c r="M710"/>
      <c r="N710"/>
      <c r="Q710" s="54"/>
      <c r="R710" s="54"/>
      <c r="S710" s="54"/>
      <c r="X710"/>
      <c r="Y710"/>
      <c r="Z710"/>
      <c r="AA710"/>
      <c r="AB710"/>
      <c r="AC710"/>
      <c r="AD710"/>
      <c r="AE710"/>
      <c r="AF710"/>
      <c r="AG710"/>
      <c r="AH710"/>
      <c r="AI710"/>
    </row>
    <row r="711" spans="1:35" x14ac:dyDescent="0.2">
      <c r="A711"/>
      <c r="B711"/>
      <c r="C711"/>
      <c r="D711"/>
      <c r="E711"/>
      <c r="F711"/>
      <c r="G711"/>
      <c r="H711"/>
      <c r="I711"/>
      <c r="J711"/>
      <c r="K711"/>
      <c r="L711"/>
      <c r="M711"/>
      <c r="N711"/>
      <c r="Q711" s="54"/>
      <c r="R711" s="54"/>
      <c r="S711" s="54"/>
      <c r="X711"/>
      <c r="Y711"/>
      <c r="Z711"/>
      <c r="AA711"/>
      <c r="AB711"/>
      <c r="AC711"/>
      <c r="AD711"/>
      <c r="AE711"/>
      <c r="AF711"/>
      <c r="AG711"/>
      <c r="AH711"/>
      <c r="AI711"/>
    </row>
    <row r="712" spans="1:35" x14ac:dyDescent="0.2">
      <c r="A712"/>
      <c r="B712"/>
      <c r="C712"/>
      <c r="D712"/>
      <c r="E712"/>
      <c r="F712"/>
      <c r="G712"/>
      <c r="H712"/>
      <c r="I712"/>
      <c r="J712"/>
      <c r="K712"/>
      <c r="L712"/>
      <c r="M712"/>
      <c r="N712"/>
      <c r="Q712" s="54"/>
      <c r="R712" s="54"/>
      <c r="S712" s="54"/>
      <c r="X712"/>
      <c r="Y712"/>
      <c r="Z712"/>
      <c r="AA712"/>
      <c r="AB712"/>
      <c r="AC712"/>
      <c r="AD712"/>
      <c r="AE712"/>
      <c r="AF712"/>
      <c r="AG712"/>
      <c r="AH712"/>
      <c r="AI712"/>
    </row>
    <row r="713" spans="1:35" x14ac:dyDescent="0.2">
      <c r="A713"/>
      <c r="B713"/>
      <c r="C713"/>
      <c r="D713"/>
      <c r="E713"/>
      <c r="F713"/>
      <c r="G713"/>
      <c r="H713"/>
      <c r="I713"/>
      <c r="J713"/>
      <c r="K713"/>
      <c r="L713"/>
      <c r="M713"/>
      <c r="N713"/>
      <c r="Q713" s="54"/>
      <c r="R713" s="54"/>
      <c r="S713" s="54"/>
      <c r="X713"/>
      <c r="Y713"/>
      <c r="Z713"/>
      <c r="AA713"/>
      <c r="AB713"/>
      <c r="AC713"/>
      <c r="AD713"/>
      <c r="AE713"/>
      <c r="AF713"/>
      <c r="AG713"/>
      <c r="AH713"/>
      <c r="AI713"/>
    </row>
    <row r="714" spans="1:35" x14ac:dyDescent="0.2">
      <c r="A714"/>
      <c r="B714"/>
      <c r="C714"/>
      <c r="D714"/>
      <c r="E714"/>
      <c r="F714"/>
      <c r="G714"/>
      <c r="H714"/>
      <c r="I714"/>
      <c r="J714"/>
      <c r="K714"/>
      <c r="L714"/>
      <c r="M714"/>
      <c r="N714"/>
      <c r="Q714" s="54"/>
      <c r="R714" s="54"/>
      <c r="S714" s="54"/>
      <c r="X714"/>
      <c r="Y714"/>
      <c r="Z714"/>
      <c r="AA714"/>
      <c r="AB714"/>
      <c r="AC714"/>
      <c r="AD714"/>
      <c r="AE714"/>
      <c r="AF714"/>
      <c r="AG714"/>
      <c r="AH714"/>
      <c r="AI714"/>
    </row>
    <row r="715" spans="1:35" x14ac:dyDescent="0.2">
      <c r="A715"/>
      <c r="B715"/>
      <c r="C715"/>
      <c r="D715"/>
      <c r="E715"/>
      <c r="F715"/>
      <c r="G715"/>
      <c r="H715"/>
      <c r="I715"/>
      <c r="J715"/>
      <c r="K715"/>
      <c r="L715"/>
      <c r="M715"/>
      <c r="N715"/>
      <c r="Q715" s="54"/>
      <c r="R715" s="54"/>
      <c r="S715" s="54"/>
      <c r="X715"/>
      <c r="Y715"/>
      <c r="Z715"/>
      <c r="AA715"/>
      <c r="AB715"/>
      <c r="AC715"/>
      <c r="AD715"/>
      <c r="AE715"/>
      <c r="AF715"/>
      <c r="AG715"/>
      <c r="AH715"/>
      <c r="AI715"/>
    </row>
    <row r="716" spans="1:35" x14ac:dyDescent="0.2">
      <c r="A716"/>
      <c r="B716"/>
      <c r="C716"/>
      <c r="D716"/>
      <c r="E716"/>
      <c r="F716"/>
      <c r="G716"/>
      <c r="H716"/>
      <c r="I716"/>
      <c r="J716"/>
      <c r="K716"/>
      <c r="L716"/>
      <c r="M716"/>
      <c r="N716"/>
      <c r="Q716" s="54"/>
      <c r="R716" s="54"/>
      <c r="S716" s="54"/>
      <c r="X716"/>
      <c r="Y716"/>
      <c r="Z716"/>
      <c r="AA716"/>
      <c r="AB716"/>
      <c r="AC716"/>
      <c r="AD716"/>
      <c r="AE716"/>
      <c r="AF716"/>
      <c r="AG716"/>
      <c r="AH716"/>
      <c r="AI716"/>
    </row>
    <row r="717" spans="1:35" x14ac:dyDescent="0.2">
      <c r="A717"/>
      <c r="B717"/>
      <c r="C717"/>
      <c r="D717"/>
      <c r="E717"/>
      <c r="F717"/>
      <c r="G717"/>
      <c r="H717"/>
      <c r="I717"/>
      <c r="J717"/>
      <c r="K717"/>
      <c r="L717"/>
      <c r="M717"/>
      <c r="N717"/>
      <c r="Q717" s="54"/>
      <c r="R717" s="54"/>
      <c r="S717" s="54"/>
      <c r="X717"/>
      <c r="Y717"/>
      <c r="Z717"/>
      <c r="AA717"/>
      <c r="AB717"/>
      <c r="AC717"/>
      <c r="AD717"/>
      <c r="AE717"/>
      <c r="AF717"/>
      <c r="AG717"/>
      <c r="AH717"/>
      <c r="AI717"/>
    </row>
    <row r="718" spans="1:35" x14ac:dyDescent="0.2">
      <c r="A718"/>
      <c r="B718"/>
      <c r="C718"/>
      <c r="D718"/>
      <c r="E718"/>
      <c r="F718"/>
      <c r="G718"/>
      <c r="H718"/>
      <c r="I718"/>
      <c r="J718"/>
      <c r="K718"/>
      <c r="L718"/>
      <c r="M718"/>
      <c r="N718"/>
      <c r="Q718" s="54"/>
      <c r="R718" s="54"/>
      <c r="S718" s="54"/>
      <c r="X718"/>
      <c r="Y718"/>
      <c r="Z718"/>
      <c r="AA718"/>
      <c r="AB718"/>
      <c r="AC718"/>
      <c r="AD718"/>
      <c r="AE718"/>
      <c r="AF718"/>
      <c r="AG718"/>
      <c r="AH718"/>
      <c r="AI718"/>
    </row>
    <row r="719" spans="1:35" x14ac:dyDescent="0.2">
      <c r="A719"/>
      <c r="B719"/>
      <c r="C719"/>
      <c r="D719"/>
      <c r="E719"/>
      <c r="F719"/>
      <c r="G719"/>
      <c r="H719"/>
      <c r="I719"/>
      <c r="J719"/>
      <c r="K719"/>
      <c r="L719"/>
      <c r="M719"/>
      <c r="N719"/>
      <c r="Q719" s="54"/>
      <c r="R719" s="54"/>
      <c r="S719" s="54"/>
      <c r="X719"/>
      <c r="Y719"/>
      <c r="Z719"/>
      <c r="AA719"/>
      <c r="AB719"/>
      <c r="AC719"/>
      <c r="AD719"/>
      <c r="AE719"/>
      <c r="AF719"/>
      <c r="AG719"/>
      <c r="AH719"/>
      <c r="AI719"/>
    </row>
    <row r="720" spans="1:35" x14ac:dyDescent="0.2">
      <c r="A720"/>
      <c r="B720"/>
      <c r="C720"/>
      <c r="D720"/>
      <c r="E720"/>
      <c r="F720"/>
      <c r="G720"/>
      <c r="H720"/>
      <c r="I720"/>
      <c r="J720"/>
      <c r="K720"/>
      <c r="L720"/>
      <c r="M720"/>
      <c r="N720"/>
      <c r="Q720" s="54"/>
      <c r="R720" s="54"/>
      <c r="S720" s="54"/>
      <c r="X720"/>
      <c r="Y720"/>
      <c r="Z720"/>
      <c r="AA720"/>
      <c r="AB720"/>
      <c r="AC720"/>
      <c r="AD720"/>
      <c r="AE720"/>
      <c r="AF720"/>
      <c r="AG720"/>
      <c r="AH720"/>
      <c r="AI720"/>
    </row>
    <row r="721" spans="1:35" x14ac:dyDescent="0.2">
      <c r="A721"/>
      <c r="B721"/>
      <c r="C721"/>
      <c r="D721"/>
      <c r="E721"/>
      <c r="F721"/>
      <c r="G721"/>
      <c r="H721"/>
      <c r="I721"/>
      <c r="J721"/>
      <c r="K721"/>
      <c r="L721"/>
      <c r="M721"/>
      <c r="N721"/>
      <c r="Q721" s="54"/>
      <c r="R721" s="54"/>
      <c r="S721" s="54"/>
      <c r="X721"/>
      <c r="Y721"/>
      <c r="Z721"/>
      <c r="AA721"/>
      <c r="AB721"/>
      <c r="AC721"/>
      <c r="AD721"/>
      <c r="AE721"/>
      <c r="AF721"/>
      <c r="AG721"/>
      <c r="AH721"/>
      <c r="AI721"/>
    </row>
    <row r="722" spans="1:35" x14ac:dyDescent="0.2">
      <c r="A722"/>
      <c r="B722"/>
      <c r="C722"/>
      <c r="D722"/>
      <c r="E722"/>
      <c r="F722"/>
      <c r="G722"/>
      <c r="H722"/>
      <c r="I722"/>
      <c r="J722"/>
      <c r="K722"/>
      <c r="L722"/>
      <c r="M722"/>
      <c r="N722"/>
      <c r="Q722" s="54"/>
      <c r="R722" s="54"/>
      <c r="S722" s="54"/>
      <c r="X722"/>
      <c r="Y722"/>
      <c r="Z722"/>
      <c r="AA722"/>
      <c r="AB722"/>
      <c r="AC722"/>
      <c r="AD722"/>
      <c r="AE722"/>
      <c r="AF722"/>
      <c r="AG722"/>
      <c r="AH722"/>
      <c r="AI722"/>
    </row>
    <row r="723" spans="1:35" x14ac:dyDescent="0.2">
      <c r="A723"/>
      <c r="B723"/>
      <c r="C723"/>
      <c r="D723"/>
      <c r="E723"/>
      <c r="F723"/>
      <c r="G723"/>
      <c r="H723"/>
      <c r="I723"/>
      <c r="J723"/>
      <c r="K723"/>
      <c r="L723"/>
      <c r="M723"/>
      <c r="N723"/>
      <c r="Q723" s="54"/>
      <c r="R723" s="54"/>
      <c r="S723" s="54"/>
      <c r="X723"/>
      <c r="Y723"/>
      <c r="Z723"/>
      <c r="AA723"/>
      <c r="AB723"/>
      <c r="AC723"/>
      <c r="AD723"/>
      <c r="AE723"/>
      <c r="AF723"/>
      <c r="AG723"/>
      <c r="AH723"/>
      <c r="AI723"/>
    </row>
    <row r="724" spans="1:35" x14ac:dyDescent="0.2">
      <c r="A724"/>
      <c r="B724"/>
      <c r="C724"/>
      <c r="D724"/>
      <c r="E724"/>
      <c r="F724"/>
      <c r="G724"/>
      <c r="H724"/>
      <c r="I724"/>
      <c r="J724"/>
      <c r="K724"/>
      <c r="L724"/>
      <c r="M724"/>
      <c r="N724"/>
      <c r="Q724" s="54"/>
      <c r="R724" s="54"/>
      <c r="S724" s="54"/>
      <c r="X724"/>
      <c r="Y724"/>
      <c r="Z724"/>
      <c r="AA724"/>
      <c r="AB724"/>
      <c r="AC724"/>
      <c r="AD724"/>
      <c r="AE724"/>
      <c r="AF724"/>
      <c r="AG724"/>
      <c r="AH724"/>
      <c r="AI724"/>
    </row>
    <row r="725" spans="1:35" x14ac:dyDescent="0.2">
      <c r="A725"/>
      <c r="B725"/>
      <c r="C725"/>
      <c r="D725"/>
      <c r="E725"/>
      <c r="F725"/>
      <c r="G725"/>
      <c r="H725"/>
      <c r="I725"/>
      <c r="J725"/>
      <c r="K725"/>
      <c r="L725"/>
      <c r="M725"/>
      <c r="N725"/>
      <c r="Q725" s="54"/>
      <c r="R725" s="54"/>
      <c r="S725" s="54"/>
      <c r="X725"/>
      <c r="Y725"/>
      <c r="Z725"/>
      <c r="AA725"/>
      <c r="AB725"/>
      <c r="AC725"/>
      <c r="AD725"/>
      <c r="AE725"/>
      <c r="AF725"/>
      <c r="AG725"/>
      <c r="AH725"/>
      <c r="AI725"/>
    </row>
    <row r="726" spans="1:35" x14ac:dyDescent="0.2">
      <c r="A726"/>
      <c r="B726"/>
      <c r="C726"/>
      <c r="D726"/>
      <c r="E726"/>
      <c r="F726"/>
      <c r="G726"/>
      <c r="H726"/>
      <c r="I726"/>
      <c r="J726"/>
      <c r="K726"/>
      <c r="L726"/>
      <c r="M726"/>
      <c r="N726"/>
      <c r="Q726" s="54"/>
      <c r="R726" s="54"/>
      <c r="S726" s="54"/>
      <c r="X726"/>
      <c r="Y726"/>
      <c r="Z726"/>
      <c r="AA726"/>
      <c r="AB726"/>
      <c r="AC726"/>
      <c r="AD726"/>
      <c r="AE726"/>
      <c r="AF726"/>
      <c r="AG726"/>
      <c r="AH726"/>
      <c r="AI726"/>
    </row>
    <row r="727" spans="1:35" x14ac:dyDescent="0.2">
      <c r="A727"/>
      <c r="B727"/>
      <c r="C727"/>
      <c r="D727"/>
      <c r="E727"/>
      <c r="F727"/>
      <c r="G727"/>
      <c r="H727"/>
      <c r="I727"/>
      <c r="J727"/>
      <c r="K727"/>
      <c r="L727"/>
      <c r="M727"/>
      <c r="N727"/>
      <c r="Q727" s="54"/>
      <c r="R727" s="54"/>
      <c r="S727" s="54"/>
      <c r="X727"/>
      <c r="Y727"/>
      <c r="Z727"/>
      <c r="AA727"/>
      <c r="AB727"/>
      <c r="AC727"/>
      <c r="AD727"/>
      <c r="AE727"/>
      <c r="AF727"/>
      <c r="AG727"/>
      <c r="AH727"/>
      <c r="AI727"/>
    </row>
    <row r="728" spans="1:35" x14ac:dyDescent="0.2">
      <c r="A728"/>
      <c r="B728"/>
      <c r="C728"/>
      <c r="D728"/>
      <c r="E728"/>
      <c r="F728"/>
      <c r="G728"/>
      <c r="H728"/>
      <c r="I728"/>
      <c r="J728"/>
      <c r="K728"/>
      <c r="L728"/>
      <c r="M728"/>
      <c r="N728"/>
      <c r="Q728" s="54"/>
      <c r="R728" s="54"/>
      <c r="S728" s="54"/>
      <c r="X728"/>
      <c r="Y728"/>
      <c r="Z728"/>
      <c r="AA728"/>
      <c r="AB728"/>
      <c r="AC728"/>
      <c r="AD728"/>
      <c r="AE728"/>
      <c r="AF728"/>
      <c r="AG728"/>
      <c r="AH728"/>
      <c r="AI728"/>
    </row>
    <row r="729" spans="1:35" x14ac:dyDescent="0.2">
      <c r="A729"/>
      <c r="B729"/>
      <c r="C729"/>
      <c r="D729"/>
      <c r="E729"/>
      <c r="F729"/>
      <c r="G729"/>
      <c r="H729"/>
      <c r="I729"/>
      <c r="J729"/>
      <c r="K729"/>
      <c r="L729"/>
      <c r="M729"/>
      <c r="N729"/>
      <c r="X729"/>
      <c r="Y729"/>
      <c r="Z729"/>
      <c r="AA729"/>
      <c r="AB729"/>
      <c r="AC729"/>
      <c r="AD729"/>
      <c r="AE729"/>
      <c r="AF729"/>
      <c r="AG729"/>
      <c r="AH729"/>
      <c r="AI729"/>
    </row>
    <row r="730" spans="1:35" x14ac:dyDescent="0.2">
      <c r="A730"/>
      <c r="B730"/>
      <c r="C730"/>
      <c r="D730"/>
      <c r="E730"/>
      <c r="F730"/>
      <c r="G730"/>
      <c r="H730"/>
      <c r="I730"/>
      <c r="J730"/>
      <c r="K730"/>
      <c r="L730"/>
      <c r="M730"/>
      <c r="N730"/>
      <c r="X730"/>
      <c r="Y730"/>
      <c r="Z730"/>
      <c r="AA730"/>
      <c r="AB730"/>
      <c r="AC730"/>
      <c r="AD730"/>
      <c r="AE730"/>
      <c r="AF730"/>
      <c r="AG730"/>
      <c r="AH730"/>
      <c r="AI730"/>
    </row>
    <row r="731" spans="1:35" x14ac:dyDescent="0.2">
      <c r="A731"/>
      <c r="B731"/>
      <c r="C731"/>
      <c r="D731"/>
      <c r="E731"/>
      <c r="F731"/>
      <c r="G731"/>
      <c r="H731"/>
      <c r="I731"/>
      <c r="J731"/>
      <c r="K731"/>
      <c r="L731"/>
      <c r="M731"/>
      <c r="N731"/>
      <c r="X731"/>
      <c r="Y731"/>
      <c r="Z731"/>
      <c r="AA731"/>
      <c r="AB731"/>
      <c r="AC731"/>
      <c r="AD731"/>
      <c r="AE731"/>
      <c r="AF731"/>
      <c r="AG731"/>
      <c r="AH731"/>
      <c r="AI731"/>
    </row>
    <row r="732" spans="1:35" x14ac:dyDescent="0.2">
      <c r="A732"/>
      <c r="B732"/>
      <c r="C732"/>
      <c r="D732"/>
      <c r="E732"/>
      <c r="F732"/>
      <c r="G732"/>
      <c r="H732"/>
      <c r="I732"/>
      <c r="J732"/>
      <c r="K732"/>
      <c r="L732"/>
      <c r="M732"/>
      <c r="N732"/>
      <c r="X732"/>
      <c r="Y732"/>
      <c r="Z732"/>
      <c r="AA732"/>
      <c r="AB732"/>
      <c r="AC732"/>
      <c r="AD732"/>
      <c r="AE732"/>
      <c r="AF732"/>
      <c r="AG732"/>
      <c r="AH732"/>
      <c r="AI732"/>
    </row>
    <row r="733" spans="1:35" x14ac:dyDescent="0.2">
      <c r="A733"/>
      <c r="B733"/>
      <c r="C733"/>
      <c r="D733"/>
      <c r="E733"/>
      <c r="F733"/>
      <c r="G733"/>
      <c r="H733"/>
      <c r="I733"/>
      <c r="J733"/>
      <c r="K733"/>
      <c r="L733"/>
      <c r="M733"/>
      <c r="N733"/>
      <c r="X733"/>
      <c r="Y733"/>
      <c r="Z733"/>
      <c r="AA733"/>
      <c r="AB733"/>
      <c r="AC733"/>
      <c r="AD733"/>
      <c r="AE733"/>
      <c r="AF733"/>
      <c r="AG733"/>
      <c r="AH733"/>
      <c r="AI733"/>
    </row>
    <row r="734" spans="1:35" x14ac:dyDescent="0.2">
      <c r="A734"/>
      <c r="B734"/>
      <c r="C734"/>
      <c r="D734"/>
      <c r="E734"/>
      <c r="F734"/>
      <c r="G734"/>
      <c r="H734"/>
      <c r="I734"/>
      <c r="J734"/>
      <c r="K734"/>
      <c r="L734"/>
      <c r="M734"/>
      <c r="N734"/>
      <c r="X734"/>
      <c r="Y734"/>
      <c r="Z734"/>
      <c r="AA734"/>
      <c r="AB734"/>
      <c r="AC734"/>
      <c r="AD734"/>
      <c r="AE734"/>
      <c r="AF734"/>
      <c r="AG734"/>
      <c r="AH734"/>
      <c r="AI734"/>
    </row>
    <row r="735" spans="1:35" x14ac:dyDescent="0.2">
      <c r="A735"/>
      <c r="B735"/>
      <c r="C735"/>
      <c r="D735"/>
      <c r="E735"/>
      <c r="F735"/>
      <c r="G735"/>
      <c r="H735"/>
      <c r="I735"/>
      <c r="J735"/>
      <c r="K735"/>
      <c r="L735"/>
      <c r="M735"/>
      <c r="N735"/>
      <c r="X735"/>
      <c r="Y735"/>
      <c r="Z735"/>
      <c r="AA735"/>
      <c r="AB735"/>
      <c r="AC735"/>
      <c r="AD735"/>
      <c r="AE735"/>
      <c r="AF735"/>
      <c r="AG735"/>
      <c r="AH735"/>
      <c r="AI735"/>
    </row>
    <row r="736" spans="1:35" x14ac:dyDescent="0.2">
      <c r="A736"/>
      <c r="B736"/>
      <c r="C736"/>
      <c r="D736"/>
      <c r="E736"/>
      <c r="F736"/>
      <c r="G736"/>
      <c r="H736"/>
      <c r="I736"/>
      <c r="J736"/>
      <c r="K736"/>
      <c r="L736"/>
      <c r="M736"/>
      <c r="N736"/>
      <c r="X736"/>
      <c r="Y736"/>
      <c r="Z736"/>
      <c r="AA736"/>
      <c r="AB736"/>
      <c r="AC736"/>
      <c r="AD736"/>
      <c r="AE736"/>
      <c r="AF736"/>
      <c r="AG736"/>
      <c r="AH736"/>
      <c r="AI736"/>
    </row>
    <row r="737" spans="1:35" x14ac:dyDescent="0.2">
      <c r="A737"/>
      <c r="B737"/>
      <c r="C737"/>
      <c r="D737"/>
      <c r="E737"/>
      <c r="F737"/>
      <c r="G737"/>
      <c r="H737"/>
      <c r="I737"/>
      <c r="J737"/>
      <c r="K737"/>
      <c r="L737"/>
      <c r="M737"/>
      <c r="N737"/>
      <c r="X737"/>
      <c r="Y737"/>
      <c r="Z737"/>
      <c r="AA737"/>
      <c r="AB737"/>
      <c r="AC737"/>
      <c r="AD737"/>
      <c r="AE737"/>
      <c r="AF737"/>
      <c r="AG737"/>
      <c r="AH737"/>
      <c r="AI737"/>
    </row>
    <row r="738" spans="1:35" x14ac:dyDescent="0.2">
      <c r="A738"/>
      <c r="B738"/>
      <c r="C738"/>
      <c r="D738"/>
      <c r="E738"/>
      <c r="F738"/>
      <c r="G738"/>
      <c r="H738"/>
      <c r="I738"/>
      <c r="J738"/>
      <c r="K738"/>
      <c r="L738"/>
      <c r="M738"/>
      <c r="N738"/>
      <c r="X738"/>
      <c r="Y738"/>
      <c r="Z738"/>
      <c r="AA738"/>
      <c r="AB738"/>
      <c r="AC738"/>
      <c r="AD738"/>
      <c r="AE738"/>
      <c r="AF738"/>
      <c r="AG738"/>
      <c r="AH738"/>
      <c r="AI738"/>
    </row>
    <row r="739" spans="1:35" x14ac:dyDescent="0.2">
      <c r="A739"/>
      <c r="B739"/>
      <c r="C739"/>
      <c r="D739"/>
      <c r="E739"/>
      <c r="F739"/>
      <c r="G739"/>
      <c r="H739"/>
      <c r="I739"/>
      <c r="J739"/>
      <c r="K739"/>
      <c r="L739"/>
      <c r="M739"/>
      <c r="N739"/>
      <c r="X739"/>
      <c r="Y739"/>
      <c r="Z739"/>
      <c r="AA739"/>
      <c r="AB739"/>
      <c r="AC739"/>
      <c r="AD739"/>
      <c r="AE739"/>
      <c r="AF739"/>
      <c r="AG739"/>
      <c r="AH739"/>
      <c r="AI739"/>
    </row>
    <row r="740" spans="1:35" x14ac:dyDescent="0.2">
      <c r="A740"/>
      <c r="B740"/>
      <c r="C740"/>
      <c r="D740"/>
      <c r="E740"/>
      <c r="F740"/>
      <c r="G740"/>
      <c r="H740"/>
      <c r="I740"/>
      <c r="J740"/>
      <c r="K740"/>
      <c r="L740"/>
      <c r="M740"/>
      <c r="N740"/>
      <c r="X740"/>
      <c r="Y740"/>
      <c r="Z740"/>
      <c r="AA740"/>
      <c r="AB740"/>
      <c r="AC740"/>
      <c r="AD740"/>
      <c r="AE740"/>
      <c r="AF740"/>
      <c r="AG740"/>
      <c r="AH740"/>
      <c r="AI740"/>
    </row>
    <row r="741" spans="1:35" x14ac:dyDescent="0.2">
      <c r="A741"/>
      <c r="B741"/>
      <c r="C741"/>
      <c r="D741"/>
      <c r="E741"/>
      <c r="F741"/>
      <c r="G741"/>
      <c r="H741"/>
      <c r="I741"/>
      <c r="J741"/>
      <c r="K741"/>
      <c r="L741"/>
      <c r="M741"/>
      <c r="N741"/>
      <c r="X741"/>
      <c r="Y741"/>
      <c r="Z741"/>
      <c r="AA741"/>
      <c r="AB741"/>
      <c r="AC741"/>
      <c r="AD741"/>
      <c r="AE741"/>
      <c r="AF741"/>
      <c r="AG741"/>
      <c r="AH741"/>
      <c r="AI741"/>
    </row>
    <row r="742" spans="1:35" x14ac:dyDescent="0.2">
      <c r="A742"/>
      <c r="B742"/>
      <c r="C742"/>
      <c r="D742"/>
      <c r="E742"/>
      <c r="F742"/>
      <c r="G742"/>
      <c r="H742"/>
      <c r="I742"/>
      <c r="J742"/>
      <c r="K742"/>
      <c r="L742"/>
      <c r="M742"/>
      <c r="N742"/>
      <c r="X742"/>
      <c r="Y742"/>
      <c r="Z742"/>
      <c r="AA742"/>
      <c r="AB742"/>
      <c r="AC742"/>
      <c r="AD742"/>
      <c r="AE742"/>
      <c r="AF742"/>
      <c r="AG742"/>
      <c r="AH742"/>
      <c r="AI742"/>
    </row>
    <row r="743" spans="1:35" x14ac:dyDescent="0.2">
      <c r="A743"/>
      <c r="B743"/>
      <c r="C743"/>
      <c r="D743"/>
      <c r="E743"/>
      <c r="F743"/>
      <c r="G743"/>
      <c r="H743"/>
      <c r="I743"/>
      <c r="J743"/>
      <c r="K743"/>
      <c r="L743"/>
      <c r="M743"/>
      <c r="N743"/>
      <c r="X743"/>
      <c r="Y743"/>
      <c r="Z743"/>
      <c r="AA743"/>
      <c r="AB743"/>
      <c r="AC743"/>
      <c r="AD743"/>
      <c r="AE743"/>
      <c r="AF743"/>
      <c r="AG743"/>
      <c r="AH743"/>
      <c r="AI743"/>
    </row>
    <row r="744" spans="1:35" x14ac:dyDescent="0.2">
      <c r="A744"/>
      <c r="B744"/>
      <c r="C744"/>
      <c r="D744"/>
      <c r="E744"/>
      <c r="F744"/>
      <c r="G744"/>
      <c r="H744"/>
      <c r="I744"/>
      <c r="J744"/>
      <c r="K744"/>
      <c r="L744"/>
      <c r="M744"/>
      <c r="N744"/>
      <c r="X744"/>
      <c r="Y744"/>
      <c r="Z744"/>
      <c r="AA744"/>
      <c r="AB744"/>
      <c r="AC744"/>
      <c r="AD744"/>
      <c r="AE744"/>
      <c r="AF744"/>
      <c r="AG744"/>
      <c r="AH744"/>
      <c r="AI744"/>
    </row>
    <row r="745" spans="1:35" x14ac:dyDescent="0.2">
      <c r="A745"/>
      <c r="B745"/>
      <c r="C745"/>
      <c r="D745"/>
      <c r="E745"/>
      <c r="F745"/>
      <c r="G745"/>
      <c r="H745"/>
      <c r="I745"/>
      <c r="J745"/>
      <c r="K745"/>
      <c r="L745"/>
      <c r="M745"/>
      <c r="N745"/>
      <c r="X745"/>
      <c r="Y745"/>
      <c r="Z745"/>
      <c r="AA745"/>
      <c r="AB745"/>
      <c r="AC745"/>
      <c r="AD745"/>
      <c r="AE745"/>
      <c r="AF745"/>
      <c r="AG745"/>
      <c r="AH745"/>
      <c r="AI745"/>
    </row>
    <row r="746" spans="1:35" x14ac:dyDescent="0.2">
      <c r="A746"/>
      <c r="B746"/>
      <c r="C746"/>
      <c r="D746"/>
      <c r="E746"/>
      <c r="F746"/>
      <c r="G746"/>
      <c r="H746"/>
      <c r="I746"/>
      <c r="J746"/>
      <c r="K746"/>
      <c r="L746"/>
      <c r="M746"/>
      <c r="N746"/>
      <c r="X746"/>
      <c r="Y746"/>
      <c r="Z746"/>
      <c r="AA746"/>
      <c r="AB746"/>
      <c r="AC746"/>
      <c r="AD746"/>
      <c r="AE746"/>
      <c r="AF746"/>
      <c r="AG746"/>
      <c r="AH746"/>
      <c r="AI746"/>
    </row>
    <row r="747" spans="1:35" x14ac:dyDescent="0.2">
      <c r="A747"/>
      <c r="B747"/>
      <c r="C747"/>
      <c r="D747"/>
      <c r="E747"/>
      <c r="F747"/>
      <c r="G747"/>
      <c r="H747"/>
      <c r="I747"/>
      <c r="J747"/>
      <c r="K747"/>
      <c r="L747"/>
      <c r="M747"/>
      <c r="N747"/>
      <c r="X747"/>
      <c r="Y747"/>
      <c r="Z747"/>
      <c r="AA747"/>
      <c r="AB747"/>
      <c r="AC747"/>
      <c r="AD747"/>
      <c r="AE747"/>
      <c r="AF747"/>
      <c r="AG747"/>
      <c r="AH747"/>
      <c r="AI747"/>
    </row>
    <row r="748" spans="1:35" x14ac:dyDescent="0.2">
      <c r="A748"/>
      <c r="B748"/>
      <c r="C748"/>
      <c r="D748"/>
      <c r="E748"/>
      <c r="F748"/>
      <c r="G748"/>
      <c r="H748"/>
      <c r="I748"/>
      <c r="J748"/>
      <c r="K748"/>
      <c r="L748"/>
      <c r="M748"/>
      <c r="N748"/>
      <c r="X748"/>
      <c r="Y748"/>
      <c r="Z748"/>
      <c r="AA748"/>
      <c r="AB748"/>
      <c r="AC748"/>
      <c r="AD748"/>
      <c r="AE748"/>
      <c r="AF748"/>
      <c r="AG748"/>
      <c r="AH748"/>
      <c r="AI748"/>
    </row>
    <row r="749" spans="1:35" x14ac:dyDescent="0.2">
      <c r="A749"/>
      <c r="B749"/>
      <c r="C749"/>
      <c r="D749"/>
      <c r="E749"/>
      <c r="F749"/>
      <c r="G749"/>
      <c r="H749"/>
      <c r="I749"/>
      <c r="J749"/>
      <c r="K749"/>
      <c r="L749"/>
      <c r="M749"/>
      <c r="N749"/>
      <c r="X749"/>
      <c r="Y749"/>
      <c r="Z749"/>
      <c r="AA749"/>
      <c r="AB749"/>
      <c r="AC749"/>
      <c r="AD749"/>
      <c r="AE749"/>
      <c r="AF749"/>
      <c r="AG749"/>
      <c r="AH749"/>
      <c r="AI749"/>
    </row>
    <row r="750" spans="1:35" x14ac:dyDescent="0.2">
      <c r="A750"/>
      <c r="B750"/>
      <c r="C750"/>
      <c r="D750"/>
      <c r="E750"/>
      <c r="F750"/>
      <c r="G750"/>
      <c r="H750"/>
      <c r="I750"/>
      <c r="J750"/>
      <c r="K750"/>
      <c r="L750"/>
      <c r="M750"/>
      <c r="N750"/>
      <c r="X750"/>
      <c r="Y750"/>
      <c r="Z750"/>
      <c r="AA750"/>
      <c r="AB750"/>
      <c r="AC750"/>
      <c r="AD750"/>
      <c r="AE750"/>
      <c r="AF750"/>
      <c r="AG750"/>
      <c r="AH750"/>
      <c r="AI750"/>
    </row>
    <row r="751" spans="1:35" x14ac:dyDescent="0.2">
      <c r="A751"/>
      <c r="B751"/>
      <c r="C751"/>
      <c r="D751"/>
      <c r="E751"/>
      <c r="F751"/>
      <c r="G751"/>
      <c r="H751"/>
      <c r="I751"/>
      <c r="J751"/>
      <c r="K751"/>
      <c r="L751"/>
      <c r="M751"/>
      <c r="N751"/>
      <c r="X751"/>
      <c r="Y751"/>
      <c r="Z751"/>
      <c r="AA751"/>
      <c r="AB751"/>
      <c r="AC751"/>
      <c r="AD751"/>
      <c r="AE751"/>
      <c r="AF751"/>
      <c r="AG751"/>
      <c r="AH751"/>
      <c r="AI751"/>
    </row>
    <row r="752" spans="1:35" x14ac:dyDescent="0.2">
      <c r="A752"/>
      <c r="B752"/>
      <c r="C752"/>
      <c r="D752"/>
      <c r="E752"/>
      <c r="F752"/>
      <c r="G752"/>
      <c r="H752"/>
      <c r="I752"/>
      <c r="J752"/>
      <c r="K752"/>
      <c r="L752"/>
      <c r="M752"/>
      <c r="N752"/>
      <c r="X752"/>
      <c r="Y752"/>
      <c r="Z752"/>
      <c r="AA752"/>
      <c r="AB752"/>
      <c r="AC752"/>
      <c r="AD752"/>
      <c r="AE752"/>
      <c r="AF752"/>
      <c r="AG752"/>
      <c r="AH752"/>
      <c r="AI752"/>
    </row>
    <row r="753" spans="1:35" x14ac:dyDescent="0.2">
      <c r="A753"/>
      <c r="B753"/>
      <c r="C753"/>
      <c r="D753"/>
      <c r="E753"/>
      <c r="F753"/>
      <c r="G753"/>
      <c r="H753"/>
      <c r="I753"/>
      <c r="J753"/>
      <c r="K753"/>
      <c r="L753"/>
      <c r="M753"/>
      <c r="N753"/>
      <c r="X753"/>
      <c r="Y753"/>
      <c r="Z753"/>
      <c r="AA753"/>
      <c r="AB753"/>
      <c r="AC753"/>
      <c r="AD753"/>
      <c r="AE753"/>
      <c r="AF753"/>
      <c r="AG753"/>
      <c r="AH753"/>
      <c r="AI753"/>
    </row>
    <row r="754" spans="1:35" x14ac:dyDescent="0.2">
      <c r="A754"/>
      <c r="B754"/>
      <c r="C754"/>
      <c r="D754"/>
      <c r="E754"/>
      <c r="F754"/>
      <c r="G754"/>
      <c r="H754"/>
      <c r="I754"/>
      <c r="J754"/>
      <c r="K754"/>
      <c r="L754"/>
      <c r="M754"/>
      <c r="N754"/>
      <c r="X754"/>
      <c r="Y754"/>
      <c r="Z754"/>
      <c r="AA754"/>
      <c r="AB754"/>
      <c r="AC754"/>
      <c r="AD754"/>
      <c r="AE754"/>
      <c r="AF754"/>
      <c r="AG754"/>
      <c r="AH754"/>
      <c r="AI754"/>
    </row>
    <row r="755" spans="1:35" x14ac:dyDescent="0.2">
      <c r="A755"/>
      <c r="B755"/>
      <c r="C755"/>
      <c r="D755"/>
      <c r="E755"/>
      <c r="F755"/>
      <c r="G755"/>
      <c r="H755"/>
      <c r="I755"/>
      <c r="J755"/>
      <c r="K755"/>
      <c r="L755"/>
      <c r="M755"/>
      <c r="N755"/>
      <c r="X755"/>
      <c r="Y755"/>
      <c r="Z755"/>
      <c r="AA755"/>
      <c r="AB755"/>
      <c r="AC755"/>
      <c r="AD755"/>
      <c r="AE755"/>
      <c r="AF755"/>
      <c r="AG755"/>
      <c r="AH755"/>
      <c r="AI755"/>
    </row>
    <row r="756" spans="1:35" x14ac:dyDescent="0.2">
      <c r="A756"/>
      <c r="B756"/>
      <c r="C756"/>
      <c r="D756"/>
      <c r="E756"/>
      <c r="F756"/>
      <c r="G756"/>
      <c r="H756"/>
      <c r="I756"/>
      <c r="J756"/>
      <c r="K756"/>
      <c r="L756"/>
      <c r="M756"/>
      <c r="N756"/>
      <c r="X756"/>
      <c r="Y756"/>
      <c r="Z756"/>
      <c r="AA756"/>
      <c r="AB756"/>
      <c r="AC756"/>
      <c r="AD756"/>
      <c r="AE756"/>
      <c r="AF756"/>
      <c r="AG756"/>
      <c r="AH756"/>
      <c r="AI756"/>
    </row>
    <row r="757" spans="1:35" x14ac:dyDescent="0.2">
      <c r="A757"/>
      <c r="B757"/>
      <c r="C757"/>
      <c r="D757"/>
      <c r="E757"/>
      <c r="F757"/>
      <c r="G757"/>
      <c r="H757"/>
      <c r="I757"/>
      <c r="J757"/>
      <c r="K757"/>
      <c r="L757"/>
      <c r="M757"/>
      <c r="N757"/>
      <c r="X757"/>
      <c r="Y757"/>
      <c r="Z757"/>
      <c r="AA757"/>
      <c r="AB757"/>
      <c r="AC757"/>
      <c r="AD757"/>
      <c r="AE757"/>
      <c r="AF757"/>
      <c r="AG757"/>
      <c r="AH757"/>
      <c r="AI757"/>
    </row>
    <row r="758" spans="1:35" x14ac:dyDescent="0.2">
      <c r="A758"/>
      <c r="B758"/>
      <c r="C758"/>
      <c r="D758"/>
      <c r="E758"/>
      <c r="F758"/>
      <c r="G758"/>
      <c r="H758"/>
      <c r="I758"/>
      <c r="J758"/>
      <c r="K758"/>
      <c r="L758"/>
      <c r="M758"/>
      <c r="N758"/>
      <c r="X758"/>
      <c r="Y758"/>
      <c r="Z758"/>
      <c r="AA758"/>
      <c r="AB758"/>
      <c r="AC758"/>
      <c r="AD758"/>
      <c r="AE758"/>
      <c r="AF758"/>
      <c r="AG758"/>
      <c r="AH758"/>
      <c r="AI758"/>
    </row>
    <row r="759" spans="1:35" x14ac:dyDescent="0.2">
      <c r="A759"/>
      <c r="B759"/>
      <c r="C759"/>
      <c r="D759"/>
      <c r="E759"/>
      <c r="F759"/>
      <c r="G759"/>
      <c r="H759"/>
      <c r="I759"/>
      <c r="J759"/>
      <c r="K759"/>
      <c r="L759"/>
      <c r="M759"/>
      <c r="N759"/>
      <c r="X759"/>
      <c r="Y759"/>
      <c r="Z759"/>
      <c r="AA759"/>
      <c r="AB759"/>
      <c r="AC759"/>
      <c r="AD759"/>
      <c r="AE759"/>
      <c r="AF759"/>
      <c r="AG759"/>
      <c r="AH759"/>
      <c r="AI759"/>
    </row>
    <row r="760" spans="1:35" x14ac:dyDescent="0.2">
      <c r="A760"/>
      <c r="B760"/>
      <c r="C760"/>
      <c r="D760"/>
      <c r="E760"/>
      <c r="F760"/>
      <c r="G760"/>
      <c r="H760"/>
      <c r="I760"/>
      <c r="J760"/>
      <c r="K760"/>
      <c r="L760"/>
      <c r="M760"/>
      <c r="N760"/>
      <c r="X760"/>
      <c r="Y760"/>
      <c r="Z760"/>
      <c r="AA760"/>
      <c r="AB760"/>
      <c r="AC760"/>
      <c r="AD760"/>
      <c r="AE760"/>
      <c r="AF760"/>
      <c r="AG760"/>
      <c r="AH760"/>
      <c r="AI760"/>
    </row>
    <row r="761" spans="1:35" x14ac:dyDescent="0.2">
      <c r="A761"/>
      <c r="B761"/>
      <c r="C761"/>
      <c r="D761"/>
      <c r="E761"/>
      <c r="F761"/>
      <c r="G761"/>
      <c r="H761"/>
      <c r="I761"/>
      <c r="J761"/>
      <c r="K761"/>
      <c r="L761"/>
      <c r="M761"/>
      <c r="N761"/>
      <c r="X761"/>
      <c r="Y761"/>
      <c r="Z761"/>
      <c r="AA761"/>
      <c r="AB761"/>
      <c r="AC761"/>
      <c r="AD761"/>
      <c r="AE761"/>
      <c r="AF761"/>
      <c r="AG761"/>
      <c r="AH761"/>
      <c r="AI761"/>
    </row>
    <row r="762" spans="1:35" x14ac:dyDescent="0.2">
      <c r="A762"/>
      <c r="B762"/>
      <c r="C762"/>
      <c r="D762"/>
      <c r="E762"/>
      <c r="F762"/>
      <c r="G762"/>
      <c r="H762"/>
      <c r="I762"/>
      <c r="J762"/>
      <c r="K762"/>
      <c r="L762"/>
      <c r="M762"/>
      <c r="N762"/>
      <c r="X762"/>
      <c r="Y762"/>
      <c r="Z762"/>
      <c r="AA762"/>
      <c r="AB762"/>
      <c r="AC762"/>
      <c r="AD762"/>
      <c r="AE762"/>
      <c r="AF762"/>
      <c r="AG762"/>
      <c r="AH762"/>
      <c r="AI762"/>
    </row>
    <row r="763" spans="1:35" x14ac:dyDescent="0.2">
      <c r="A763"/>
      <c r="B763"/>
      <c r="C763"/>
      <c r="D763"/>
      <c r="E763"/>
      <c r="F763"/>
      <c r="G763"/>
      <c r="H763"/>
      <c r="I763"/>
      <c r="J763"/>
      <c r="K763"/>
      <c r="L763"/>
      <c r="M763"/>
      <c r="N763"/>
      <c r="X763"/>
      <c r="Y763"/>
      <c r="Z763"/>
      <c r="AA763"/>
      <c r="AB763"/>
      <c r="AC763"/>
      <c r="AD763"/>
      <c r="AE763"/>
      <c r="AF763"/>
      <c r="AG763"/>
      <c r="AH763"/>
      <c r="AI763"/>
    </row>
    <row r="764" spans="1:35" x14ac:dyDescent="0.2">
      <c r="A764"/>
      <c r="B764"/>
      <c r="C764"/>
      <c r="D764"/>
      <c r="E764"/>
      <c r="F764"/>
      <c r="G764"/>
      <c r="H764"/>
      <c r="I764"/>
      <c r="J764"/>
      <c r="K764"/>
      <c r="L764"/>
      <c r="M764"/>
      <c r="N764"/>
      <c r="X764"/>
      <c r="Y764"/>
      <c r="Z764"/>
      <c r="AA764"/>
      <c r="AB764"/>
      <c r="AC764"/>
      <c r="AD764"/>
      <c r="AE764"/>
      <c r="AF764"/>
      <c r="AG764"/>
      <c r="AH764"/>
      <c r="AI764"/>
    </row>
    <row r="765" spans="1:35" x14ac:dyDescent="0.2">
      <c r="A765"/>
      <c r="B765"/>
      <c r="C765"/>
      <c r="D765"/>
      <c r="E765"/>
      <c r="F765"/>
      <c r="G765"/>
      <c r="H765"/>
      <c r="I765"/>
      <c r="J765"/>
      <c r="K765"/>
      <c r="L765"/>
      <c r="M765"/>
      <c r="N765"/>
      <c r="X765"/>
      <c r="Y765"/>
      <c r="Z765"/>
      <c r="AA765"/>
      <c r="AB765"/>
      <c r="AC765"/>
      <c r="AD765"/>
      <c r="AE765"/>
      <c r="AF765"/>
      <c r="AG765"/>
      <c r="AH765"/>
      <c r="AI765"/>
    </row>
    <row r="766" spans="1:35" x14ac:dyDescent="0.2">
      <c r="A766"/>
      <c r="B766"/>
      <c r="C766"/>
      <c r="D766"/>
      <c r="E766"/>
      <c r="F766"/>
      <c r="G766"/>
      <c r="H766"/>
      <c r="I766"/>
      <c r="J766"/>
      <c r="K766"/>
      <c r="L766"/>
      <c r="M766"/>
      <c r="N766"/>
      <c r="X766"/>
      <c r="Y766"/>
      <c r="Z766"/>
      <c r="AA766"/>
      <c r="AB766"/>
      <c r="AC766"/>
      <c r="AD766"/>
      <c r="AE766"/>
      <c r="AF766"/>
      <c r="AG766"/>
      <c r="AH766"/>
      <c r="AI766"/>
    </row>
    <row r="767" spans="1:35" x14ac:dyDescent="0.2">
      <c r="A767"/>
      <c r="B767"/>
      <c r="C767"/>
      <c r="D767"/>
      <c r="E767"/>
      <c r="F767"/>
      <c r="G767"/>
      <c r="H767"/>
      <c r="I767"/>
      <c r="J767"/>
      <c r="K767"/>
      <c r="L767"/>
      <c r="M767"/>
      <c r="N767"/>
      <c r="X767"/>
      <c r="Y767"/>
      <c r="Z767"/>
      <c r="AA767"/>
      <c r="AB767"/>
      <c r="AC767"/>
      <c r="AD767"/>
      <c r="AE767"/>
      <c r="AF767"/>
      <c r="AG767"/>
      <c r="AH767"/>
      <c r="AI767"/>
    </row>
    <row r="768" spans="1:35" x14ac:dyDescent="0.2">
      <c r="A768"/>
      <c r="B768"/>
      <c r="C768"/>
      <c r="D768"/>
      <c r="E768"/>
      <c r="F768"/>
      <c r="G768"/>
      <c r="H768"/>
      <c r="I768"/>
      <c r="J768"/>
      <c r="K768"/>
      <c r="L768"/>
      <c r="M768"/>
      <c r="N768"/>
      <c r="X768"/>
      <c r="Y768"/>
      <c r="Z768"/>
      <c r="AA768"/>
      <c r="AB768"/>
      <c r="AC768"/>
      <c r="AD768"/>
      <c r="AE768"/>
      <c r="AF768"/>
      <c r="AG768"/>
      <c r="AH768"/>
      <c r="AI768"/>
    </row>
    <row r="769" spans="1:35" x14ac:dyDescent="0.2">
      <c r="A769"/>
      <c r="B769"/>
      <c r="C769"/>
      <c r="D769"/>
      <c r="E769"/>
      <c r="F769"/>
      <c r="G769"/>
      <c r="H769"/>
      <c r="I769"/>
      <c r="J769"/>
      <c r="K769"/>
      <c r="L769"/>
      <c r="M769"/>
      <c r="N769"/>
      <c r="X769"/>
      <c r="Y769"/>
      <c r="Z769"/>
      <c r="AA769"/>
      <c r="AB769"/>
      <c r="AC769"/>
      <c r="AD769"/>
      <c r="AE769"/>
      <c r="AF769"/>
      <c r="AG769"/>
      <c r="AH769"/>
      <c r="AI769"/>
    </row>
    <row r="770" spans="1:35" x14ac:dyDescent="0.2">
      <c r="A770"/>
      <c r="B770"/>
      <c r="C770"/>
      <c r="D770"/>
      <c r="E770"/>
      <c r="F770"/>
      <c r="G770"/>
      <c r="H770"/>
      <c r="I770"/>
      <c r="J770"/>
      <c r="K770"/>
      <c r="L770"/>
      <c r="M770"/>
      <c r="N770"/>
      <c r="X770"/>
      <c r="Y770"/>
      <c r="Z770"/>
      <c r="AA770"/>
      <c r="AB770"/>
      <c r="AC770"/>
      <c r="AD770"/>
      <c r="AE770"/>
      <c r="AF770"/>
      <c r="AG770"/>
      <c r="AH770"/>
      <c r="AI770"/>
    </row>
    <row r="771" spans="1:35" x14ac:dyDescent="0.2">
      <c r="A771"/>
      <c r="B771"/>
      <c r="C771"/>
      <c r="D771"/>
      <c r="E771"/>
      <c r="F771"/>
      <c r="G771"/>
      <c r="H771"/>
      <c r="I771"/>
      <c r="J771"/>
      <c r="K771"/>
      <c r="L771"/>
      <c r="M771"/>
      <c r="N771"/>
      <c r="X771"/>
      <c r="Y771"/>
      <c r="Z771"/>
      <c r="AA771"/>
      <c r="AB771"/>
      <c r="AC771"/>
      <c r="AD771"/>
      <c r="AE771"/>
      <c r="AF771"/>
      <c r="AG771"/>
      <c r="AH771"/>
      <c r="AI771"/>
    </row>
    <row r="772" spans="1:35" x14ac:dyDescent="0.2">
      <c r="A772"/>
      <c r="B772"/>
      <c r="C772"/>
      <c r="D772"/>
      <c r="E772"/>
      <c r="F772"/>
      <c r="G772"/>
      <c r="H772"/>
      <c r="I772"/>
      <c r="J772"/>
      <c r="K772"/>
      <c r="L772"/>
      <c r="M772"/>
      <c r="N772"/>
      <c r="X772"/>
      <c r="Y772"/>
      <c r="Z772"/>
      <c r="AA772"/>
      <c r="AB772"/>
      <c r="AC772"/>
      <c r="AD772"/>
      <c r="AE772"/>
      <c r="AF772"/>
      <c r="AG772"/>
      <c r="AH772"/>
      <c r="AI772"/>
    </row>
    <row r="773" spans="1:35" x14ac:dyDescent="0.2">
      <c r="A773"/>
      <c r="B773"/>
      <c r="C773"/>
      <c r="D773"/>
      <c r="E773"/>
      <c r="F773"/>
      <c r="G773"/>
      <c r="H773"/>
      <c r="I773"/>
      <c r="J773"/>
      <c r="K773"/>
      <c r="L773"/>
      <c r="M773"/>
      <c r="N773"/>
      <c r="X773"/>
      <c r="Y773"/>
      <c r="Z773"/>
      <c r="AA773"/>
      <c r="AB773"/>
      <c r="AC773"/>
      <c r="AD773"/>
      <c r="AE773"/>
      <c r="AF773"/>
      <c r="AG773"/>
      <c r="AH773"/>
      <c r="AI773"/>
    </row>
    <row r="774" spans="1:35" x14ac:dyDescent="0.2">
      <c r="A774"/>
      <c r="B774"/>
      <c r="C774"/>
      <c r="D774"/>
      <c r="E774"/>
      <c r="F774"/>
      <c r="X774"/>
      <c r="Y774"/>
      <c r="Z774"/>
      <c r="AA774"/>
      <c r="AB774"/>
      <c r="AC774"/>
      <c r="AD774"/>
      <c r="AE774"/>
      <c r="AF774"/>
      <c r="AG774"/>
      <c r="AH774"/>
      <c r="AI774"/>
    </row>
    <row r="775" spans="1:35" x14ac:dyDescent="0.2">
      <c r="A775"/>
      <c r="B775"/>
      <c r="C775"/>
      <c r="D775"/>
      <c r="E775"/>
      <c r="F775"/>
      <c r="G775"/>
      <c r="X775"/>
      <c r="Y775"/>
      <c r="Z775"/>
      <c r="AA775"/>
      <c r="AB775"/>
      <c r="AC775"/>
      <c r="AD775"/>
      <c r="AE775"/>
      <c r="AF775"/>
      <c r="AG775"/>
      <c r="AH775"/>
      <c r="AI775"/>
    </row>
    <row r="776" spans="1:35" x14ac:dyDescent="0.2">
      <c r="A776"/>
      <c r="B776"/>
      <c r="C776"/>
      <c r="D776"/>
      <c r="E776"/>
      <c r="F776"/>
      <c r="G776"/>
      <c r="X776"/>
      <c r="Y776"/>
      <c r="Z776"/>
      <c r="AA776"/>
      <c r="AB776"/>
      <c r="AC776"/>
      <c r="AD776"/>
      <c r="AE776"/>
      <c r="AF776"/>
      <c r="AG776"/>
      <c r="AH776"/>
      <c r="AI776"/>
    </row>
    <row r="777" spans="1:35" x14ac:dyDescent="0.2">
      <c r="A777"/>
      <c r="B777"/>
      <c r="C777"/>
      <c r="D777"/>
      <c r="E777"/>
      <c r="F777"/>
      <c r="G777"/>
      <c r="H777"/>
      <c r="I777"/>
      <c r="J777"/>
      <c r="K777"/>
      <c r="L777"/>
      <c r="M777"/>
      <c r="N777"/>
      <c r="O777"/>
      <c r="P777"/>
      <c r="X777"/>
      <c r="Y777"/>
      <c r="Z777"/>
      <c r="AA777"/>
      <c r="AB777"/>
      <c r="AC777"/>
      <c r="AD777"/>
      <c r="AE777"/>
      <c r="AF777"/>
      <c r="AG777"/>
      <c r="AH777"/>
      <c r="AI777"/>
    </row>
    <row r="778" spans="1:35" x14ac:dyDescent="0.2">
      <c r="A778"/>
      <c r="B778"/>
      <c r="C778"/>
      <c r="D778"/>
      <c r="E778"/>
      <c r="F778"/>
      <c r="G778"/>
      <c r="H778"/>
      <c r="I778"/>
      <c r="J778"/>
      <c r="K778"/>
      <c r="L778"/>
      <c r="M778"/>
      <c r="N778"/>
      <c r="O778"/>
      <c r="P778"/>
      <c r="X778"/>
      <c r="Y778"/>
      <c r="Z778"/>
      <c r="AA778"/>
      <c r="AB778"/>
      <c r="AC778"/>
      <c r="AD778"/>
      <c r="AE778"/>
      <c r="AF778"/>
      <c r="AG778"/>
      <c r="AH778"/>
      <c r="AI778"/>
    </row>
    <row r="779" spans="1:35" x14ac:dyDescent="0.2">
      <c r="A779"/>
      <c r="B779"/>
      <c r="C779"/>
      <c r="D779"/>
      <c r="E779"/>
      <c r="F779"/>
      <c r="G779"/>
      <c r="H779"/>
      <c r="I779"/>
      <c r="J779"/>
      <c r="K779"/>
      <c r="L779"/>
      <c r="M779"/>
      <c r="N779"/>
      <c r="O779"/>
      <c r="P779"/>
      <c r="X779"/>
      <c r="Y779"/>
      <c r="Z779"/>
      <c r="AA779"/>
      <c r="AB779"/>
      <c r="AC779"/>
      <c r="AD779"/>
      <c r="AE779"/>
      <c r="AF779"/>
      <c r="AG779"/>
      <c r="AH779"/>
      <c r="AI779"/>
    </row>
    <row r="780" spans="1:35" x14ac:dyDescent="0.2">
      <c r="A780"/>
      <c r="B780"/>
      <c r="C780"/>
      <c r="D780"/>
      <c r="E780"/>
      <c r="F780"/>
      <c r="G780"/>
      <c r="H780"/>
      <c r="I780"/>
      <c r="J780"/>
      <c r="K780"/>
      <c r="L780"/>
      <c r="M780"/>
      <c r="N780"/>
      <c r="O780"/>
      <c r="P780"/>
      <c r="Q780"/>
      <c r="R780"/>
      <c r="X780"/>
      <c r="Y780"/>
      <c r="Z780"/>
      <c r="AA780"/>
      <c r="AB780"/>
      <c r="AC780"/>
      <c r="AD780"/>
      <c r="AE780"/>
      <c r="AF780"/>
      <c r="AG780"/>
      <c r="AH780"/>
      <c r="AI780"/>
    </row>
    <row r="781" spans="1:35" x14ac:dyDescent="0.2">
      <c r="A781"/>
      <c r="B781"/>
      <c r="C781"/>
      <c r="D781"/>
      <c r="E781"/>
      <c r="F781"/>
      <c r="G781"/>
      <c r="H781"/>
      <c r="I781"/>
      <c r="J781"/>
      <c r="K781"/>
      <c r="L781"/>
      <c r="M781"/>
      <c r="N781"/>
      <c r="O781"/>
      <c r="P781"/>
      <c r="Q781"/>
      <c r="R781"/>
      <c r="X781"/>
      <c r="Y781"/>
      <c r="Z781"/>
      <c r="AA781"/>
      <c r="AB781"/>
      <c r="AC781"/>
      <c r="AD781"/>
      <c r="AE781"/>
      <c r="AF781"/>
      <c r="AG781"/>
      <c r="AH781"/>
      <c r="AI781"/>
    </row>
    <row r="782" spans="1:35" x14ac:dyDescent="0.2">
      <c r="A782"/>
      <c r="B782"/>
      <c r="C782"/>
      <c r="D782"/>
      <c r="E782"/>
      <c r="F782"/>
      <c r="G782"/>
      <c r="H782"/>
      <c r="I782"/>
      <c r="J782"/>
      <c r="K782"/>
      <c r="L782"/>
      <c r="M782"/>
      <c r="N782"/>
      <c r="O782"/>
      <c r="P782"/>
      <c r="Q782"/>
      <c r="R782"/>
      <c r="X782"/>
      <c r="Y782"/>
      <c r="Z782"/>
      <c r="AA782"/>
      <c r="AB782"/>
      <c r="AC782"/>
      <c r="AD782"/>
      <c r="AE782"/>
      <c r="AF782"/>
      <c r="AG782"/>
      <c r="AH782"/>
      <c r="AI782"/>
    </row>
    <row r="783" spans="1:35" x14ac:dyDescent="0.2">
      <c r="A783"/>
      <c r="B783"/>
      <c r="C783"/>
      <c r="D783"/>
      <c r="E783"/>
      <c r="F783"/>
      <c r="G783"/>
      <c r="H783"/>
      <c r="I783"/>
      <c r="J783"/>
      <c r="K783"/>
      <c r="L783"/>
      <c r="M783"/>
      <c r="N783"/>
      <c r="O783"/>
      <c r="P783"/>
      <c r="Q783"/>
      <c r="R783"/>
      <c r="X783"/>
      <c r="Y783"/>
      <c r="Z783"/>
      <c r="AA783"/>
      <c r="AB783"/>
      <c r="AC783"/>
      <c r="AD783"/>
      <c r="AE783"/>
      <c r="AF783"/>
      <c r="AG783"/>
      <c r="AH783"/>
      <c r="AI783"/>
    </row>
    <row r="784" spans="1:35" x14ac:dyDescent="0.2">
      <c r="A784"/>
      <c r="B784"/>
      <c r="C784"/>
      <c r="D784"/>
      <c r="E784"/>
      <c r="F784"/>
      <c r="G784"/>
      <c r="H784"/>
      <c r="I784"/>
      <c r="J784"/>
      <c r="K784"/>
      <c r="L784"/>
      <c r="M784"/>
      <c r="N784"/>
      <c r="O784"/>
      <c r="P784"/>
      <c r="Q784"/>
      <c r="R784"/>
      <c r="X784"/>
      <c r="Y784"/>
      <c r="Z784"/>
      <c r="AA784"/>
      <c r="AB784"/>
      <c r="AC784"/>
      <c r="AD784"/>
      <c r="AE784"/>
      <c r="AF784"/>
      <c r="AG784"/>
      <c r="AH784"/>
      <c r="AI784"/>
    </row>
    <row r="785" spans="1:35" x14ac:dyDescent="0.2">
      <c r="A785"/>
      <c r="B785"/>
      <c r="C785"/>
      <c r="D785"/>
      <c r="E785"/>
      <c r="F785"/>
      <c r="G785"/>
      <c r="H785"/>
      <c r="I785"/>
      <c r="J785"/>
      <c r="K785"/>
      <c r="L785"/>
      <c r="M785"/>
      <c r="N785"/>
      <c r="O785"/>
      <c r="P785"/>
      <c r="X785"/>
      <c r="Y785"/>
      <c r="Z785"/>
      <c r="AA785"/>
      <c r="AB785"/>
      <c r="AC785"/>
      <c r="AD785"/>
      <c r="AE785"/>
      <c r="AF785"/>
      <c r="AG785"/>
      <c r="AH785"/>
      <c r="AI785"/>
    </row>
    <row r="786" spans="1:35" x14ac:dyDescent="0.2">
      <c r="A786"/>
      <c r="B786"/>
      <c r="C786"/>
      <c r="D786"/>
      <c r="E786"/>
      <c r="F786"/>
      <c r="G786"/>
      <c r="H786"/>
      <c r="I786"/>
      <c r="J786"/>
      <c r="K786"/>
      <c r="L786"/>
      <c r="M786"/>
      <c r="N786"/>
      <c r="O786"/>
      <c r="P786"/>
      <c r="X786"/>
      <c r="Y786"/>
      <c r="Z786"/>
      <c r="AA786"/>
      <c r="AB786"/>
      <c r="AC786"/>
      <c r="AD786"/>
      <c r="AE786"/>
      <c r="AF786"/>
      <c r="AG786"/>
      <c r="AH786"/>
      <c r="AI786"/>
    </row>
    <row r="787" spans="1:35" x14ac:dyDescent="0.2">
      <c r="A787"/>
      <c r="B787"/>
      <c r="C787"/>
      <c r="D787"/>
      <c r="E787"/>
      <c r="F787"/>
      <c r="G787"/>
      <c r="H787"/>
      <c r="I787"/>
      <c r="J787"/>
      <c r="K787"/>
      <c r="L787"/>
      <c r="M787"/>
      <c r="N787"/>
      <c r="O787"/>
      <c r="P787"/>
      <c r="X787"/>
      <c r="Y787"/>
      <c r="Z787"/>
      <c r="AA787"/>
      <c r="AB787"/>
      <c r="AC787"/>
      <c r="AD787"/>
      <c r="AE787"/>
      <c r="AF787"/>
      <c r="AG787"/>
      <c r="AH787"/>
      <c r="AI787"/>
    </row>
    <row r="788" spans="1:35" x14ac:dyDescent="0.2">
      <c r="A788"/>
      <c r="B788"/>
      <c r="C788"/>
      <c r="D788"/>
      <c r="E788"/>
      <c r="F788"/>
      <c r="G788"/>
      <c r="H788"/>
      <c r="I788"/>
      <c r="J788"/>
      <c r="K788"/>
      <c r="L788"/>
      <c r="M788"/>
      <c r="N788"/>
      <c r="O788"/>
      <c r="P788"/>
      <c r="X788"/>
      <c r="Y788"/>
      <c r="Z788"/>
      <c r="AA788"/>
      <c r="AB788"/>
      <c r="AC788"/>
      <c r="AD788"/>
      <c r="AE788"/>
      <c r="AF788"/>
      <c r="AG788"/>
      <c r="AH788"/>
      <c r="AI788"/>
    </row>
    <row r="789" spans="1:35" x14ac:dyDescent="0.2">
      <c r="A789"/>
      <c r="B789"/>
      <c r="C789"/>
      <c r="D789"/>
      <c r="E789"/>
      <c r="F789"/>
      <c r="G789"/>
      <c r="H789"/>
      <c r="I789"/>
      <c r="J789"/>
      <c r="K789"/>
      <c r="L789"/>
      <c r="M789"/>
      <c r="N789"/>
      <c r="O789"/>
      <c r="P789"/>
      <c r="X789"/>
      <c r="Y789"/>
      <c r="Z789"/>
      <c r="AA789"/>
      <c r="AB789"/>
      <c r="AC789"/>
      <c r="AD789"/>
      <c r="AE789"/>
      <c r="AF789"/>
      <c r="AG789"/>
      <c r="AH789"/>
      <c r="AI789"/>
    </row>
    <row r="790" spans="1:35" x14ac:dyDescent="0.2">
      <c r="A790"/>
      <c r="B790"/>
      <c r="C790"/>
      <c r="D790"/>
      <c r="E790"/>
      <c r="F790"/>
      <c r="G790"/>
      <c r="H790"/>
      <c r="I790"/>
      <c r="J790"/>
      <c r="K790"/>
      <c r="L790"/>
      <c r="M790"/>
      <c r="N790"/>
      <c r="O790"/>
      <c r="P790"/>
      <c r="X790"/>
      <c r="Y790"/>
      <c r="Z790"/>
      <c r="AA790"/>
      <c r="AB790"/>
      <c r="AC790"/>
      <c r="AD790"/>
      <c r="AE790"/>
      <c r="AF790"/>
      <c r="AG790"/>
      <c r="AH790"/>
      <c r="AI790"/>
    </row>
    <row r="791" spans="1:35" x14ac:dyDescent="0.2">
      <c r="A791"/>
      <c r="B791"/>
      <c r="C791"/>
      <c r="D791"/>
      <c r="E791"/>
      <c r="F791"/>
      <c r="G791"/>
      <c r="H791"/>
      <c r="I791"/>
      <c r="J791"/>
      <c r="K791"/>
      <c r="L791"/>
      <c r="M791"/>
      <c r="N791"/>
      <c r="O791"/>
      <c r="P791"/>
      <c r="X791"/>
      <c r="Y791"/>
      <c r="Z791"/>
      <c r="AA791"/>
      <c r="AB791"/>
      <c r="AC791"/>
      <c r="AD791"/>
      <c r="AE791"/>
      <c r="AF791"/>
      <c r="AG791"/>
      <c r="AH791"/>
      <c r="AI791"/>
    </row>
    <row r="792" spans="1:35" x14ac:dyDescent="0.2">
      <c r="A792"/>
      <c r="B792"/>
      <c r="C792"/>
      <c r="D792"/>
      <c r="E792"/>
      <c r="F792"/>
      <c r="G792"/>
      <c r="H792"/>
      <c r="I792"/>
      <c r="J792"/>
      <c r="K792"/>
      <c r="L792"/>
      <c r="M792"/>
      <c r="N792"/>
      <c r="O792"/>
      <c r="P792"/>
      <c r="X792"/>
      <c r="Y792"/>
      <c r="Z792"/>
      <c r="AA792"/>
      <c r="AB792"/>
      <c r="AC792"/>
      <c r="AD792"/>
      <c r="AE792"/>
      <c r="AF792"/>
      <c r="AG792"/>
      <c r="AH792"/>
      <c r="AI792"/>
    </row>
    <row r="793" spans="1:35" x14ac:dyDescent="0.2">
      <c r="A793"/>
      <c r="B793"/>
      <c r="C793"/>
      <c r="D793"/>
      <c r="E793"/>
      <c r="F793"/>
      <c r="G793"/>
      <c r="H793"/>
      <c r="I793"/>
      <c r="J793"/>
      <c r="K793"/>
      <c r="L793"/>
      <c r="M793"/>
      <c r="N793"/>
      <c r="O793"/>
      <c r="P793"/>
      <c r="X793"/>
      <c r="Y793"/>
      <c r="Z793"/>
      <c r="AA793"/>
      <c r="AB793"/>
      <c r="AC793"/>
      <c r="AD793"/>
      <c r="AE793"/>
      <c r="AF793"/>
      <c r="AG793"/>
      <c r="AH793"/>
      <c r="AI793"/>
    </row>
    <row r="794" spans="1:35" x14ac:dyDescent="0.2">
      <c r="A794"/>
      <c r="B794"/>
      <c r="C794"/>
      <c r="D794"/>
      <c r="E794"/>
      <c r="F794"/>
      <c r="G794"/>
      <c r="H794"/>
      <c r="I794"/>
      <c r="J794"/>
      <c r="K794"/>
      <c r="L794"/>
      <c r="M794"/>
      <c r="N794"/>
      <c r="O794"/>
      <c r="P794"/>
      <c r="X794"/>
      <c r="Y794"/>
      <c r="Z794"/>
      <c r="AA794"/>
      <c r="AB794"/>
      <c r="AC794"/>
      <c r="AD794"/>
      <c r="AE794"/>
      <c r="AF794"/>
      <c r="AG794"/>
      <c r="AH794"/>
      <c r="AI794"/>
    </row>
    <row r="795" spans="1:35" x14ac:dyDescent="0.2">
      <c r="A795"/>
      <c r="B795"/>
      <c r="C795"/>
      <c r="D795"/>
      <c r="E795"/>
      <c r="F795"/>
      <c r="G795"/>
      <c r="H795"/>
      <c r="I795"/>
      <c r="J795"/>
      <c r="K795"/>
      <c r="L795"/>
      <c r="M795"/>
      <c r="N795"/>
      <c r="O795"/>
      <c r="P795"/>
      <c r="X795"/>
      <c r="Y795"/>
      <c r="Z795"/>
      <c r="AA795"/>
      <c r="AB795"/>
      <c r="AC795"/>
      <c r="AD795"/>
      <c r="AE795"/>
      <c r="AF795"/>
      <c r="AG795"/>
      <c r="AH795"/>
      <c r="AI795"/>
    </row>
    <row r="796" spans="1:35" x14ac:dyDescent="0.2">
      <c r="A796"/>
      <c r="B796"/>
      <c r="C796"/>
      <c r="D796"/>
      <c r="E796"/>
      <c r="F796"/>
      <c r="G796"/>
      <c r="H796"/>
      <c r="I796"/>
      <c r="J796"/>
      <c r="K796"/>
      <c r="L796"/>
      <c r="M796"/>
      <c r="N796"/>
      <c r="O796"/>
      <c r="P796"/>
      <c r="X796"/>
      <c r="Y796"/>
      <c r="Z796"/>
      <c r="AA796"/>
      <c r="AB796"/>
      <c r="AC796"/>
      <c r="AD796"/>
      <c r="AE796"/>
      <c r="AF796"/>
      <c r="AG796"/>
      <c r="AH796"/>
      <c r="AI796"/>
    </row>
    <row r="797" spans="1:35" x14ac:dyDescent="0.2">
      <c r="A797"/>
      <c r="B797"/>
      <c r="C797"/>
      <c r="D797"/>
      <c r="E797"/>
      <c r="F797"/>
      <c r="G797"/>
      <c r="H797"/>
      <c r="I797"/>
      <c r="J797"/>
      <c r="K797"/>
      <c r="L797"/>
      <c r="M797"/>
      <c r="N797"/>
      <c r="O797"/>
      <c r="P797"/>
      <c r="X797"/>
      <c r="Y797"/>
      <c r="Z797"/>
      <c r="AA797"/>
      <c r="AB797"/>
      <c r="AC797"/>
      <c r="AD797"/>
      <c r="AE797"/>
      <c r="AF797"/>
      <c r="AG797"/>
      <c r="AH797"/>
      <c r="AI797"/>
    </row>
    <row r="798" spans="1:35" x14ac:dyDescent="0.2">
      <c r="A798"/>
      <c r="B798"/>
      <c r="C798"/>
      <c r="D798"/>
      <c r="E798"/>
      <c r="F798"/>
      <c r="G798"/>
      <c r="H798"/>
      <c r="I798"/>
      <c r="J798"/>
      <c r="K798"/>
      <c r="L798"/>
      <c r="M798"/>
      <c r="N798"/>
      <c r="O798"/>
      <c r="P798"/>
      <c r="X798"/>
      <c r="Y798"/>
      <c r="Z798"/>
      <c r="AA798"/>
      <c r="AB798"/>
      <c r="AC798"/>
      <c r="AD798"/>
      <c r="AE798"/>
      <c r="AF798"/>
      <c r="AG798"/>
      <c r="AH798"/>
      <c r="AI798"/>
    </row>
    <row r="799" spans="1:35" x14ac:dyDescent="0.2">
      <c r="A799"/>
      <c r="B799"/>
      <c r="C799"/>
      <c r="D799"/>
      <c r="E799"/>
      <c r="F799"/>
      <c r="G799"/>
      <c r="H799"/>
      <c r="I799"/>
      <c r="J799"/>
      <c r="K799"/>
      <c r="L799"/>
      <c r="M799"/>
      <c r="N799"/>
      <c r="O799"/>
      <c r="P799"/>
      <c r="X799"/>
      <c r="Y799"/>
      <c r="Z799"/>
      <c r="AA799"/>
      <c r="AB799"/>
      <c r="AC799"/>
      <c r="AD799"/>
      <c r="AE799"/>
      <c r="AF799"/>
      <c r="AG799"/>
      <c r="AH799"/>
      <c r="AI799"/>
    </row>
    <row r="800" spans="1:35" x14ac:dyDescent="0.2">
      <c r="A800"/>
      <c r="B800"/>
      <c r="C800"/>
      <c r="D800"/>
      <c r="E800"/>
      <c r="F800"/>
      <c r="G800"/>
      <c r="H800"/>
      <c r="I800"/>
      <c r="J800"/>
      <c r="K800"/>
      <c r="L800"/>
      <c r="M800"/>
      <c r="N800"/>
      <c r="O800"/>
      <c r="P800"/>
      <c r="X800"/>
      <c r="Y800"/>
      <c r="Z800"/>
      <c r="AA800"/>
      <c r="AB800"/>
      <c r="AC800"/>
      <c r="AD800"/>
      <c r="AE800"/>
      <c r="AF800"/>
      <c r="AG800"/>
      <c r="AH800"/>
      <c r="AI800"/>
    </row>
    <row r="801" spans="1:60" x14ac:dyDescent="0.2">
      <c r="A801"/>
      <c r="B801"/>
      <c r="C801"/>
      <c r="D801"/>
      <c r="E801"/>
      <c r="F801"/>
      <c r="G801"/>
      <c r="H801"/>
      <c r="I801"/>
      <c r="J801"/>
      <c r="K801"/>
      <c r="L801"/>
      <c r="M801"/>
      <c r="N801"/>
      <c r="O801"/>
      <c r="P801"/>
      <c r="X801"/>
      <c r="Y801"/>
      <c r="Z801"/>
      <c r="AA801"/>
      <c r="AB801"/>
      <c r="AC801"/>
      <c r="AD801"/>
      <c r="AE801"/>
      <c r="AF801"/>
      <c r="AG801"/>
      <c r="AH801"/>
      <c r="AI801"/>
    </row>
    <row r="802" spans="1:60" x14ac:dyDescent="0.2">
      <c r="A802"/>
      <c r="B802"/>
      <c r="C802"/>
      <c r="D802"/>
      <c r="E802"/>
      <c r="F802"/>
      <c r="G802"/>
      <c r="H802"/>
      <c r="I802"/>
      <c r="J802"/>
      <c r="K802"/>
      <c r="L802"/>
      <c r="M802"/>
      <c r="N802"/>
      <c r="O802"/>
      <c r="P802"/>
      <c r="X802"/>
      <c r="Y802"/>
      <c r="Z802"/>
      <c r="AA802"/>
      <c r="AB802"/>
      <c r="AC802"/>
      <c r="AD802"/>
      <c r="AE802"/>
      <c r="AF802"/>
      <c r="AG802"/>
      <c r="AH802"/>
      <c r="AI802"/>
      <c r="BA802"/>
      <c r="BB802"/>
      <c r="BC802"/>
      <c r="BD802"/>
      <c r="BE802"/>
      <c r="BF802"/>
      <c r="BG802"/>
      <c r="BH802"/>
    </row>
    <row r="803" spans="1:60" customFormat="1" x14ac:dyDescent="0.2">
      <c r="A803" s="3"/>
      <c r="B803" s="3"/>
      <c r="C803" s="3"/>
      <c r="D803" s="3"/>
      <c r="E803" s="3"/>
      <c r="F803" s="3"/>
      <c r="G803" s="3"/>
    </row>
    <row r="804" spans="1:60" customFormat="1" x14ac:dyDescent="0.2">
      <c r="A804" s="3"/>
      <c r="B804" s="3"/>
      <c r="C804" s="3"/>
      <c r="D804" s="3"/>
      <c r="E804" s="3"/>
      <c r="F804" s="3"/>
      <c r="G804" s="3"/>
    </row>
    <row r="805" spans="1:60" customFormat="1" x14ac:dyDescent="0.2">
      <c r="A805" s="3"/>
      <c r="B805" s="3"/>
      <c r="C805" s="3"/>
      <c r="D805" s="3"/>
      <c r="E805" s="3"/>
      <c r="F805" s="3"/>
      <c r="G805" s="3"/>
    </row>
    <row r="806" spans="1:60" customFormat="1" x14ac:dyDescent="0.2">
      <c r="A806" s="3"/>
      <c r="B806" s="3"/>
      <c r="C806" s="3"/>
      <c r="D806" s="3"/>
      <c r="E806" s="3"/>
      <c r="F806" s="3"/>
      <c r="G806" s="3"/>
    </row>
    <row r="807" spans="1:60" customFormat="1" x14ac:dyDescent="0.2">
      <c r="A807" s="3"/>
      <c r="B807" s="3"/>
      <c r="C807" s="3"/>
      <c r="D807" s="3"/>
      <c r="E807" s="3"/>
      <c r="F807" s="3"/>
      <c r="G807" s="3"/>
    </row>
    <row r="808" spans="1:60" customFormat="1" x14ac:dyDescent="0.2">
      <c r="A808" s="3"/>
      <c r="B808" s="3"/>
      <c r="C808" s="3"/>
      <c r="D808" s="3"/>
      <c r="E808" s="3"/>
      <c r="F808" s="3"/>
      <c r="G808" s="3"/>
    </row>
    <row r="809" spans="1:60" customFormat="1" x14ac:dyDescent="0.2">
      <c r="A809" s="3"/>
      <c r="B809" s="3"/>
      <c r="C809" s="3"/>
      <c r="D809" s="3"/>
      <c r="E809" s="3"/>
      <c r="F809" s="3"/>
      <c r="G809" s="3"/>
    </row>
    <row r="810" spans="1:60" customFormat="1" x14ac:dyDescent="0.2">
      <c r="A810" s="3"/>
      <c r="B810" s="3"/>
      <c r="C810" s="3"/>
      <c r="D810" s="3"/>
      <c r="E810" s="3"/>
      <c r="F810" s="3"/>
      <c r="G810" s="3"/>
    </row>
    <row r="811" spans="1:60" customFormat="1" x14ac:dyDescent="0.2">
      <c r="A811" s="3"/>
      <c r="B811" s="3"/>
      <c r="C811" s="3"/>
      <c r="D811" s="3"/>
      <c r="E811" s="3"/>
      <c r="F811" s="3"/>
      <c r="G811" s="3"/>
    </row>
    <row r="812" spans="1:60" customFormat="1" x14ac:dyDescent="0.2">
      <c r="A812" s="3"/>
      <c r="B812" s="3"/>
      <c r="C812" s="3"/>
      <c r="D812" s="3"/>
      <c r="E812" s="3"/>
      <c r="F812" s="3"/>
      <c r="G812" s="3"/>
    </row>
    <row r="813" spans="1:60" customFormat="1" x14ac:dyDescent="0.2">
      <c r="A813" s="3"/>
      <c r="B813" s="3"/>
      <c r="C813" s="3"/>
      <c r="D813" s="3"/>
      <c r="E813" s="3"/>
      <c r="F813" s="3"/>
      <c r="G813" s="3"/>
    </row>
    <row r="814" spans="1:60" customFormat="1" x14ac:dyDescent="0.2">
      <c r="A814" s="3"/>
      <c r="B814" s="3"/>
      <c r="C814" s="3"/>
      <c r="D814" s="3"/>
      <c r="E814" s="3"/>
      <c r="F814" s="3"/>
      <c r="G814" s="3"/>
    </row>
    <row r="815" spans="1:60" customFormat="1" x14ac:dyDescent="0.2">
      <c r="A815" s="3"/>
      <c r="B815" s="3"/>
      <c r="C815" s="3"/>
      <c r="D815" s="3"/>
      <c r="E815" s="3"/>
      <c r="F815" s="3"/>
      <c r="G815" s="3"/>
    </row>
    <row r="816" spans="1:60" customFormat="1" x14ac:dyDescent="0.2">
      <c r="A816" s="3"/>
      <c r="B816" s="3"/>
      <c r="C816" s="3"/>
      <c r="D816" s="3"/>
      <c r="E816" s="3"/>
      <c r="F816" s="3"/>
      <c r="G816" s="3"/>
    </row>
    <row r="817" spans="1:7" customFormat="1" x14ac:dyDescent="0.2">
      <c r="A817" s="3"/>
      <c r="B817" s="3"/>
      <c r="C817" s="3"/>
      <c r="D817" s="3"/>
      <c r="E817" s="3"/>
      <c r="F817" s="3"/>
      <c r="G817" s="3"/>
    </row>
    <row r="818" spans="1:7" customFormat="1" x14ac:dyDescent="0.2">
      <c r="A818" s="3"/>
      <c r="B818" s="3"/>
      <c r="C818" s="3"/>
      <c r="D818" s="3"/>
      <c r="E818" s="3"/>
      <c r="F818" s="3"/>
      <c r="G818" s="3"/>
    </row>
    <row r="819" spans="1:7" customFormat="1" x14ac:dyDescent="0.2">
      <c r="A819" s="3"/>
      <c r="B819" s="3"/>
      <c r="C819" s="3"/>
      <c r="D819" s="3"/>
      <c r="E819" s="3"/>
      <c r="F819" s="3"/>
      <c r="G819" s="3"/>
    </row>
    <row r="820" spans="1:7" customFormat="1" x14ac:dyDescent="0.2">
      <c r="A820" s="3"/>
      <c r="B820" s="3"/>
      <c r="C820" s="3"/>
      <c r="D820" s="3"/>
      <c r="E820" s="3"/>
      <c r="F820" s="3"/>
      <c r="G820" s="3"/>
    </row>
    <row r="821" spans="1:7" customFormat="1" x14ac:dyDescent="0.2">
      <c r="A821" s="3"/>
      <c r="B821" s="3"/>
      <c r="C821" s="3"/>
      <c r="D821" s="3"/>
      <c r="E821" s="3"/>
      <c r="F821" s="3"/>
      <c r="G821" s="3"/>
    </row>
    <row r="822" spans="1:7" customFormat="1" x14ac:dyDescent="0.2">
      <c r="A822" s="3"/>
      <c r="B822" s="3"/>
      <c r="C822" s="3"/>
      <c r="D822" s="3"/>
      <c r="E822" s="3"/>
      <c r="F822" s="3"/>
      <c r="G822" s="3"/>
    </row>
    <row r="823" spans="1:7" customFormat="1" x14ac:dyDescent="0.2">
      <c r="A823" s="3"/>
      <c r="B823" s="3"/>
      <c r="C823" s="3"/>
      <c r="D823" s="3"/>
      <c r="E823" s="3"/>
      <c r="F823" s="3"/>
      <c r="G823" s="3"/>
    </row>
    <row r="824" spans="1:7" customFormat="1" x14ac:dyDescent="0.2">
      <c r="A824" s="3"/>
      <c r="B824" s="3"/>
      <c r="C824" s="3"/>
      <c r="D824" s="3"/>
      <c r="E824" s="3"/>
      <c r="F824" s="3"/>
      <c r="G824" s="3"/>
    </row>
    <row r="825" spans="1:7" customFormat="1" x14ac:dyDescent="0.2">
      <c r="A825" s="3"/>
      <c r="B825" s="3"/>
      <c r="C825" s="3"/>
      <c r="D825" s="3"/>
      <c r="E825" s="3"/>
      <c r="F825" s="3"/>
      <c r="G825" s="3"/>
    </row>
    <row r="826" spans="1:7" customFormat="1" x14ac:dyDescent="0.2">
      <c r="A826" s="3"/>
      <c r="B826" s="3"/>
      <c r="C826" s="3"/>
      <c r="D826" s="3"/>
      <c r="E826" s="3"/>
      <c r="F826" s="3"/>
      <c r="G826" s="3"/>
    </row>
    <row r="827" spans="1:7" customFormat="1" x14ac:dyDescent="0.2">
      <c r="A827" s="3"/>
      <c r="B827" s="3"/>
      <c r="C827" s="3"/>
      <c r="D827" s="3"/>
      <c r="E827" s="3"/>
      <c r="F827" s="3"/>
      <c r="G827" s="3"/>
    </row>
    <row r="828" spans="1:7" customFormat="1" x14ac:dyDescent="0.2">
      <c r="A828" s="3"/>
      <c r="B828" s="3"/>
      <c r="C828" s="3"/>
      <c r="D828" s="3"/>
      <c r="E828" s="3"/>
      <c r="F828" s="3"/>
      <c r="G828" s="3"/>
    </row>
    <row r="829" spans="1:7" customFormat="1" x14ac:dyDescent="0.2">
      <c r="A829" s="3"/>
      <c r="B829" s="3"/>
      <c r="C829" s="3"/>
      <c r="D829" s="3"/>
      <c r="E829" s="3"/>
      <c r="F829" s="3"/>
      <c r="G829" s="3"/>
    </row>
    <row r="830" spans="1:7" customFormat="1" x14ac:dyDescent="0.2">
      <c r="A830" s="3"/>
      <c r="B830" s="3"/>
      <c r="C830" s="3"/>
      <c r="D830" s="3"/>
      <c r="E830" s="3"/>
      <c r="F830" s="3"/>
      <c r="G830" s="3"/>
    </row>
    <row r="831" spans="1:7" customFormat="1" x14ac:dyDescent="0.2">
      <c r="A831" s="3"/>
      <c r="B831" s="3"/>
      <c r="C831" s="3"/>
      <c r="D831" s="3"/>
      <c r="E831" s="3"/>
      <c r="F831" s="3"/>
      <c r="G831" s="3"/>
    </row>
    <row r="832" spans="1:7" customFormat="1" x14ac:dyDescent="0.2">
      <c r="A832" s="3"/>
      <c r="B832" s="3"/>
      <c r="C832" s="3"/>
      <c r="D832" s="3"/>
      <c r="E832" s="3"/>
      <c r="F832" s="3"/>
      <c r="G832" s="3"/>
    </row>
    <row r="833" spans="1:7" customFormat="1" x14ac:dyDescent="0.2">
      <c r="A833" s="3"/>
      <c r="B833" s="3"/>
      <c r="C833" s="3"/>
      <c r="D833" s="3"/>
      <c r="E833" s="3"/>
      <c r="F833" s="3"/>
      <c r="G833" s="3"/>
    </row>
    <row r="834" spans="1:7" customFormat="1" x14ac:dyDescent="0.2">
      <c r="A834" s="3"/>
      <c r="B834" s="3"/>
      <c r="C834" s="3"/>
      <c r="D834" s="3"/>
      <c r="E834" s="3"/>
      <c r="F834" s="3"/>
      <c r="G834" s="3"/>
    </row>
    <row r="835" spans="1:7" customFormat="1" x14ac:dyDescent="0.2">
      <c r="A835" s="3"/>
      <c r="B835" s="3"/>
      <c r="C835" s="3"/>
      <c r="D835" s="3"/>
      <c r="E835" s="3"/>
      <c r="F835" s="3"/>
      <c r="G835" s="3"/>
    </row>
    <row r="836" spans="1:7" customFormat="1" x14ac:dyDescent="0.2">
      <c r="A836" s="3"/>
      <c r="B836" s="3"/>
      <c r="C836" s="3"/>
      <c r="D836" s="3"/>
      <c r="E836" s="3"/>
      <c r="F836" s="3"/>
      <c r="G836" s="3"/>
    </row>
    <row r="837" spans="1:7" customFormat="1" x14ac:dyDescent="0.2">
      <c r="A837" s="3"/>
      <c r="B837" s="3"/>
      <c r="C837" s="3"/>
      <c r="D837" s="3"/>
      <c r="E837" s="3"/>
      <c r="F837" s="3"/>
      <c r="G837" s="3"/>
    </row>
    <row r="838" spans="1:7" customFormat="1" x14ac:dyDescent="0.2">
      <c r="A838" s="3"/>
      <c r="B838" s="3"/>
      <c r="C838" s="3"/>
      <c r="D838" s="3"/>
      <c r="E838" s="3"/>
      <c r="F838" s="3"/>
      <c r="G838" s="3"/>
    </row>
    <row r="839" spans="1:7" customFormat="1" x14ac:dyDescent="0.2">
      <c r="A839" s="3"/>
      <c r="B839" s="3"/>
      <c r="C839" s="3"/>
      <c r="D839" s="3"/>
      <c r="E839" s="3"/>
      <c r="F839" s="3"/>
      <c r="G839" s="3"/>
    </row>
    <row r="840" spans="1:7" customFormat="1" x14ac:dyDescent="0.2">
      <c r="A840" s="3"/>
      <c r="B840" s="3"/>
      <c r="C840" s="3"/>
      <c r="D840" s="3"/>
      <c r="E840" s="3"/>
      <c r="F840" s="3"/>
      <c r="G840" s="3"/>
    </row>
    <row r="841" spans="1:7" customFormat="1" x14ac:dyDescent="0.2">
      <c r="A841" s="3"/>
      <c r="B841" s="3"/>
      <c r="C841" s="3"/>
      <c r="D841" s="3"/>
      <c r="E841" s="3"/>
      <c r="F841" s="3"/>
      <c r="G841" s="3"/>
    </row>
    <row r="842" spans="1:7" customFormat="1" x14ac:dyDescent="0.2">
      <c r="A842" s="3"/>
      <c r="B842" s="3"/>
      <c r="C842" s="3"/>
      <c r="D842" s="3"/>
      <c r="E842" s="3"/>
      <c r="F842" s="3"/>
      <c r="G842" s="3"/>
    </row>
    <row r="843" spans="1:7" customFormat="1" x14ac:dyDescent="0.2">
      <c r="A843" s="3"/>
      <c r="B843" s="3"/>
      <c r="C843" s="3"/>
      <c r="D843" s="3"/>
      <c r="E843" s="3"/>
      <c r="F843" s="3"/>
      <c r="G843" s="3"/>
    </row>
    <row r="844" spans="1:7" customFormat="1" x14ac:dyDescent="0.2">
      <c r="A844" s="3"/>
      <c r="B844" s="3"/>
      <c r="C844" s="3"/>
      <c r="D844" s="3"/>
      <c r="E844" s="3"/>
      <c r="F844" s="3"/>
      <c r="G844" s="3"/>
    </row>
    <row r="845" spans="1:7" customFormat="1" x14ac:dyDescent="0.2">
      <c r="A845" s="3"/>
      <c r="B845" s="3"/>
      <c r="C845" s="3"/>
      <c r="D845" s="3"/>
      <c r="E845" s="3"/>
      <c r="F845" s="3"/>
      <c r="G845" s="3"/>
    </row>
    <row r="846" spans="1:7" customFormat="1" x14ac:dyDescent="0.2">
      <c r="A846" s="3"/>
      <c r="B846" s="3"/>
      <c r="C846" s="3"/>
      <c r="D846" s="3"/>
      <c r="E846" s="3"/>
      <c r="F846" s="3"/>
      <c r="G846" s="3"/>
    </row>
    <row r="847" spans="1:7" customFormat="1" x14ac:dyDescent="0.2">
      <c r="A847" s="3"/>
      <c r="B847" s="3"/>
      <c r="C847" s="3"/>
      <c r="D847" s="3"/>
      <c r="E847" s="3"/>
      <c r="F847" s="3"/>
      <c r="G847" s="3"/>
    </row>
    <row r="848" spans="1:7" customFormat="1" x14ac:dyDescent="0.2">
      <c r="A848" s="3"/>
      <c r="B848" s="3"/>
      <c r="C848" s="3"/>
      <c r="D848" s="3"/>
      <c r="E848" s="3"/>
      <c r="F848" s="3"/>
      <c r="G848" s="3"/>
    </row>
    <row r="849" spans="1:7" customFormat="1" x14ac:dyDescent="0.2">
      <c r="A849" s="3"/>
      <c r="B849" s="3"/>
      <c r="C849" s="3"/>
      <c r="D849" s="3"/>
      <c r="E849" s="3"/>
      <c r="F849" s="3"/>
      <c r="G849" s="3"/>
    </row>
    <row r="850" spans="1:7" customFormat="1" x14ac:dyDescent="0.2">
      <c r="A850" s="3"/>
      <c r="B850" s="3"/>
      <c r="C850" s="3"/>
      <c r="D850" s="3"/>
      <c r="E850" s="3"/>
      <c r="F850" s="3"/>
      <c r="G850" s="3"/>
    </row>
    <row r="851" spans="1:7" customFormat="1" x14ac:dyDescent="0.2">
      <c r="A851" s="3"/>
      <c r="B851" s="3"/>
      <c r="C851" s="3"/>
      <c r="D851" s="3"/>
      <c r="E851" s="3"/>
      <c r="F851" s="3"/>
      <c r="G851" s="3"/>
    </row>
    <row r="852" spans="1:7" customFormat="1" x14ac:dyDescent="0.2">
      <c r="A852" s="3"/>
      <c r="B852" s="3"/>
      <c r="C852" s="3"/>
      <c r="D852" s="3"/>
      <c r="E852" s="3"/>
      <c r="F852" s="3"/>
      <c r="G852" s="3"/>
    </row>
    <row r="853" spans="1:7" customFormat="1" x14ac:dyDescent="0.2">
      <c r="A853" s="3"/>
      <c r="B853" s="3"/>
      <c r="C853" s="3"/>
      <c r="D853" s="3"/>
      <c r="E853" s="3"/>
      <c r="F853" s="3"/>
      <c r="G853" s="3"/>
    </row>
    <row r="854" spans="1:7" customFormat="1" x14ac:dyDescent="0.2">
      <c r="A854" s="3"/>
      <c r="B854" s="3"/>
      <c r="C854" s="3"/>
      <c r="D854" s="3"/>
      <c r="E854" s="3"/>
      <c r="F854" s="3"/>
      <c r="G854" s="3"/>
    </row>
    <row r="855" spans="1:7" customFormat="1" x14ac:dyDescent="0.2">
      <c r="A855" s="3"/>
      <c r="B855" s="3"/>
      <c r="C855" s="3"/>
      <c r="D855" s="3"/>
      <c r="E855" s="3"/>
      <c r="F855" s="3"/>
      <c r="G855" s="3"/>
    </row>
    <row r="856" spans="1:7" customFormat="1" x14ac:dyDescent="0.2">
      <c r="A856" s="3"/>
      <c r="B856" s="3"/>
      <c r="C856" s="3"/>
      <c r="D856" s="3"/>
      <c r="E856" s="3"/>
      <c r="F856" s="3"/>
      <c r="G856" s="3"/>
    </row>
    <row r="857" spans="1:7" customFormat="1" x14ac:dyDescent="0.2">
      <c r="A857" s="3"/>
      <c r="B857" s="3"/>
      <c r="C857" s="3"/>
      <c r="D857" s="3"/>
      <c r="E857" s="3"/>
      <c r="F857" s="3"/>
      <c r="G857" s="3"/>
    </row>
    <row r="858" spans="1:7" customFormat="1" x14ac:dyDescent="0.2">
      <c r="A858" s="3"/>
      <c r="B858" s="3"/>
      <c r="C858" s="3"/>
      <c r="D858" s="3"/>
      <c r="E858" s="3"/>
      <c r="F858" s="3"/>
      <c r="G858" s="3"/>
    </row>
    <row r="859" spans="1:7" customFormat="1" x14ac:dyDescent="0.2">
      <c r="A859" s="3"/>
      <c r="B859" s="3"/>
      <c r="C859" s="3"/>
      <c r="D859" s="3"/>
      <c r="E859" s="3"/>
      <c r="F859" s="3"/>
      <c r="G859" s="3"/>
    </row>
    <row r="860" spans="1:7" customFormat="1" x14ac:dyDescent="0.2">
      <c r="A860" s="3"/>
      <c r="B860" s="3"/>
      <c r="C860" s="3"/>
      <c r="D860" s="3"/>
      <c r="E860" s="3"/>
      <c r="F860" s="3"/>
      <c r="G860" s="3"/>
    </row>
    <row r="861" spans="1:7" customFormat="1" x14ac:dyDescent="0.2">
      <c r="A861" s="3"/>
      <c r="B861" s="3"/>
      <c r="C861" s="3"/>
      <c r="D861" s="3"/>
      <c r="E861" s="3"/>
      <c r="F861" s="3"/>
      <c r="G861" s="3"/>
    </row>
    <row r="862" spans="1:7" customFormat="1" x14ac:dyDescent="0.2">
      <c r="A862" s="3"/>
      <c r="B862" s="3"/>
      <c r="C862" s="3"/>
      <c r="D862" s="3"/>
      <c r="E862" s="3"/>
      <c r="F862" s="3"/>
      <c r="G862" s="3"/>
    </row>
    <row r="863" spans="1:7" customFormat="1" x14ac:dyDescent="0.2">
      <c r="A863" s="3"/>
      <c r="B863" s="3"/>
      <c r="C863" s="3"/>
      <c r="D863" s="3"/>
      <c r="E863" s="3"/>
      <c r="F863" s="3"/>
      <c r="G863" s="3"/>
    </row>
    <row r="864" spans="1:7" customFormat="1" x14ac:dyDescent="0.2">
      <c r="A864" s="3"/>
      <c r="B864" s="3"/>
      <c r="C864" s="3"/>
      <c r="D864" s="3"/>
      <c r="E864" s="3"/>
      <c r="F864" s="3"/>
      <c r="G864" s="3"/>
    </row>
    <row r="865" spans="1:7" customFormat="1" x14ac:dyDescent="0.2">
      <c r="A865" s="3"/>
      <c r="B865" s="3"/>
      <c r="C865" s="3"/>
      <c r="D865" s="3"/>
      <c r="E865" s="3"/>
      <c r="F865" s="3"/>
      <c r="G865" s="3"/>
    </row>
    <row r="866" spans="1:7" customFormat="1" x14ac:dyDescent="0.2">
      <c r="A866" s="3"/>
      <c r="B866" s="3"/>
      <c r="C866" s="3"/>
      <c r="D866" s="3"/>
      <c r="E866" s="3"/>
      <c r="F866" s="3"/>
      <c r="G866" s="3"/>
    </row>
    <row r="867" spans="1:7" customFormat="1" x14ac:dyDescent="0.2">
      <c r="A867" s="3"/>
      <c r="B867" s="3"/>
      <c r="C867" s="3"/>
      <c r="D867" s="3"/>
      <c r="E867" s="3"/>
      <c r="F867" s="3"/>
      <c r="G867" s="3"/>
    </row>
    <row r="868" spans="1:7" customFormat="1" x14ac:dyDescent="0.2">
      <c r="A868" s="3"/>
      <c r="B868" s="3"/>
      <c r="C868" s="3"/>
      <c r="D868" s="3"/>
      <c r="E868" s="3"/>
      <c r="F868" s="3"/>
      <c r="G868" s="3"/>
    </row>
    <row r="869" spans="1:7" customFormat="1" x14ac:dyDescent="0.2">
      <c r="A869" s="3"/>
      <c r="B869" s="3"/>
      <c r="C869" s="3"/>
      <c r="D869" s="3"/>
      <c r="E869" s="3"/>
      <c r="F869" s="3"/>
      <c r="G869" s="3"/>
    </row>
    <row r="870" spans="1:7" customFormat="1" x14ac:dyDescent="0.2">
      <c r="A870" s="3"/>
      <c r="B870" s="3"/>
      <c r="C870" s="3"/>
      <c r="D870" s="3"/>
      <c r="E870" s="3"/>
      <c r="F870" s="3"/>
      <c r="G870" s="3"/>
    </row>
    <row r="871" spans="1:7" customFormat="1" x14ac:dyDescent="0.2">
      <c r="A871" s="3"/>
      <c r="B871" s="3"/>
      <c r="C871" s="3"/>
      <c r="D871" s="3"/>
      <c r="E871" s="3"/>
      <c r="F871" s="3"/>
      <c r="G871" s="3"/>
    </row>
    <row r="872" spans="1:7" customFormat="1" x14ac:dyDescent="0.2">
      <c r="A872" s="3"/>
      <c r="B872" s="3"/>
      <c r="C872" s="3"/>
      <c r="D872" s="3"/>
      <c r="E872" s="3"/>
      <c r="F872" s="3"/>
      <c r="G872" s="3"/>
    </row>
    <row r="873" spans="1:7" customFormat="1" x14ac:dyDescent="0.2">
      <c r="A873" s="3"/>
      <c r="B873" s="3"/>
      <c r="C873" s="3"/>
      <c r="D873" s="3"/>
      <c r="E873" s="3"/>
      <c r="F873" s="3"/>
      <c r="G873" s="3"/>
    </row>
    <row r="874" spans="1:7" customFormat="1" x14ac:dyDescent="0.2">
      <c r="A874" s="3"/>
      <c r="B874" s="3"/>
      <c r="C874" s="3"/>
      <c r="D874" s="3"/>
      <c r="E874" s="3"/>
      <c r="F874" s="3"/>
      <c r="G874" s="3"/>
    </row>
    <row r="875" spans="1:7" customFormat="1" x14ac:dyDescent="0.2">
      <c r="A875" s="3"/>
      <c r="B875" s="3"/>
      <c r="C875" s="3"/>
      <c r="D875" s="3"/>
      <c r="E875" s="3"/>
      <c r="F875" s="3"/>
      <c r="G875" s="3"/>
    </row>
    <row r="876" spans="1:7" customFormat="1" x14ac:dyDescent="0.2">
      <c r="A876" s="3"/>
      <c r="B876" s="3"/>
      <c r="C876" s="3"/>
      <c r="D876" s="3"/>
      <c r="E876" s="3"/>
      <c r="F876" s="3"/>
      <c r="G876" s="3"/>
    </row>
    <row r="877" spans="1:7" customFormat="1" x14ac:dyDescent="0.2">
      <c r="A877" s="3"/>
      <c r="B877" s="3"/>
      <c r="C877" s="3"/>
      <c r="D877" s="3"/>
      <c r="E877" s="3"/>
      <c r="F877" s="3"/>
      <c r="G877" s="3"/>
    </row>
    <row r="878" spans="1:7" customFormat="1" x14ac:dyDescent="0.2">
      <c r="A878" s="3"/>
      <c r="B878" s="3"/>
      <c r="C878" s="3"/>
      <c r="D878" s="3"/>
      <c r="E878" s="3"/>
      <c r="F878" s="3"/>
      <c r="G878" s="3"/>
    </row>
    <row r="879" spans="1:7" customFormat="1" x14ac:dyDescent="0.2">
      <c r="A879" s="3"/>
      <c r="B879" s="3"/>
      <c r="C879" s="3"/>
      <c r="D879" s="3"/>
      <c r="E879" s="3"/>
      <c r="F879" s="3"/>
      <c r="G879" s="3"/>
    </row>
    <row r="880" spans="1:7" customFormat="1" x14ac:dyDescent="0.2">
      <c r="A880" s="3"/>
      <c r="B880" s="3"/>
      <c r="C880" s="3"/>
      <c r="D880" s="3"/>
      <c r="E880" s="3"/>
      <c r="F880" s="3"/>
      <c r="G880" s="3"/>
    </row>
    <row r="881" spans="1:7" customFormat="1" x14ac:dyDescent="0.2">
      <c r="A881" s="3"/>
      <c r="B881" s="3"/>
      <c r="C881" s="3"/>
      <c r="D881" s="3"/>
      <c r="E881" s="3"/>
      <c r="F881" s="3"/>
      <c r="G881" s="3"/>
    </row>
    <row r="882" spans="1:7" customFormat="1" x14ac:dyDescent="0.2">
      <c r="A882" s="3"/>
      <c r="B882" s="3"/>
      <c r="C882" s="3"/>
      <c r="D882" s="3"/>
      <c r="E882" s="3"/>
      <c r="F882" s="3"/>
      <c r="G882" s="3"/>
    </row>
    <row r="883" spans="1:7" customFormat="1" x14ac:dyDescent="0.2">
      <c r="A883" s="3"/>
      <c r="B883" s="3"/>
      <c r="C883" s="3"/>
      <c r="D883" s="3"/>
      <c r="E883" s="3"/>
      <c r="F883" s="3"/>
      <c r="G883" s="3"/>
    </row>
    <row r="884" spans="1:7" customFormat="1" x14ac:dyDescent="0.2">
      <c r="A884" s="3"/>
      <c r="B884" s="3"/>
      <c r="C884" s="3"/>
      <c r="D884" s="3"/>
      <c r="E884" s="3"/>
      <c r="F884" s="3"/>
      <c r="G884" s="3"/>
    </row>
    <row r="885" spans="1:7" customFormat="1" x14ac:dyDescent="0.2">
      <c r="A885" s="3"/>
      <c r="B885" s="3"/>
      <c r="C885" s="3"/>
      <c r="D885" s="3"/>
      <c r="E885" s="3"/>
      <c r="F885" s="3"/>
      <c r="G885" s="3"/>
    </row>
    <row r="886" spans="1:7" customFormat="1" x14ac:dyDescent="0.2">
      <c r="A886" s="3"/>
      <c r="B886" s="3"/>
      <c r="C886" s="3"/>
      <c r="D886" s="3"/>
      <c r="E886" s="3"/>
      <c r="F886" s="3"/>
      <c r="G886" s="3"/>
    </row>
    <row r="887" spans="1:7" customFormat="1" x14ac:dyDescent="0.2">
      <c r="A887" s="3"/>
      <c r="B887" s="3"/>
      <c r="C887" s="3"/>
      <c r="D887" s="3"/>
      <c r="E887" s="3"/>
      <c r="F887" s="3"/>
      <c r="G887" s="3"/>
    </row>
    <row r="888" spans="1:7" customFormat="1" x14ac:dyDescent="0.2">
      <c r="A888" s="3"/>
      <c r="B888" s="3"/>
      <c r="C888" s="3"/>
      <c r="D888" s="3"/>
      <c r="E888" s="3"/>
      <c r="F888" s="3"/>
      <c r="G888" s="3"/>
    </row>
    <row r="889" spans="1:7" customFormat="1" x14ac:dyDescent="0.2">
      <c r="A889" s="3"/>
      <c r="B889" s="3"/>
      <c r="C889" s="3"/>
      <c r="D889" s="3"/>
      <c r="E889" s="3"/>
      <c r="F889" s="3"/>
      <c r="G889" s="3"/>
    </row>
    <row r="890" spans="1:7" customFormat="1" x14ac:dyDescent="0.2">
      <c r="A890" s="3"/>
      <c r="B890" s="3"/>
      <c r="C890" s="3"/>
      <c r="D890" s="3"/>
      <c r="E890" s="3"/>
      <c r="F890" s="3"/>
      <c r="G890" s="3"/>
    </row>
    <row r="891" spans="1:7" customFormat="1" x14ac:dyDescent="0.2">
      <c r="A891" s="3"/>
      <c r="B891" s="3"/>
      <c r="C891" s="3"/>
      <c r="D891" s="3"/>
      <c r="E891" s="3"/>
      <c r="F891" s="3"/>
      <c r="G891" s="3"/>
    </row>
    <row r="892" spans="1:7" customFormat="1" x14ac:dyDescent="0.2">
      <c r="A892" s="3"/>
      <c r="B892" s="3"/>
      <c r="C892" s="3"/>
      <c r="D892" s="3"/>
      <c r="E892" s="3"/>
      <c r="F892" s="3"/>
      <c r="G892" s="3"/>
    </row>
    <row r="893" spans="1:7" customFormat="1" x14ac:dyDescent="0.2">
      <c r="A893" s="3"/>
      <c r="B893" s="3"/>
      <c r="C893" s="3"/>
      <c r="D893" s="3"/>
      <c r="E893" s="3"/>
      <c r="F893" s="3"/>
      <c r="G893" s="3"/>
    </row>
    <row r="894" spans="1:7" customFormat="1" x14ac:dyDescent="0.2">
      <c r="A894" s="3"/>
      <c r="B894" s="3"/>
      <c r="C894" s="3"/>
      <c r="D894" s="3"/>
      <c r="E894" s="3"/>
      <c r="F894" s="3"/>
      <c r="G894" s="3"/>
    </row>
    <row r="895" spans="1:7" customFormat="1" x14ac:dyDescent="0.2">
      <c r="A895" s="3"/>
      <c r="B895" s="3"/>
      <c r="C895" s="3"/>
      <c r="D895" s="3"/>
      <c r="E895" s="3"/>
      <c r="F895" s="3"/>
      <c r="G895" s="3"/>
    </row>
    <row r="896" spans="1:7" customFormat="1" x14ac:dyDescent="0.2">
      <c r="A896" s="3"/>
      <c r="B896" s="3"/>
      <c r="C896" s="3"/>
      <c r="D896" s="3"/>
      <c r="E896" s="3"/>
      <c r="F896" s="3"/>
      <c r="G896" s="3"/>
    </row>
    <row r="897" spans="1:7" customFormat="1" x14ac:dyDescent="0.2">
      <c r="A897" s="3"/>
      <c r="B897" s="3"/>
      <c r="C897" s="3"/>
      <c r="D897" s="3"/>
      <c r="E897" s="3"/>
      <c r="F897" s="3"/>
      <c r="G897" s="3"/>
    </row>
    <row r="898" spans="1:7" customFormat="1" x14ac:dyDescent="0.2">
      <c r="A898" s="3"/>
      <c r="B898" s="3"/>
      <c r="C898" s="3"/>
      <c r="D898" s="3"/>
      <c r="E898" s="3"/>
      <c r="F898" s="3"/>
      <c r="G898" s="3"/>
    </row>
    <row r="899" spans="1:7" customFormat="1" x14ac:dyDescent="0.2">
      <c r="A899" s="3"/>
      <c r="B899" s="3"/>
      <c r="C899" s="3"/>
      <c r="D899" s="3"/>
      <c r="E899" s="3"/>
      <c r="F899" s="3"/>
      <c r="G899" s="3"/>
    </row>
    <row r="900" spans="1:7" customFormat="1" x14ac:dyDescent="0.2">
      <c r="A900" s="3"/>
      <c r="B900" s="3"/>
      <c r="C900" s="3"/>
      <c r="D900" s="3"/>
      <c r="E900" s="3"/>
      <c r="F900" s="3"/>
      <c r="G900" s="3"/>
    </row>
    <row r="901" spans="1:7" customFormat="1" x14ac:dyDescent="0.2">
      <c r="A901" s="3"/>
      <c r="B901" s="3"/>
      <c r="C901" s="3"/>
      <c r="D901" s="3"/>
      <c r="E901" s="3"/>
      <c r="F901" s="3"/>
      <c r="G901" s="3"/>
    </row>
    <row r="902" spans="1:7" customFormat="1" x14ac:dyDescent="0.2">
      <c r="A902" s="3"/>
      <c r="B902" s="3"/>
      <c r="C902" s="3"/>
      <c r="D902" s="3"/>
      <c r="E902" s="3"/>
      <c r="F902" s="3"/>
      <c r="G902" s="3"/>
    </row>
    <row r="903" spans="1:7" customFormat="1" x14ac:dyDescent="0.2">
      <c r="A903" s="3"/>
      <c r="B903" s="3"/>
      <c r="C903" s="3"/>
      <c r="D903" s="3"/>
      <c r="E903" s="3"/>
      <c r="F903" s="3"/>
      <c r="G903" s="3"/>
    </row>
    <row r="904" spans="1:7" customFormat="1" x14ac:dyDescent="0.2">
      <c r="A904" s="3"/>
      <c r="B904" s="3"/>
      <c r="C904" s="3"/>
      <c r="D904" s="3"/>
      <c r="E904" s="3"/>
      <c r="F904" s="3"/>
      <c r="G904" s="3"/>
    </row>
    <row r="905" spans="1:7" customFormat="1" x14ac:dyDescent="0.2">
      <c r="A905" s="3"/>
      <c r="B905" s="3"/>
      <c r="C905" s="3"/>
      <c r="D905" s="3"/>
      <c r="E905" s="3"/>
      <c r="F905" s="3"/>
      <c r="G905" s="3"/>
    </row>
    <row r="906" spans="1:7" customFormat="1" x14ac:dyDescent="0.2">
      <c r="A906" s="3"/>
      <c r="B906" s="3"/>
      <c r="C906" s="3"/>
      <c r="D906" s="3"/>
      <c r="E906" s="3"/>
      <c r="F906" s="3"/>
      <c r="G906" s="3"/>
    </row>
    <row r="907" spans="1:7" customFormat="1" x14ac:dyDescent="0.2">
      <c r="A907" s="3"/>
      <c r="B907" s="3"/>
      <c r="C907" s="3"/>
      <c r="D907" s="3"/>
      <c r="E907" s="3"/>
      <c r="F907" s="3"/>
      <c r="G907" s="3"/>
    </row>
    <row r="908" spans="1:7" customFormat="1" x14ac:dyDescent="0.2">
      <c r="A908" s="3"/>
      <c r="B908" s="3"/>
      <c r="C908" s="3"/>
      <c r="D908" s="3"/>
      <c r="E908" s="3"/>
      <c r="F908" s="3"/>
      <c r="G908" s="3"/>
    </row>
    <row r="909" spans="1:7" customFormat="1" x14ac:dyDescent="0.2">
      <c r="A909" s="3"/>
      <c r="B909" s="3"/>
      <c r="C909" s="3"/>
      <c r="D909" s="3"/>
      <c r="E909" s="3"/>
      <c r="F909" s="3"/>
      <c r="G909" s="3"/>
    </row>
    <row r="910" spans="1:7" customFormat="1" x14ac:dyDescent="0.2">
      <c r="A910" s="3"/>
      <c r="B910" s="3"/>
      <c r="C910" s="3"/>
      <c r="D910" s="3"/>
      <c r="E910" s="3"/>
      <c r="F910" s="3"/>
      <c r="G910" s="3"/>
    </row>
    <row r="911" spans="1:7" customFormat="1" x14ac:dyDescent="0.2">
      <c r="A911" s="3"/>
      <c r="B911" s="3"/>
      <c r="C911" s="3"/>
      <c r="D911" s="3"/>
      <c r="E911" s="3"/>
      <c r="F911" s="3"/>
      <c r="G911" s="3"/>
    </row>
    <row r="912" spans="1:7" customFormat="1" x14ac:dyDescent="0.2">
      <c r="A912" s="3"/>
      <c r="B912" s="3"/>
      <c r="C912" s="3"/>
      <c r="D912" s="3"/>
      <c r="E912" s="3"/>
      <c r="F912" s="3"/>
      <c r="G912" s="3"/>
    </row>
    <row r="913" spans="1:7" customFormat="1" x14ac:dyDescent="0.2">
      <c r="A913" s="3"/>
      <c r="B913" s="3"/>
      <c r="C913" s="3"/>
      <c r="D913" s="3"/>
      <c r="E913" s="3"/>
      <c r="F913" s="3"/>
      <c r="G913" s="3"/>
    </row>
    <row r="914" spans="1:7" customFormat="1" x14ac:dyDescent="0.2">
      <c r="A914" s="3"/>
      <c r="B914" s="3"/>
      <c r="C914" s="3"/>
      <c r="D914" s="3"/>
      <c r="E914" s="3"/>
      <c r="F914" s="3"/>
      <c r="G914" s="3"/>
    </row>
    <row r="915" spans="1:7" customFormat="1" x14ac:dyDescent="0.2">
      <c r="A915" s="3"/>
      <c r="B915" s="3"/>
      <c r="C915" s="3"/>
      <c r="D915" s="3"/>
      <c r="E915" s="3"/>
      <c r="F915" s="3"/>
      <c r="G915" s="3"/>
    </row>
    <row r="916" spans="1:7" customFormat="1" x14ac:dyDescent="0.2">
      <c r="A916" s="3"/>
      <c r="B916" s="3"/>
      <c r="C916" s="3"/>
      <c r="D916" s="3"/>
      <c r="E916" s="3"/>
      <c r="F916" s="3"/>
      <c r="G916" s="3"/>
    </row>
    <row r="917" spans="1:7" customFormat="1" x14ac:dyDescent="0.2">
      <c r="A917" s="3"/>
      <c r="B917" s="3"/>
      <c r="C917" s="3"/>
      <c r="D917" s="3"/>
      <c r="E917" s="3"/>
      <c r="F917" s="3"/>
      <c r="G917" s="3"/>
    </row>
    <row r="918" spans="1:7" customFormat="1" x14ac:dyDescent="0.2">
      <c r="A918" s="3"/>
      <c r="B918" s="3"/>
      <c r="C918" s="3"/>
      <c r="D918" s="3"/>
      <c r="E918" s="3"/>
      <c r="F918" s="3"/>
      <c r="G918" s="3"/>
    </row>
    <row r="919" spans="1:7" customFormat="1" x14ac:dyDescent="0.2">
      <c r="A919" s="3"/>
      <c r="B919" s="3"/>
      <c r="C919" s="3"/>
      <c r="D919" s="3"/>
      <c r="E919" s="3"/>
      <c r="F919" s="3"/>
      <c r="G919" s="3"/>
    </row>
    <row r="920" spans="1:7" customFormat="1" x14ac:dyDescent="0.2">
      <c r="A920" s="3"/>
      <c r="B920" s="3"/>
      <c r="C920" s="3"/>
      <c r="D920" s="3"/>
      <c r="E920" s="3"/>
      <c r="F920" s="3"/>
      <c r="G920" s="3"/>
    </row>
    <row r="921" spans="1:7" customFormat="1" x14ac:dyDescent="0.2">
      <c r="A921" s="3"/>
      <c r="B921" s="3"/>
      <c r="C921" s="3"/>
      <c r="D921" s="3"/>
      <c r="E921" s="3"/>
      <c r="F921" s="3"/>
      <c r="G921" s="3"/>
    </row>
    <row r="922" spans="1:7" customFormat="1" x14ac:dyDescent="0.2">
      <c r="A922" s="3"/>
      <c r="B922" s="3"/>
      <c r="C922" s="3"/>
      <c r="D922" s="3"/>
      <c r="E922" s="3"/>
      <c r="F922" s="3"/>
      <c r="G922" s="3"/>
    </row>
    <row r="923" spans="1:7" customFormat="1" x14ac:dyDescent="0.2">
      <c r="A923" s="3"/>
      <c r="B923" s="3"/>
      <c r="C923" s="3"/>
      <c r="D923" s="3"/>
      <c r="E923" s="3"/>
      <c r="F923" s="3"/>
      <c r="G923" s="3"/>
    </row>
    <row r="924" spans="1:7" customFormat="1" x14ac:dyDescent="0.2">
      <c r="A924" s="3"/>
      <c r="B924" s="3"/>
      <c r="C924" s="3"/>
      <c r="D924" s="3"/>
      <c r="E924" s="3"/>
      <c r="F924" s="3"/>
      <c r="G924" s="3"/>
    </row>
    <row r="925" spans="1:7" customFormat="1" x14ac:dyDescent="0.2">
      <c r="A925" s="3"/>
      <c r="B925" s="3"/>
      <c r="C925" s="3"/>
      <c r="D925" s="3"/>
      <c r="E925" s="3"/>
      <c r="F925" s="3"/>
      <c r="G925" s="3"/>
    </row>
    <row r="926" spans="1:7" customFormat="1" x14ac:dyDescent="0.2">
      <c r="A926" s="3"/>
      <c r="B926" s="3"/>
      <c r="C926" s="3"/>
      <c r="D926" s="3"/>
      <c r="E926" s="3"/>
      <c r="F926" s="3"/>
      <c r="G926" s="3"/>
    </row>
    <row r="927" spans="1:7" customFormat="1" x14ac:dyDescent="0.2">
      <c r="A927" s="3"/>
      <c r="B927" s="3"/>
      <c r="C927" s="3"/>
      <c r="D927" s="3"/>
      <c r="E927" s="3"/>
      <c r="F927" s="3"/>
      <c r="G927" s="3"/>
    </row>
    <row r="928" spans="1:7" customFormat="1" x14ac:dyDescent="0.2">
      <c r="A928" s="3"/>
      <c r="B928" s="3"/>
      <c r="C928" s="3"/>
      <c r="D928" s="3"/>
      <c r="E928" s="3"/>
      <c r="F928" s="3"/>
      <c r="G928" s="3"/>
    </row>
    <row r="929" spans="1:7" customFormat="1" x14ac:dyDescent="0.2">
      <c r="A929" s="3"/>
      <c r="B929" s="3"/>
      <c r="C929" s="3"/>
      <c r="D929" s="3"/>
      <c r="E929" s="3"/>
      <c r="F929" s="3"/>
      <c r="G929" s="3"/>
    </row>
    <row r="930" spans="1:7" customFormat="1" x14ac:dyDescent="0.2">
      <c r="A930" s="3"/>
      <c r="B930" s="3"/>
      <c r="C930" s="3"/>
      <c r="D930" s="3"/>
      <c r="E930" s="3"/>
      <c r="F930" s="3"/>
      <c r="G930" s="3"/>
    </row>
    <row r="931" spans="1:7" customFormat="1" x14ac:dyDescent="0.2">
      <c r="A931" s="3"/>
      <c r="B931" s="3"/>
      <c r="C931" s="3"/>
      <c r="D931" s="3"/>
      <c r="E931" s="3"/>
      <c r="F931" s="3"/>
      <c r="G931" s="3"/>
    </row>
    <row r="932" spans="1:7" customFormat="1" x14ac:dyDescent="0.2">
      <c r="A932" s="3"/>
      <c r="B932" s="3"/>
      <c r="C932" s="3"/>
      <c r="D932" s="3"/>
      <c r="E932" s="3"/>
      <c r="F932" s="3"/>
      <c r="G932" s="3"/>
    </row>
    <row r="933" spans="1:7" customFormat="1" x14ac:dyDescent="0.2">
      <c r="A933" s="3"/>
      <c r="B933" s="3"/>
      <c r="C933" s="3"/>
      <c r="D933" s="3"/>
      <c r="E933" s="3"/>
      <c r="F933" s="3"/>
      <c r="G933" s="3"/>
    </row>
    <row r="934" spans="1:7" customFormat="1" x14ac:dyDescent="0.2">
      <c r="A934" s="3"/>
      <c r="B934" s="3"/>
      <c r="C934" s="3"/>
      <c r="D934" s="3"/>
      <c r="E934" s="3"/>
      <c r="F934" s="3"/>
      <c r="G934" s="3"/>
    </row>
    <row r="935" spans="1:7" customFormat="1" x14ac:dyDescent="0.2">
      <c r="A935" s="3"/>
      <c r="B935" s="3"/>
      <c r="C935" s="3"/>
      <c r="D935" s="3"/>
      <c r="E935" s="3"/>
      <c r="F935" s="3"/>
      <c r="G935" s="3"/>
    </row>
    <row r="936" spans="1:7" customFormat="1" x14ac:dyDescent="0.2">
      <c r="A936" s="3"/>
      <c r="B936" s="3"/>
      <c r="C936" s="3"/>
      <c r="D936" s="3"/>
      <c r="E936" s="3"/>
      <c r="F936" s="3"/>
      <c r="G936" s="3"/>
    </row>
    <row r="937" spans="1:7" customFormat="1" x14ac:dyDescent="0.2">
      <c r="A937" s="3"/>
      <c r="B937" s="3"/>
      <c r="C937" s="3"/>
      <c r="D937" s="3"/>
      <c r="E937" s="3"/>
      <c r="F937" s="3"/>
      <c r="G937" s="3"/>
    </row>
    <row r="938" spans="1:7" customFormat="1" x14ac:dyDescent="0.2">
      <c r="A938" s="3"/>
      <c r="B938" s="3"/>
      <c r="C938" s="3"/>
      <c r="D938" s="3"/>
      <c r="E938" s="3"/>
      <c r="F938" s="3"/>
      <c r="G938" s="3"/>
    </row>
    <row r="939" spans="1:7" customFormat="1" x14ac:dyDescent="0.2">
      <c r="A939" s="3"/>
      <c r="B939" s="3"/>
      <c r="C939" s="3"/>
      <c r="D939" s="3"/>
      <c r="E939" s="3"/>
      <c r="F939" s="3"/>
      <c r="G939" s="3"/>
    </row>
    <row r="940" spans="1:7" customFormat="1" x14ac:dyDescent="0.2">
      <c r="A940" s="3"/>
      <c r="B940" s="3"/>
      <c r="C940" s="3"/>
      <c r="D940" s="3"/>
      <c r="E940" s="3"/>
      <c r="F940" s="3"/>
      <c r="G940" s="3"/>
    </row>
    <row r="941" spans="1:7" customFormat="1" x14ac:dyDescent="0.2">
      <c r="A941" s="3"/>
      <c r="B941" s="3"/>
      <c r="C941" s="3"/>
      <c r="D941" s="3"/>
      <c r="E941" s="3"/>
      <c r="F941" s="3"/>
      <c r="G941" s="3"/>
    </row>
    <row r="942" spans="1:7" customFormat="1" x14ac:dyDescent="0.2">
      <c r="A942" s="3"/>
      <c r="B942" s="3"/>
      <c r="C942" s="3"/>
      <c r="D942" s="3"/>
      <c r="E942" s="3"/>
      <c r="F942" s="3"/>
      <c r="G942" s="3"/>
    </row>
    <row r="943" spans="1:7" customFormat="1" x14ac:dyDescent="0.2">
      <c r="A943" s="3"/>
      <c r="B943" s="3"/>
      <c r="C943" s="3"/>
      <c r="D943" s="3"/>
      <c r="E943" s="3"/>
      <c r="F943" s="3"/>
      <c r="G943" s="3"/>
    </row>
    <row r="944" spans="1:7" customFormat="1" x14ac:dyDescent="0.2">
      <c r="A944" s="3"/>
      <c r="B944" s="3"/>
      <c r="C944" s="3"/>
      <c r="D944" s="3"/>
      <c r="E944" s="3"/>
      <c r="F944" s="3"/>
      <c r="G944" s="3"/>
    </row>
    <row r="945" spans="1:7" customFormat="1" x14ac:dyDescent="0.2">
      <c r="A945" s="3"/>
      <c r="B945" s="3"/>
      <c r="C945" s="3"/>
      <c r="D945" s="3"/>
      <c r="E945" s="3"/>
      <c r="F945" s="3"/>
      <c r="G945" s="3"/>
    </row>
    <row r="946" spans="1:7" customFormat="1" x14ac:dyDescent="0.2">
      <c r="A946" s="3"/>
      <c r="B946" s="3"/>
      <c r="C946" s="3"/>
      <c r="D946" s="3"/>
      <c r="E946" s="3"/>
      <c r="F946" s="3"/>
      <c r="G946" s="3"/>
    </row>
    <row r="947" spans="1:7" customFormat="1" x14ac:dyDescent="0.2">
      <c r="A947" s="3"/>
      <c r="B947" s="3"/>
      <c r="C947" s="3"/>
      <c r="D947" s="3"/>
      <c r="E947" s="3"/>
      <c r="F947" s="3"/>
      <c r="G947" s="3"/>
    </row>
    <row r="948" spans="1:7" customFormat="1" x14ac:dyDescent="0.2">
      <c r="A948" s="3"/>
      <c r="B948" s="3"/>
      <c r="C948" s="3"/>
      <c r="D948" s="3"/>
      <c r="E948" s="3"/>
      <c r="F948" s="3"/>
      <c r="G948" s="3"/>
    </row>
    <row r="949" spans="1:7" customFormat="1" x14ac:dyDescent="0.2">
      <c r="A949" s="3"/>
      <c r="B949" s="3"/>
      <c r="C949" s="3"/>
      <c r="D949" s="3"/>
      <c r="E949" s="3"/>
      <c r="F949" s="3"/>
      <c r="G949" s="3"/>
    </row>
    <row r="950" spans="1:7" customFormat="1" x14ac:dyDescent="0.2">
      <c r="A950" s="3"/>
      <c r="B950" s="3"/>
      <c r="C950" s="3"/>
      <c r="D950" s="3"/>
      <c r="E950" s="3"/>
      <c r="F950" s="3"/>
      <c r="G950" s="3"/>
    </row>
    <row r="951" spans="1:7" customFormat="1" x14ac:dyDescent="0.2">
      <c r="A951" s="3"/>
      <c r="B951" s="3"/>
      <c r="C951" s="3"/>
      <c r="D951" s="3"/>
      <c r="E951" s="3"/>
      <c r="F951" s="3"/>
      <c r="G951" s="3"/>
    </row>
    <row r="952" spans="1:7" customFormat="1" x14ac:dyDescent="0.2">
      <c r="A952" s="3"/>
      <c r="B952" s="3"/>
      <c r="C952" s="3"/>
      <c r="D952" s="3"/>
      <c r="E952" s="3"/>
      <c r="F952" s="3"/>
      <c r="G952" s="3"/>
    </row>
    <row r="953" spans="1:7" customFormat="1" x14ac:dyDescent="0.2">
      <c r="A953" s="3"/>
      <c r="B953" s="3"/>
      <c r="C953" s="3"/>
      <c r="D953" s="3"/>
      <c r="E953" s="3"/>
      <c r="F953" s="3"/>
      <c r="G953" s="3"/>
    </row>
    <row r="954" spans="1:7" customFormat="1" x14ac:dyDescent="0.2">
      <c r="A954" s="3"/>
      <c r="B954" s="3"/>
      <c r="C954" s="3"/>
      <c r="D954" s="3"/>
      <c r="E954" s="3"/>
      <c r="F954" s="3"/>
      <c r="G954" s="3"/>
    </row>
    <row r="955" spans="1:7" customFormat="1" x14ac:dyDescent="0.2">
      <c r="A955" s="3"/>
      <c r="B955" s="3"/>
      <c r="C955" s="3"/>
      <c r="D955" s="3"/>
      <c r="E955" s="3"/>
      <c r="F955" s="3"/>
      <c r="G955" s="3"/>
    </row>
    <row r="956" spans="1:7" customFormat="1" x14ac:dyDescent="0.2">
      <c r="A956" s="3"/>
      <c r="B956" s="3"/>
      <c r="C956" s="3"/>
      <c r="D956" s="3"/>
      <c r="E956" s="3"/>
      <c r="F956" s="3"/>
      <c r="G956" s="3"/>
    </row>
    <row r="957" spans="1:7" customFormat="1" x14ac:dyDescent="0.2">
      <c r="A957" s="3"/>
      <c r="B957" s="3"/>
      <c r="C957" s="3"/>
      <c r="D957" s="3"/>
      <c r="E957" s="3"/>
      <c r="F957" s="3"/>
      <c r="G957" s="3"/>
    </row>
    <row r="958" spans="1:7" customFormat="1" x14ac:dyDescent="0.2">
      <c r="A958" s="3"/>
      <c r="B958" s="3"/>
      <c r="C958" s="3"/>
      <c r="D958" s="3"/>
      <c r="E958" s="3"/>
      <c r="F958" s="3"/>
      <c r="G958" s="3"/>
    </row>
    <row r="959" spans="1:7" customFormat="1" x14ac:dyDescent="0.2">
      <c r="A959" s="3"/>
      <c r="B959" s="3"/>
      <c r="C959" s="3"/>
      <c r="D959" s="3"/>
      <c r="E959" s="3"/>
      <c r="F959" s="3"/>
      <c r="G959" s="3"/>
    </row>
    <row r="960" spans="1:7" customFormat="1" x14ac:dyDescent="0.2">
      <c r="A960" s="3"/>
      <c r="B960" s="3"/>
      <c r="C960" s="3"/>
      <c r="D960" s="3"/>
      <c r="E960" s="3"/>
      <c r="F960" s="3"/>
      <c r="G960" s="3"/>
    </row>
    <row r="961" spans="1:7" customFormat="1" x14ac:dyDescent="0.2">
      <c r="A961" s="3"/>
      <c r="B961" s="3"/>
      <c r="C961" s="3"/>
      <c r="D961" s="3"/>
      <c r="E961" s="3"/>
      <c r="F961" s="3"/>
      <c r="G961" s="3"/>
    </row>
    <row r="962" spans="1:7" customFormat="1" x14ac:dyDescent="0.2">
      <c r="A962" s="3"/>
      <c r="B962" s="3"/>
      <c r="C962" s="3"/>
      <c r="D962" s="3"/>
      <c r="E962" s="3"/>
      <c r="F962" s="3"/>
      <c r="G962" s="3"/>
    </row>
    <row r="963" spans="1:7" customFormat="1" x14ac:dyDescent="0.2">
      <c r="A963" s="3"/>
      <c r="B963" s="3"/>
      <c r="C963" s="3"/>
      <c r="D963" s="3"/>
      <c r="E963" s="3"/>
      <c r="F963" s="3"/>
      <c r="G963" s="3"/>
    </row>
    <row r="964" spans="1:7" customFormat="1" x14ac:dyDescent="0.2">
      <c r="A964" s="3"/>
      <c r="B964" s="3"/>
      <c r="C964" s="3"/>
      <c r="D964" s="3"/>
      <c r="E964" s="3"/>
      <c r="F964" s="3"/>
      <c r="G964" s="3"/>
    </row>
    <row r="965" spans="1:7" customFormat="1" x14ac:dyDescent="0.2">
      <c r="A965" s="3"/>
      <c r="B965" s="3"/>
      <c r="C965" s="3"/>
      <c r="D965" s="3"/>
      <c r="E965" s="3"/>
      <c r="F965" s="3"/>
      <c r="G965" s="3"/>
    </row>
    <row r="966" spans="1:7" customFormat="1" x14ac:dyDescent="0.2">
      <c r="A966" s="3"/>
      <c r="B966" s="3"/>
      <c r="C966" s="3"/>
      <c r="D966" s="3"/>
      <c r="E966" s="3"/>
      <c r="F966" s="3"/>
      <c r="G966" s="3"/>
    </row>
    <row r="967" spans="1:7" customFormat="1" ht="13.5" customHeight="1" x14ac:dyDescent="0.2">
      <c r="A967" s="3"/>
      <c r="B967" s="3"/>
      <c r="C967" s="3"/>
      <c r="D967" s="3"/>
      <c r="E967" s="3"/>
      <c r="F967" s="3"/>
      <c r="G967" s="3"/>
    </row>
    <row r="968" spans="1:7" customFormat="1" x14ac:dyDescent="0.2">
      <c r="A968" s="3"/>
      <c r="B968" s="3"/>
      <c r="C968" s="3"/>
      <c r="D968" s="3"/>
      <c r="E968" s="3"/>
      <c r="F968" s="3"/>
      <c r="G968" s="3"/>
    </row>
    <row r="969" spans="1:7" customFormat="1" x14ac:dyDescent="0.2">
      <c r="A969" s="3"/>
      <c r="B969" s="3"/>
      <c r="C969" s="3"/>
      <c r="D969" s="3"/>
      <c r="E969" s="3"/>
      <c r="F969" s="3"/>
      <c r="G969" s="3"/>
    </row>
    <row r="970" spans="1:7" customFormat="1" x14ac:dyDescent="0.2">
      <c r="A970" s="3"/>
      <c r="B970" s="3"/>
      <c r="C970" s="3"/>
      <c r="D970" s="3"/>
      <c r="E970" s="3"/>
      <c r="F970" s="3"/>
      <c r="G970" s="3"/>
    </row>
    <row r="971" spans="1:7" customFormat="1" x14ac:dyDescent="0.2">
      <c r="A971" s="3"/>
      <c r="B971" s="3"/>
      <c r="C971" s="3"/>
      <c r="D971" s="3"/>
      <c r="E971" s="3"/>
      <c r="F971" s="3"/>
      <c r="G971" s="3"/>
    </row>
    <row r="972" spans="1:7" customFormat="1" x14ac:dyDescent="0.2">
      <c r="A972" s="3"/>
      <c r="B972" s="3"/>
      <c r="C972" s="3"/>
      <c r="D972" s="3"/>
      <c r="E972" s="3"/>
      <c r="F972" s="3"/>
      <c r="G972" s="3"/>
    </row>
    <row r="973" spans="1:7" customFormat="1" x14ac:dyDescent="0.2">
      <c r="A973" s="3"/>
      <c r="B973" s="3"/>
      <c r="C973" s="3"/>
      <c r="D973" s="3"/>
      <c r="E973" s="3"/>
      <c r="F973" s="3"/>
      <c r="G973" s="3"/>
    </row>
    <row r="974" spans="1:7" customFormat="1" x14ac:dyDescent="0.2">
      <c r="A974" s="3"/>
      <c r="B974" s="3"/>
      <c r="C974" s="3"/>
      <c r="D974" s="3"/>
      <c r="E974" s="3"/>
      <c r="F974" s="3"/>
      <c r="G974" s="3"/>
    </row>
    <row r="975" spans="1:7" customFormat="1" x14ac:dyDescent="0.2">
      <c r="A975" s="3"/>
      <c r="B975" s="3"/>
      <c r="C975" s="3"/>
      <c r="D975" s="3"/>
      <c r="E975" s="3"/>
      <c r="F975" s="3"/>
      <c r="G975" s="3"/>
    </row>
    <row r="976" spans="1:7" customFormat="1" x14ac:dyDescent="0.2">
      <c r="A976" s="3"/>
      <c r="B976" s="3"/>
      <c r="C976" s="3"/>
      <c r="D976" s="3"/>
      <c r="E976" s="3"/>
      <c r="F976" s="3"/>
      <c r="G976" s="3"/>
    </row>
    <row r="977" spans="1:7" customFormat="1" x14ac:dyDescent="0.2">
      <c r="A977" s="3"/>
      <c r="B977" s="3"/>
      <c r="C977" s="3"/>
      <c r="D977" s="3"/>
      <c r="E977" s="3"/>
      <c r="F977" s="3"/>
      <c r="G977" s="3"/>
    </row>
    <row r="978" spans="1:7" customFormat="1" x14ac:dyDescent="0.2">
      <c r="A978" s="3"/>
      <c r="B978" s="3"/>
      <c r="C978" s="3"/>
      <c r="D978" s="3"/>
      <c r="E978" s="3"/>
      <c r="F978" s="3"/>
      <c r="G978" s="3"/>
    </row>
    <row r="979" spans="1:7" customFormat="1" x14ac:dyDescent="0.2">
      <c r="A979" s="3"/>
      <c r="B979" s="3"/>
      <c r="C979" s="3"/>
      <c r="D979" s="3"/>
      <c r="E979" s="3"/>
      <c r="F979" s="3"/>
      <c r="G979" s="3"/>
    </row>
    <row r="980" spans="1:7" customFormat="1" x14ac:dyDescent="0.2">
      <c r="A980" s="3"/>
      <c r="B980" s="3"/>
      <c r="C980" s="3"/>
      <c r="D980" s="3"/>
      <c r="E980" s="3"/>
      <c r="F980" s="3"/>
      <c r="G980" s="3"/>
    </row>
    <row r="981" spans="1:7" customFormat="1" x14ac:dyDescent="0.2">
      <c r="A981" s="3"/>
      <c r="B981" s="3"/>
      <c r="C981" s="3"/>
      <c r="D981" s="3"/>
      <c r="E981" s="3"/>
      <c r="F981" s="3"/>
      <c r="G981" s="3"/>
    </row>
    <row r="982" spans="1:7" customFormat="1" x14ac:dyDescent="0.2">
      <c r="A982" s="3"/>
      <c r="B982" s="3"/>
      <c r="C982" s="3"/>
      <c r="D982" s="3"/>
      <c r="E982" s="3"/>
      <c r="F982" s="3"/>
      <c r="G982" s="3"/>
    </row>
    <row r="983" spans="1:7" customFormat="1" x14ac:dyDescent="0.2">
      <c r="A983" s="3"/>
      <c r="B983" s="3"/>
      <c r="C983" s="3"/>
      <c r="D983" s="3"/>
      <c r="E983" s="3"/>
      <c r="F983" s="3"/>
      <c r="G983" s="3"/>
    </row>
    <row r="984" spans="1:7" customFormat="1" x14ac:dyDescent="0.2">
      <c r="A984" s="3"/>
      <c r="B984" s="3"/>
      <c r="C984" s="3"/>
      <c r="D984" s="3"/>
      <c r="E984" s="3"/>
      <c r="F984" s="3"/>
      <c r="G984" s="3"/>
    </row>
    <row r="985" spans="1:7" customFormat="1" x14ac:dyDescent="0.2">
      <c r="A985" s="3"/>
      <c r="B985" s="3"/>
      <c r="C985" s="3"/>
      <c r="D985" s="3"/>
      <c r="E985" s="3"/>
      <c r="F985" s="3"/>
      <c r="G985" s="3"/>
    </row>
    <row r="986" spans="1:7" customFormat="1" x14ac:dyDescent="0.2">
      <c r="A986" s="3"/>
      <c r="B986" s="3"/>
      <c r="C986" s="3"/>
      <c r="D986" s="3"/>
      <c r="E986" s="3"/>
      <c r="F986" s="3"/>
      <c r="G986" s="3"/>
    </row>
    <row r="987" spans="1:7" customFormat="1" x14ac:dyDescent="0.2">
      <c r="A987" s="3"/>
      <c r="B987" s="3"/>
      <c r="C987" s="3"/>
      <c r="D987" s="3"/>
      <c r="E987" s="3"/>
      <c r="F987" s="3"/>
      <c r="G987" s="3"/>
    </row>
    <row r="988" spans="1:7" customFormat="1" x14ac:dyDescent="0.2">
      <c r="A988" s="3"/>
      <c r="B988" s="3"/>
      <c r="C988" s="3"/>
      <c r="D988" s="3"/>
      <c r="E988" s="3"/>
      <c r="F988" s="3"/>
      <c r="G988" s="3"/>
    </row>
    <row r="989" spans="1:7" customFormat="1" x14ac:dyDescent="0.2">
      <c r="A989" s="3"/>
      <c r="B989" s="3"/>
      <c r="C989" s="3"/>
      <c r="D989" s="3"/>
      <c r="E989" s="3"/>
      <c r="F989" s="3"/>
      <c r="G989" s="3"/>
    </row>
    <row r="990" spans="1:7" customFormat="1" x14ac:dyDescent="0.2">
      <c r="A990" s="3"/>
      <c r="B990" s="3"/>
      <c r="C990" s="3"/>
      <c r="D990" s="3"/>
      <c r="E990" s="3"/>
      <c r="F990" s="3"/>
      <c r="G990" s="3"/>
    </row>
    <row r="991" spans="1:7" customFormat="1" x14ac:dyDescent="0.2">
      <c r="A991" s="3"/>
      <c r="B991" s="3"/>
      <c r="C991" s="3"/>
      <c r="D991" s="3"/>
      <c r="E991" s="3"/>
      <c r="F991" s="3"/>
      <c r="G991" s="3"/>
    </row>
    <row r="992" spans="1:7" customFormat="1" x14ac:dyDescent="0.2">
      <c r="A992" s="3"/>
      <c r="B992" s="3"/>
      <c r="C992" s="3"/>
      <c r="D992" s="3"/>
      <c r="E992" s="3"/>
      <c r="F992" s="3"/>
      <c r="G992" s="3"/>
    </row>
    <row r="993" spans="1:7" customFormat="1" x14ac:dyDescent="0.2">
      <c r="A993" s="3"/>
      <c r="B993" s="3"/>
      <c r="C993" s="3"/>
      <c r="D993" s="3"/>
      <c r="E993" s="3"/>
      <c r="F993" s="3"/>
      <c r="G993" s="3"/>
    </row>
    <row r="994" spans="1:7" customFormat="1" x14ac:dyDescent="0.2">
      <c r="A994" s="3"/>
      <c r="B994" s="3"/>
      <c r="C994" s="3"/>
      <c r="D994" s="3"/>
      <c r="E994" s="3"/>
      <c r="F994" s="3"/>
      <c r="G994" s="3"/>
    </row>
    <row r="995" spans="1:7" customFormat="1" x14ac:dyDescent="0.2">
      <c r="A995" s="3"/>
      <c r="B995" s="3"/>
      <c r="C995" s="3"/>
      <c r="D995" s="3"/>
      <c r="E995" s="3"/>
      <c r="F995" s="3"/>
      <c r="G995" s="3"/>
    </row>
    <row r="996" spans="1:7" customFormat="1" x14ac:dyDescent="0.2">
      <c r="A996" s="3"/>
      <c r="B996" s="3"/>
      <c r="C996" s="3"/>
      <c r="D996" s="3"/>
      <c r="E996" s="3"/>
      <c r="F996" s="3"/>
      <c r="G996" s="3"/>
    </row>
    <row r="997" spans="1:7" customFormat="1" x14ac:dyDescent="0.2">
      <c r="A997" s="3"/>
      <c r="B997" s="3"/>
      <c r="C997" s="3"/>
      <c r="D997" s="3"/>
      <c r="E997" s="3"/>
      <c r="F997" s="3"/>
      <c r="G997" s="3"/>
    </row>
    <row r="998" spans="1:7" customFormat="1" x14ac:dyDescent="0.2">
      <c r="A998" s="3"/>
      <c r="B998" s="3"/>
      <c r="C998" s="3"/>
      <c r="D998" s="3"/>
      <c r="E998" s="3"/>
      <c r="F998" s="3"/>
      <c r="G998" s="3"/>
    </row>
    <row r="999" spans="1:7" customFormat="1" x14ac:dyDescent="0.2">
      <c r="A999" s="3"/>
      <c r="B999" s="3"/>
      <c r="C999" s="3"/>
      <c r="D999" s="3"/>
      <c r="E999" s="3"/>
      <c r="F999" s="3"/>
      <c r="G999" s="3"/>
    </row>
    <row r="1000" spans="1:7" customFormat="1" x14ac:dyDescent="0.2">
      <c r="A1000" s="3"/>
      <c r="B1000" s="3"/>
      <c r="C1000" s="3"/>
      <c r="D1000" s="3"/>
      <c r="E1000" s="3"/>
      <c r="F1000" s="3"/>
      <c r="G1000" s="3"/>
    </row>
    <row r="1001" spans="1:7" customFormat="1" x14ac:dyDescent="0.2">
      <c r="A1001" s="3"/>
      <c r="B1001" s="3"/>
      <c r="C1001" s="3"/>
      <c r="D1001" s="3"/>
      <c r="E1001" s="3"/>
      <c r="F1001" s="3"/>
      <c r="G1001" s="3"/>
    </row>
    <row r="1002" spans="1:7" customFormat="1" x14ac:dyDescent="0.2">
      <c r="A1002" s="3"/>
      <c r="B1002" s="3"/>
      <c r="C1002" s="3"/>
      <c r="D1002" s="3"/>
      <c r="E1002" s="3"/>
      <c r="F1002" s="3"/>
      <c r="G1002" s="3"/>
    </row>
    <row r="1003" spans="1:7" customFormat="1" x14ac:dyDescent="0.2">
      <c r="A1003" s="3"/>
      <c r="B1003" s="3"/>
      <c r="C1003" s="3"/>
      <c r="D1003" s="3"/>
      <c r="E1003" s="3"/>
      <c r="F1003" s="3"/>
      <c r="G1003" s="3"/>
    </row>
    <row r="1004" spans="1:7" customFormat="1" x14ac:dyDescent="0.2">
      <c r="A1004" s="3"/>
      <c r="B1004" s="3"/>
      <c r="C1004" s="3"/>
      <c r="D1004" s="3"/>
      <c r="E1004" s="3"/>
      <c r="F1004" s="3"/>
      <c r="G1004" s="3"/>
    </row>
    <row r="1005" spans="1:7" customFormat="1" x14ac:dyDescent="0.2">
      <c r="A1005" s="3"/>
      <c r="B1005" s="3"/>
      <c r="C1005" s="3"/>
      <c r="D1005" s="3"/>
      <c r="E1005" s="3"/>
      <c r="F1005" s="3"/>
      <c r="G1005" s="3"/>
    </row>
    <row r="1006" spans="1:7" customFormat="1" x14ac:dyDescent="0.2">
      <c r="A1006" s="3"/>
      <c r="B1006" s="3"/>
      <c r="C1006" s="3"/>
      <c r="D1006" s="3"/>
      <c r="E1006" s="3"/>
      <c r="F1006" s="3"/>
      <c r="G1006" s="3"/>
    </row>
    <row r="1007" spans="1:7" customFormat="1" x14ac:dyDescent="0.2">
      <c r="A1007" s="3"/>
      <c r="B1007" s="3"/>
      <c r="C1007" s="3"/>
      <c r="D1007" s="3"/>
      <c r="E1007" s="3"/>
      <c r="F1007" s="3"/>
      <c r="G1007" s="3"/>
    </row>
    <row r="1008" spans="1:7" customFormat="1" x14ac:dyDescent="0.2">
      <c r="A1008" s="3"/>
      <c r="B1008" s="3"/>
      <c r="C1008" s="3"/>
      <c r="D1008" s="3"/>
      <c r="E1008" s="3"/>
      <c r="F1008" s="3"/>
      <c r="G1008" s="3"/>
    </row>
    <row r="1009" spans="1:7" customFormat="1" x14ac:dyDescent="0.2">
      <c r="A1009" s="3"/>
      <c r="B1009" s="3"/>
      <c r="C1009" s="3"/>
      <c r="D1009" s="3"/>
      <c r="E1009" s="3"/>
      <c r="F1009" s="3"/>
      <c r="G1009" s="3"/>
    </row>
    <row r="1010" spans="1:7" customFormat="1" x14ac:dyDescent="0.2">
      <c r="A1010" s="3"/>
      <c r="B1010" s="3"/>
      <c r="C1010" s="3"/>
      <c r="D1010" s="3"/>
      <c r="E1010" s="3"/>
      <c r="F1010" s="3"/>
      <c r="G1010" s="3"/>
    </row>
    <row r="1011" spans="1:7" customFormat="1" x14ac:dyDescent="0.2">
      <c r="A1011" s="3"/>
      <c r="B1011" s="3"/>
      <c r="C1011" s="3"/>
      <c r="D1011" s="3"/>
      <c r="E1011" s="3"/>
      <c r="F1011" s="3"/>
      <c r="G1011" s="3"/>
    </row>
    <row r="1012" spans="1:7" customFormat="1" x14ac:dyDescent="0.2">
      <c r="A1012" s="3"/>
      <c r="B1012" s="3"/>
      <c r="C1012" s="3"/>
      <c r="D1012" s="3"/>
      <c r="E1012" s="3"/>
      <c r="F1012" s="3"/>
      <c r="G1012" s="3"/>
    </row>
    <row r="1013" spans="1:7" customFormat="1" x14ac:dyDescent="0.2">
      <c r="A1013" s="3"/>
      <c r="B1013" s="3"/>
      <c r="C1013" s="3"/>
      <c r="D1013" s="3"/>
      <c r="E1013" s="3"/>
      <c r="F1013" s="3"/>
      <c r="G1013" s="3"/>
    </row>
    <row r="1014" spans="1:7" customFormat="1" x14ac:dyDescent="0.2">
      <c r="A1014" s="3"/>
      <c r="B1014" s="3"/>
      <c r="C1014" s="3"/>
      <c r="D1014" s="3"/>
      <c r="E1014" s="3"/>
      <c r="F1014" s="3"/>
      <c r="G1014" s="3"/>
    </row>
    <row r="1015" spans="1:7" customFormat="1" x14ac:dyDescent="0.2">
      <c r="A1015" s="3"/>
      <c r="B1015" s="3"/>
      <c r="C1015" s="3"/>
      <c r="D1015" s="3"/>
      <c r="E1015" s="3"/>
      <c r="F1015" s="3"/>
      <c r="G1015" s="3"/>
    </row>
    <row r="1016" spans="1:7" customFormat="1" x14ac:dyDescent="0.2">
      <c r="A1016" s="3"/>
      <c r="B1016" s="3"/>
      <c r="C1016" s="3"/>
      <c r="D1016" s="3"/>
      <c r="E1016" s="3"/>
      <c r="F1016" s="3"/>
      <c r="G1016" s="3"/>
    </row>
    <row r="1017" spans="1:7" customFormat="1" x14ac:dyDescent="0.2">
      <c r="A1017" s="3"/>
      <c r="B1017" s="3"/>
      <c r="C1017" s="3"/>
      <c r="D1017" s="3"/>
      <c r="E1017" s="3"/>
      <c r="F1017" s="3"/>
      <c r="G1017" s="3"/>
    </row>
    <row r="1018" spans="1:7" customFormat="1" x14ac:dyDescent="0.2">
      <c r="A1018" s="3"/>
      <c r="B1018" s="3"/>
      <c r="C1018" s="3"/>
      <c r="D1018" s="3"/>
      <c r="E1018" s="3"/>
      <c r="F1018" s="3"/>
      <c r="G1018" s="3"/>
    </row>
    <row r="1019" spans="1:7" customFormat="1" x14ac:dyDescent="0.2">
      <c r="A1019" s="3"/>
      <c r="B1019" s="3"/>
      <c r="C1019" s="3"/>
      <c r="D1019" s="3"/>
      <c r="E1019" s="3"/>
      <c r="F1019" s="3"/>
      <c r="G1019" s="3"/>
    </row>
    <row r="1020" spans="1:7" customFormat="1" x14ac:dyDescent="0.2">
      <c r="A1020" s="3"/>
      <c r="B1020" s="3"/>
      <c r="C1020" s="3"/>
      <c r="D1020" s="3"/>
      <c r="E1020" s="3"/>
      <c r="F1020" s="3"/>
      <c r="G1020" s="3"/>
    </row>
    <row r="1021" spans="1:7" customFormat="1" x14ac:dyDescent="0.2">
      <c r="A1021" s="3"/>
      <c r="B1021" s="3"/>
      <c r="C1021" s="3"/>
      <c r="D1021" s="3"/>
      <c r="E1021" s="3"/>
      <c r="F1021" s="3"/>
      <c r="G1021" s="3"/>
    </row>
    <row r="1022" spans="1:7" customFormat="1" x14ac:dyDescent="0.2">
      <c r="A1022" s="3"/>
      <c r="B1022" s="3"/>
      <c r="C1022" s="3"/>
      <c r="D1022" s="3"/>
      <c r="E1022" s="3"/>
      <c r="F1022" s="3"/>
      <c r="G1022" s="3"/>
    </row>
    <row r="1023" spans="1:7" customFormat="1" x14ac:dyDescent="0.2">
      <c r="A1023" s="3"/>
      <c r="B1023" s="3"/>
      <c r="C1023" s="3"/>
      <c r="D1023" s="3"/>
      <c r="E1023" s="3"/>
      <c r="F1023" s="3"/>
      <c r="G1023" s="3"/>
    </row>
    <row r="1024" spans="1:7" customFormat="1" x14ac:dyDescent="0.2">
      <c r="A1024" s="3"/>
      <c r="B1024" s="3"/>
      <c r="C1024" s="3"/>
      <c r="D1024" s="3"/>
      <c r="E1024" s="3"/>
      <c r="F1024" s="3"/>
      <c r="G1024" s="3"/>
    </row>
    <row r="1025" spans="1:7" customFormat="1" x14ac:dyDescent="0.2">
      <c r="A1025" s="3"/>
      <c r="B1025" s="3"/>
      <c r="C1025" s="3"/>
      <c r="D1025" s="3"/>
      <c r="E1025" s="3"/>
      <c r="F1025" s="3"/>
      <c r="G1025" s="3"/>
    </row>
    <row r="1026" spans="1:7" customFormat="1" x14ac:dyDescent="0.2">
      <c r="A1026" s="3"/>
      <c r="B1026" s="3"/>
      <c r="C1026" s="3"/>
      <c r="D1026" s="3"/>
      <c r="E1026" s="3"/>
      <c r="F1026" s="3"/>
      <c r="G1026" s="3"/>
    </row>
    <row r="1027" spans="1:7" customFormat="1" x14ac:dyDescent="0.2">
      <c r="A1027" s="3"/>
      <c r="B1027" s="3"/>
      <c r="C1027" s="3"/>
      <c r="D1027" s="3"/>
      <c r="E1027" s="3"/>
      <c r="F1027" s="3"/>
      <c r="G1027" s="3"/>
    </row>
    <row r="1028" spans="1:7" customFormat="1" x14ac:dyDescent="0.2">
      <c r="A1028" s="3"/>
      <c r="B1028" s="3"/>
      <c r="C1028" s="3"/>
      <c r="D1028" s="3"/>
      <c r="E1028" s="3"/>
      <c r="F1028" s="3"/>
      <c r="G1028" s="3"/>
    </row>
    <row r="1029" spans="1:7" customFormat="1" x14ac:dyDescent="0.2">
      <c r="A1029" s="3"/>
      <c r="B1029" s="3"/>
      <c r="C1029" s="3"/>
      <c r="D1029" s="3"/>
      <c r="E1029" s="3"/>
      <c r="F1029" s="3"/>
      <c r="G1029" s="3"/>
    </row>
    <row r="1030" spans="1:7" customFormat="1" x14ac:dyDescent="0.2">
      <c r="A1030" s="3"/>
      <c r="B1030" s="3"/>
      <c r="C1030" s="3"/>
      <c r="D1030" s="3"/>
      <c r="E1030" s="3"/>
      <c r="F1030" s="3"/>
      <c r="G1030" s="3"/>
    </row>
    <row r="1031" spans="1:7" customFormat="1" x14ac:dyDescent="0.2">
      <c r="A1031" s="3"/>
      <c r="B1031" s="3"/>
      <c r="C1031" s="3"/>
      <c r="D1031" s="3"/>
      <c r="E1031" s="3"/>
      <c r="F1031" s="3"/>
      <c r="G1031" s="3"/>
    </row>
    <row r="1032" spans="1:7" customFormat="1" x14ac:dyDescent="0.2">
      <c r="A1032" s="3"/>
      <c r="B1032" s="3"/>
      <c r="C1032" s="3"/>
      <c r="D1032" s="3"/>
      <c r="E1032" s="3"/>
      <c r="F1032" s="3"/>
      <c r="G1032" s="3"/>
    </row>
    <row r="1033" spans="1:7" customFormat="1" x14ac:dyDescent="0.2">
      <c r="A1033" s="3"/>
      <c r="B1033" s="3"/>
      <c r="C1033" s="3"/>
      <c r="D1033" s="3"/>
      <c r="E1033" s="3"/>
      <c r="F1033" s="3"/>
      <c r="G1033" s="3"/>
    </row>
    <row r="1034" spans="1:7" customFormat="1" x14ac:dyDescent="0.2">
      <c r="A1034" s="3"/>
      <c r="B1034" s="3"/>
      <c r="C1034" s="3"/>
      <c r="D1034" s="3"/>
      <c r="E1034" s="3"/>
      <c r="F1034" s="3"/>
      <c r="G1034" s="3"/>
    </row>
    <row r="1035" spans="1:7" customFormat="1" x14ac:dyDescent="0.2">
      <c r="A1035" s="3"/>
      <c r="B1035" s="3"/>
      <c r="C1035" s="3"/>
      <c r="D1035" s="3"/>
      <c r="E1035" s="3"/>
      <c r="F1035" s="3"/>
      <c r="G1035" s="3"/>
    </row>
    <row r="1036" spans="1:7" customFormat="1" x14ac:dyDescent="0.2">
      <c r="A1036" s="3"/>
      <c r="B1036" s="3"/>
      <c r="C1036" s="3"/>
      <c r="D1036" s="3"/>
      <c r="E1036" s="3"/>
      <c r="F1036" s="3"/>
      <c r="G1036" s="3"/>
    </row>
    <row r="1037" spans="1:7" customFormat="1" x14ac:dyDescent="0.2">
      <c r="A1037" s="3"/>
      <c r="B1037" s="3"/>
      <c r="C1037" s="3"/>
      <c r="D1037" s="3"/>
      <c r="E1037" s="3"/>
      <c r="F1037" s="3"/>
      <c r="G1037" s="3"/>
    </row>
    <row r="1038" spans="1:7" customFormat="1" x14ac:dyDescent="0.2">
      <c r="A1038" s="3"/>
      <c r="B1038" s="3"/>
      <c r="C1038" s="3"/>
      <c r="D1038" s="3"/>
      <c r="E1038" s="3"/>
      <c r="F1038" s="3"/>
      <c r="G1038" s="3"/>
    </row>
    <row r="1039" spans="1:7" customFormat="1" x14ac:dyDescent="0.2">
      <c r="A1039" s="3"/>
      <c r="B1039" s="3"/>
      <c r="C1039" s="3"/>
      <c r="D1039" s="3"/>
      <c r="E1039" s="3"/>
      <c r="F1039" s="3"/>
      <c r="G1039" s="3"/>
    </row>
    <row r="1040" spans="1:7" customFormat="1" x14ac:dyDescent="0.2">
      <c r="A1040" s="3"/>
      <c r="B1040" s="3"/>
      <c r="C1040" s="3"/>
      <c r="D1040" s="3"/>
      <c r="E1040" s="3"/>
      <c r="F1040" s="3"/>
      <c r="G1040" s="3"/>
    </row>
    <row r="1041" spans="1:7" customFormat="1" x14ac:dyDescent="0.2">
      <c r="A1041" s="3"/>
      <c r="B1041" s="3"/>
      <c r="C1041" s="3"/>
      <c r="D1041" s="3"/>
      <c r="E1041" s="3"/>
      <c r="F1041" s="3"/>
      <c r="G1041" s="3"/>
    </row>
    <row r="1042" spans="1:7" customFormat="1" x14ac:dyDescent="0.2">
      <c r="A1042" s="3"/>
      <c r="B1042" s="3"/>
      <c r="C1042" s="3"/>
      <c r="D1042" s="3"/>
      <c r="E1042" s="3"/>
      <c r="F1042" s="3"/>
      <c r="G1042" s="3"/>
    </row>
    <row r="1043" spans="1:7" customFormat="1" x14ac:dyDescent="0.2">
      <c r="A1043" s="3"/>
      <c r="B1043" s="3"/>
      <c r="C1043" s="3"/>
      <c r="D1043" s="3"/>
      <c r="E1043" s="3"/>
      <c r="F1043" s="3"/>
      <c r="G1043" s="3"/>
    </row>
    <row r="1044" spans="1:7" customFormat="1" x14ac:dyDescent="0.2">
      <c r="A1044" s="3"/>
      <c r="B1044" s="3"/>
      <c r="C1044" s="3"/>
      <c r="D1044" s="3"/>
      <c r="E1044" s="3"/>
      <c r="F1044" s="3"/>
      <c r="G1044" s="3"/>
    </row>
    <row r="1045" spans="1:7" customFormat="1" x14ac:dyDescent="0.2">
      <c r="A1045" s="3"/>
      <c r="B1045" s="3"/>
      <c r="C1045" s="3"/>
      <c r="D1045" s="3"/>
      <c r="E1045" s="3"/>
      <c r="F1045" s="3"/>
      <c r="G1045" s="3"/>
    </row>
    <row r="1046" spans="1:7" customFormat="1" x14ac:dyDescent="0.2">
      <c r="A1046" s="3"/>
      <c r="B1046" s="3"/>
      <c r="C1046" s="3"/>
      <c r="D1046" s="3"/>
      <c r="E1046" s="3"/>
      <c r="F1046" s="3"/>
      <c r="G1046" s="3"/>
    </row>
    <row r="1047" spans="1:7" customFormat="1" x14ac:dyDescent="0.2">
      <c r="A1047" s="3"/>
      <c r="B1047" s="3"/>
      <c r="C1047" s="3"/>
      <c r="D1047" s="3"/>
      <c r="E1047" s="3"/>
      <c r="F1047" s="3"/>
      <c r="G1047" s="3"/>
    </row>
    <row r="1048" spans="1:7" customFormat="1" x14ac:dyDescent="0.2">
      <c r="A1048" s="3"/>
      <c r="B1048" s="3"/>
      <c r="C1048" s="3"/>
      <c r="D1048" s="3"/>
      <c r="E1048" s="3"/>
      <c r="F1048" s="3"/>
      <c r="G1048" s="3"/>
    </row>
    <row r="1049" spans="1:7" customFormat="1" x14ac:dyDescent="0.2">
      <c r="A1049" s="3"/>
      <c r="B1049" s="3"/>
      <c r="C1049" s="3"/>
      <c r="D1049" s="3"/>
      <c r="E1049" s="3"/>
      <c r="F1049" s="3"/>
      <c r="G1049" s="3"/>
    </row>
    <row r="1050" spans="1:7" customFormat="1" x14ac:dyDescent="0.2">
      <c r="A1050" s="3"/>
      <c r="B1050" s="3"/>
      <c r="C1050" s="3"/>
      <c r="D1050" s="3"/>
      <c r="E1050" s="3"/>
      <c r="F1050" s="3"/>
      <c r="G1050" s="3"/>
    </row>
    <row r="1051" spans="1:7" customFormat="1" x14ac:dyDescent="0.2">
      <c r="A1051" s="3"/>
      <c r="B1051" s="3"/>
      <c r="C1051" s="3"/>
      <c r="D1051" s="3"/>
      <c r="E1051" s="3"/>
      <c r="F1051" s="3"/>
      <c r="G1051" s="3"/>
    </row>
    <row r="1052" spans="1:7" customFormat="1" x14ac:dyDescent="0.2">
      <c r="A1052" s="3"/>
      <c r="B1052" s="3"/>
      <c r="C1052" s="3"/>
      <c r="D1052" s="3"/>
      <c r="E1052" s="3"/>
      <c r="F1052" s="3"/>
      <c r="G1052" s="3"/>
    </row>
    <row r="1053" spans="1:7" customFormat="1" x14ac:dyDescent="0.2">
      <c r="A1053" s="3"/>
      <c r="B1053" s="3"/>
      <c r="C1053" s="3"/>
      <c r="D1053" s="3"/>
      <c r="E1053" s="3"/>
      <c r="F1053" s="3"/>
      <c r="G1053" s="3"/>
    </row>
    <row r="1054" spans="1:7" customFormat="1" x14ac:dyDescent="0.2">
      <c r="A1054" s="3"/>
      <c r="B1054" s="3"/>
      <c r="C1054" s="3"/>
      <c r="D1054" s="3"/>
      <c r="E1054" s="3"/>
      <c r="F1054" s="3"/>
      <c r="G1054" s="3"/>
    </row>
    <row r="1055" spans="1:7" customFormat="1" x14ac:dyDescent="0.2">
      <c r="A1055" s="3"/>
      <c r="B1055" s="3"/>
      <c r="C1055" s="3"/>
      <c r="D1055" s="3"/>
      <c r="E1055" s="3"/>
      <c r="F1055" s="3"/>
      <c r="G1055" s="3"/>
    </row>
    <row r="1056" spans="1:7" customFormat="1" x14ac:dyDescent="0.2">
      <c r="A1056" s="3"/>
      <c r="B1056" s="3"/>
      <c r="C1056" s="3"/>
      <c r="D1056" s="3"/>
      <c r="E1056" s="3"/>
      <c r="F1056" s="3"/>
      <c r="G1056" s="3"/>
    </row>
    <row r="1057" spans="1:7" customFormat="1" x14ac:dyDescent="0.2">
      <c r="A1057" s="3"/>
      <c r="B1057" s="3"/>
      <c r="C1057" s="3"/>
      <c r="D1057" s="3"/>
      <c r="E1057" s="3"/>
      <c r="F1057" s="3"/>
      <c r="G1057" s="3"/>
    </row>
    <row r="1058" spans="1:7" customFormat="1" x14ac:dyDescent="0.2">
      <c r="A1058" s="3"/>
      <c r="B1058" s="3"/>
      <c r="C1058" s="3"/>
      <c r="D1058" s="3"/>
      <c r="E1058" s="3"/>
      <c r="F1058" s="3"/>
      <c r="G1058" s="3"/>
    </row>
    <row r="1059" spans="1:7" customFormat="1" x14ac:dyDescent="0.2">
      <c r="A1059" s="3"/>
      <c r="B1059" s="3"/>
      <c r="C1059" s="3"/>
      <c r="D1059" s="3"/>
      <c r="E1059" s="3"/>
      <c r="F1059" s="3"/>
      <c r="G1059" s="3"/>
    </row>
    <row r="1060" spans="1:7" customFormat="1" x14ac:dyDescent="0.2">
      <c r="A1060" s="3"/>
      <c r="B1060" s="3"/>
      <c r="C1060" s="3"/>
      <c r="D1060" s="3"/>
      <c r="E1060" s="3"/>
      <c r="F1060" s="3"/>
      <c r="G1060" s="3"/>
    </row>
    <row r="1061" spans="1:7" customFormat="1" x14ac:dyDescent="0.2">
      <c r="A1061" s="3"/>
      <c r="B1061" s="3"/>
      <c r="C1061" s="3"/>
      <c r="D1061" s="3"/>
      <c r="E1061" s="3"/>
      <c r="F1061" s="3"/>
      <c r="G1061" s="3"/>
    </row>
    <row r="1062" spans="1:7" customFormat="1" x14ac:dyDescent="0.2">
      <c r="A1062" s="3"/>
      <c r="B1062" s="3"/>
      <c r="C1062" s="3"/>
      <c r="D1062" s="3"/>
      <c r="E1062" s="3"/>
      <c r="F1062" s="3"/>
      <c r="G1062" s="3"/>
    </row>
    <row r="1063" spans="1:7" customFormat="1" x14ac:dyDescent="0.2">
      <c r="A1063" s="3"/>
      <c r="B1063" s="3"/>
      <c r="C1063" s="3"/>
      <c r="D1063" s="3"/>
      <c r="E1063" s="3"/>
      <c r="F1063" s="3"/>
      <c r="G1063" s="3"/>
    </row>
    <row r="1064" spans="1:7" customFormat="1" x14ac:dyDescent="0.2">
      <c r="A1064" s="3"/>
      <c r="B1064" s="3"/>
      <c r="C1064" s="3"/>
      <c r="D1064" s="3"/>
      <c r="E1064" s="3"/>
      <c r="F1064" s="3"/>
      <c r="G1064" s="3"/>
    </row>
    <row r="1065" spans="1:7" customFormat="1" x14ac:dyDescent="0.2">
      <c r="A1065" s="3"/>
      <c r="B1065" s="3"/>
      <c r="C1065" s="3"/>
      <c r="D1065" s="3"/>
      <c r="E1065" s="3"/>
      <c r="F1065" s="3"/>
      <c r="G1065" s="3"/>
    </row>
    <row r="1066" spans="1:7" customFormat="1" x14ac:dyDescent="0.2">
      <c r="A1066" s="3"/>
      <c r="B1066" s="3"/>
      <c r="C1066" s="3"/>
      <c r="D1066" s="3"/>
      <c r="E1066" s="3"/>
      <c r="F1066" s="3"/>
      <c r="G1066" s="3"/>
    </row>
    <row r="1067" spans="1:7" customFormat="1" x14ac:dyDescent="0.2">
      <c r="A1067" s="3"/>
      <c r="B1067" s="3"/>
      <c r="C1067" s="3"/>
      <c r="D1067" s="3"/>
      <c r="E1067" s="3"/>
      <c r="F1067" s="3"/>
      <c r="G1067" s="3"/>
    </row>
    <row r="1068" spans="1:7" customFormat="1" x14ac:dyDescent="0.2">
      <c r="A1068" s="3"/>
      <c r="B1068" s="3"/>
      <c r="C1068" s="3"/>
      <c r="D1068" s="3"/>
      <c r="E1068" s="3"/>
      <c r="F1068" s="3"/>
      <c r="G1068" s="3"/>
    </row>
    <row r="1069" spans="1:7" customFormat="1" x14ac:dyDescent="0.2">
      <c r="A1069" s="3"/>
      <c r="B1069" s="3"/>
      <c r="C1069" s="3"/>
      <c r="D1069" s="3"/>
      <c r="E1069" s="3"/>
      <c r="F1069" s="3"/>
      <c r="G1069" s="3"/>
    </row>
    <row r="1070" spans="1:7" customFormat="1" x14ac:dyDescent="0.2">
      <c r="A1070" s="3"/>
      <c r="B1070" s="3"/>
      <c r="C1070" s="3"/>
      <c r="D1070" s="3"/>
      <c r="E1070" s="3"/>
      <c r="F1070" s="3"/>
      <c r="G1070" s="3"/>
    </row>
    <row r="1071" spans="1:7" customFormat="1" x14ac:dyDescent="0.2">
      <c r="A1071" s="3"/>
      <c r="B1071" s="3"/>
      <c r="C1071" s="3"/>
      <c r="D1071" s="3"/>
      <c r="E1071" s="3"/>
      <c r="F1071" s="3"/>
      <c r="G1071" s="3"/>
    </row>
    <row r="1072" spans="1:7" customFormat="1" x14ac:dyDescent="0.2">
      <c r="A1072" s="3"/>
      <c r="B1072" s="3"/>
      <c r="C1072" s="3"/>
      <c r="D1072" s="3"/>
      <c r="E1072" s="3"/>
      <c r="F1072" s="3"/>
      <c r="G1072" s="3"/>
    </row>
    <row r="1073" spans="1:7" customFormat="1" x14ac:dyDescent="0.2">
      <c r="A1073" s="3"/>
      <c r="B1073" s="3"/>
      <c r="C1073" s="3"/>
      <c r="D1073" s="3"/>
      <c r="E1073" s="3"/>
      <c r="F1073" s="3"/>
      <c r="G1073" s="3"/>
    </row>
    <row r="1074" spans="1:7" customFormat="1" x14ac:dyDescent="0.2">
      <c r="A1074" s="3"/>
      <c r="B1074" s="3"/>
      <c r="C1074" s="3"/>
      <c r="D1074" s="3"/>
      <c r="E1074" s="3"/>
      <c r="F1074" s="3"/>
      <c r="G1074" s="3"/>
    </row>
    <row r="1075" spans="1:7" customFormat="1" x14ac:dyDescent="0.2">
      <c r="A1075" s="3"/>
      <c r="B1075" s="3"/>
      <c r="C1075" s="3"/>
      <c r="D1075" s="3"/>
      <c r="E1075" s="3"/>
      <c r="F1075" s="3"/>
      <c r="G1075" s="3"/>
    </row>
    <row r="1076" spans="1:7" customFormat="1" x14ac:dyDescent="0.2">
      <c r="A1076" s="3"/>
      <c r="B1076" s="3"/>
      <c r="C1076" s="3"/>
      <c r="D1076" s="3"/>
      <c r="E1076" s="3"/>
      <c r="F1076" s="3"/>
      <c r="G1076" s="3"/>
    </row>
    <row r="1077" spans="1:7" customFormat="1" x14ac:dyDescent="0.2">
      <c r="A1077" s="3"/>
      <c r="B1077" s="3"/>
      <c r="C1077" s="3"/>
      <c r="D1077" s="3"/>
      <c r="E1077" s="3"/>
      <c r="F1077" s="3"/>
      <c r="G1077" s="3"/>
    </row>
    <row r="1078" spans="1:7" customFormat="1" x14ac:dyDescent="0.2">
      <c r="A1078" s="3"/>
      <c r="B1078" s="3"/>
      <c r="C1078" s="3"/>
      <c r="D1078" s="3"/>
      <c r="E1078" s="3"/>
      <c r="F1078" s="3"/>
      <c r="G1078" s="3"/>
    </row>
    <row r="1079" spans="1:7" customFormat="1" x14ac:dyDescent="0.2">
      <c r="A1079" s="3"/>
      <c r="B1079" s="3"/>
      <c r="C1079" s="3"/>
      <c r="D1079" s="3"/>
      <c r="E1079" s="3"/>
      <c r="F1079" s="3"/>
      <c r="G1079" s="3"/>
    </row>
    <row r="1080" spans="1:7" customFormat="1" x14ac:dyDescent="0.2">
      <c r="A1080" s="3"/>
      <c r="B1080" s="3"/>
      <c r="C1080" s="3"/>
      <c r="D1080" s="3"/>
      <c r="E1080" s="3"/>
      <c r="F1080" s="3"/>
      <c r="G1080" s="3"/>
    </row>
    <row r="1081" spans="1:7" customFormat="1" x14ac:dyDescent="0.2">
      <c r="A1081" s="3"/>
      <c r="B1081" s="3"/>
      <c r="C1081" s="3"/>
      <c r="D1081" s="3"/>
      <c r="E1081" s="3"/>
      <c r="F1081" s="3"/>
      <c r="G1081" s="3"/>
    </row>
    <row r="1082" spans="1:7" customFormat="1" x14ac:dyDescent="0.2">
      <c r="A1082" s="3"/>
      <c r="B1082" s="3"/>
      <c r="C1082" s="3"/>
      <c r="D1082" s="3"/>
      <c r="E1082" s="3"/>
      <c r="F1082" s="3"/>
      <c r="G1082" s="3"/>
    </row>
    <row r="1083" spans="1:7" customFormat="1" x14ac:dyDescent="0.2">
      <c r="A1083" s="3"/>
      <c r="B1083" s="3"/>
      <c r="C1083" s="3"/>
      <c r="D1083" s="3"/>
      <c r="E1083" s="3"/>
      <c r="F1083" s="3"/>
      <c r="G1083" s="3"/>
    </row>
    <row r="1084" spans="1:7" customFormat="1" x14ac:dyDescent="0.2">
      <c r="A1084" s="3"/>
      <c r="B1084" s="3"/>
      <c r="C1084" s="3"/>
      <c r="D1084" s="3"/>
      <c r="E1084" s="3"/>
      <c r="F1084" s="3"/>
      <c r="G1084" s="3"/>
    </row>
    <row r="1085" spans="1:7" customFormat="1" x14ac:dyDescent="0.2">
      <c r="A1085" s="3"/>
      <c r="B1085" s="3"/>
      <c r="C1085" s="3"/>
      <c r="D1085" s="3"/>
      <c r="E1085" s="3"/>
      <c r="F1085" s="3"/>
      <c r="G1085" s="3"/>
    </row>
    <row r="1086" spans="1:7" customFormat="1" x14ac:dyDescent="0.2">
      <c r="A1086" s="3"/>
      <c r="B1086" s="3"/>
      <c r="C1086" s="3"/>
      <c r="D1086" s="3"/>
      <c r="E1086" s="3"/>
      <c r="F1086" s="3"/>
      <c r="G1086" s="3"/>
    </row>
    <row r="1087" spans="1:7" customFormat="1" x14ac:dyDescent="0.2">
      <c r="A1087" s="3"/>
      <c r="B1087" s="3"/>
      <c r="C1087" s="3"/>
      <c r="D1087" s="3"/>
      <c r="E1087" s="3"/>
      <c r="F1087" s="3"/>
      <c r="G1087" s="3"/>
    </row>
    <row r="1088" spans="1:7" customFormat="1" x14ac:dyDescent="0.2">
      <c r="A1088" s="3"/>
      <c r="B1088" s="3"/>
      <c r="C1088" s="3"/>
      <c r="D1088" s="3"/>
      <c r="E1088" s="3"/>
      <c r="F1088" s="3"/>
      <c r="G1088" s="3"/>
    </row>
    <row r="1089" spans="1:7" customFormat="1" x14ac:dyDescent="0.2">
      <c r="A1089" s="3"/>
      <c r="B1089" s="3"/>
      <c r="C1089" s="3"/>
      <c r="D1089" s="3"/>
      <c r="E1089" s="3"/>
      <c r="F1089" s="3"/>
      <c r="G1089" s="3"/>
    </row>
    <row r="1090" spans="1:7" customFormat="1" x14ac:dyDescent="0.2">
      <c r="A1090" s="3"/>
      <c r="B1090" s="3"/>
      <c r="C1090" s="3"/>
      <c r="D1090" s="3"/>
      <c r="E1090" s="3"/>
      <c r="F1090" s="3"/>
      <c r="G1090" s="3"/>
    </row>
    <row r="1091" spans="1:7" customFormat="1" x14ac:dyDescent="0.2">
      <c r="A1091" s="3"/>
      <c r="B1091" s="3"/>
      <c r="C1091" s="3"/>
      <c r="D1091" s="3"/>
      <c r="E1091" s="3"/>
      <c r="F1091" s="3"/>
      <c r="G1091" s="3"/>
    </row>
    <row r="1092" spans="1:7" customFormat="1" x14ac:dyDescent="0.2">
      <c r="A1092" s="3"/>
      <c r="B1092" s="3"/>
      <c r="C1092" s="3"/>
      <c r="D1092" s="3"/>
      <c r="E1092" s="3"/>
      <c r="F1092" s="3"/>
      <c r="G1092" s="3"/>
    </row>
    <row r="1093" spans="1:7" customFormat="1" x14ac:dyDescent="0.2">
      <c r="A1093" s="3"/>
      <c r="B1093" s="3"/>
      <c r="C1093" s="3"/>
      <c r="D1093" s="3"/>
      <c r="E1093" s="3"/>
      <c r="F1093" s="3"/>
      <c r="G1093" s="3"/>
    </row>
    <row r="1094" spans="1:7" customFormat="1" x14ac:dyDescent="0.2">
      <c r="A1094" s="3"/>
      <c r="B1094" s="3"/>
      <c r="C1094" s="3"/>
      <c r="D1094" s="3"/>
      <c r="E1094" s="3"/>
      <c r="F1094" s="3"/>
      <c r="G1094" s="3"/>
    </row>
    <row r="1095" spans="1:7" customFormat="1" x14ac:dyDescent="0.2">
      <c r="A1095" s="3"/>
      <c r="B1095" s="3"/>
      <c r="C1095" s="3"/>
      <c r="D1095" s="3"/>
      <c r="E1095" s="3"/>
      <c r="F1095" s="3"/>
      <c r="G1095" s="3"/>
    </row>
    <row r="1096" spans="1:7" customFormat="1" x14ac:dyDescent="0.2">
      <c r="A1096" s="3"/>
      <c r="B1096" s="3"/>
      <c r="C1096" s="3"/>
      <c r="D1096" s="3"/>
      <c r="E1096" s="3"/>
      <c r="F1096" s="3"/>
      <c r="G1096" s="3"/>
    </row>
    <row r="1097" spans="1:7" customFormat="1" x14ac:dyDescent="0.2">
      <c r="A1097" s="3"/>
      <c r="B1097" s="3"/>
      <c r="C1097" s="3"/>
      <c r="D1097" s="3"/>
      <c r="E1097" s="3"/>
      <c r="F1097" s="3"/>
      <c r="G1097" s="3"/>
    </row>
    <row r="1098" spans="1:7" customFormat="1" x14ac:dyDescent="0.2">
      <c r="A1098" s="3"/>
      <c r="B1098" s="3"/>
      <c r="C1098" s="3"/>
      <c r="D1098" s="3"/>
      <c r="E1098" s="3"/>
      <c r="F1098" s="3"/>
      <c r="G1098" s="3"/>
    </row>
    <row r="1099" spans="1:7" customFormat="1" x14ac:dyDescent="0.2">
      <c r="A1099" s="3"/>
      <c r="B1099" s="3"/>
      <c r="C1099" s="3"/>
      <c r="D1099" s="3"/>
      <c r="E1099" s="3"/>
      <c r="F1099" s="3"/>
      <c r="G1099" s="3"/>
    </row>
    <row r="1100" spans="1:7" customFormat="1" x14ac:dyDescent="0.2">
      <c r="A1100" s="3"/>
      <c r="B1100" s="3"/>
      <c r="C1100" s="3"/>
      <c r="D1100" s="3"/>
      <c r="E1100" s="3"/>
      <c r="F1100" s="3"/>
      <c r="G1100" s="3"/>
    </row>
    <row r="1101" spans="1:7" customFormat="1" x14ac:dyDescent="0.2">
      <c r="A1101" s="3"/>
      <c r="B1101" s="3"/>
      <c r="C1101" s="3"/>
      <c r="D1101" s="3"/>
      <c r="E1101" s="3"/>
      <c r="F1101" s="3"/>
      <c r="G1101" s="3"/>
    </row>
    <row r="1102" spans="1:7" customFormat="1" x14ac:dyDescent="0.2">
      <c r="A1102" s="3"/>
      <c r="B1102" s="3"/>
      <c r="C1102" s="3"/>
      <c r="D1102" s="3"/>
      <c r="E1102" s="3"/>
      <c r="F1102" s="3"/>
      <c r="G1102" s="3"/>
    </row>
    <row r="1103" spans="1:7" customFormat="1" x14ac:dyDescent="0.2">
      <c r="A1103" s="3"/>
      <c r="B1103" s="3"/>
      <c r="C1103" s="3"/>
      <c r="D1103" s="3"/>
      <c r="E1103" s="3"/>
      <c r="F1103" s="3"/>
      <c r="G1103" s="3"/>
    </row>
    <row r="1104" spans="1:7" customFormat="1" x14ac:dyDescent="0.2">
      <c r="A1104" s="3"/>
      <c r="B1104" s="3"/>
      <c r="C1104" s="3"/>
      <c r="D1104" s="3"/>
      <c r="E1104" s="3"/>
      <c r="F1104" s="3"/>
      <c r="G1104" s="3"/>
    </row>
    <row r="1105" spans="1:7" customFormat="1" x14ac:dyDescent="0.2">
      <c r="A1105" s="3"/>
      <c r="B1105" s="3"/>
      <c r="C1105" s="3"/>
      <c r="D1105" s="3"/>
      <c r="E1105" s="3"/>
      <c r="F1105" s="3"/>
      <c r="G1105" s="3"/>
    </row>
    <row r="1106" spans="1:7" customFormat="1" x14ac:dyDescent="0.2">
      <c r="A1106" s="3"/>
      <c r="B1106" s="3"/>
      <c r="C1106" s="3"/>
      <c r="D1106" s="3"/>
      <c r="E1106" s="3"/>
      <c r="F1106" s="3"/>
      <c r="G1106" s="3"/>
    </row>
    <row r="1107" spans="1:7" customFormat="1" x14ac:dyDescent="0.2">
      <c r="A1107" s="3"/>
      <c r="B1107" s="3"/>
      <c r="C1107" s="3"/>
      <c r="D1107" s="3"/>
      <c r="E1107" s="3"/>
      <c r="F1107" s="3"/>
      <c r="G1107" s="3"/>
    </row>
    <row r="1108" spans="1:7" customFormat="1" x14ac:dyDescent="0.2">
      <c r="A1108" s="3"/>
      <c r="B1108" s="3"/>
      <c r="C1108" s="3"/>
      <c r="D1108" s="3"/>
      <c r="E1108" s="3"/>
      <c r="F1108" s="3"/>
      <c r="G1108" s="3"/>
    </row>
    <row r="1109" spans="1:7" customFormat="1" x14ac:dyDescent="0.2">
      <c r="A1109" s="3"/>
      <c r="B1109" s="3"/>
      <c r="C1109" s="3"/>
      <c r="D1109" s="3"/>
      <c r="E1109" s="3"/>
      <c r="F1109" s="3"/>
      <c r="G1109" s="3"/>
    </row>
    <row r="1110" spans="1:7" customFormat="1" x14ac:dyDescent="0.2">
      <c r="A1110" s="3"/>
      <c r="B1110" s="3"/>
      <c r="C1110" s="3"/>
      <c r="D1110" s="3"/>
      <c r="E1110" s="3"/>
      <c r="F1110" s="3"/>
      <c r="G1110" s="3"/>
    </row>
    <row r="1111" spans="1:7" customFormat="1" x14ac:dyDescent="0.2">
      <c r="A1111" s="3"/>
      <c r="B1111" s="3"/>
      <c r="C1111" s="3"/>
      <c r="D1111" s="3"/>
      <c r="E1111" s="3"/>
      <c r="F1111" s="3"/>
      <c r="G1111" s="3"/>
    </row>
    <row r="1112" spans="1:7" customFormat="1" x14ac:dyDescent="0.2">
      <c r="A1112" s="3"/>
      <c r="B1112" s="3"/>
      <c r="C1112" s="3"/>
      <c r="D1112" s="3"/>
      <c r="E1112" s="3"/>
      <c r="F1112" s="3"/>
      <c r="G1112" s="3"/>
    </row>
    <row r="1113" spans="1:7" customFormat="1" x14ac:dyDescent="0.2">
      <c r="A1113" s="3"/>
      <c r="B1113" s="3"/>
      <c r="C1113" s="3"/>
      <c r="D1113" s="3"/>
      <c r="E1113" s="3"/>
      <c r="F1113" s="3"/>
      <c r="G1113" s="3"/>
    </row>
    <row r="1114" spans="1:7" customFormat="1" x14ac:dyDescent="0.2">
      <c r="A1114" s="3"/>
      <c r="B1114" s="3"/>
      <c r="C1114" s="3"/>
      <c r="D1114" s="3"/>
      <c r="E1114" s="3"/>
      <c r="F1114" s="3"/>
      <c r="G1114" s="3"/>
    </row>
    <row r="1115" spans="1:7" customFormat="1" x14ac:dyDescent="0.2">
      <c r="A1115" s="3"/>
      <c r="B1115" s="3"/>
      <c r="C1115" s="3"/>
      <c r="D1115" s="3"/>
      <c r="E1115" s="3"/>
      <c r="F1115" s="3"/>
      <c r="G1115" s="3"/>
    </row>
    <row r="1116" spans="1:7" customFormat="1" x14ac:dyDescent="0.2">
      <c r="A1116" s="3"/>
      <c r="B1116" s="3"/>
      <c r="C1116" s="3"/>
      <c r="D1116" s="3"/>
      <c r="E1116" s="3"/>
      <c r="F1116" s="3"/>
      <c r="G1116" s="3"/>
    </row>
    <row r="1117" spans="1:7" customFormat="1" x14ac:dyDescent="0.2">
      <c r="A1117" s="3"/>
      <c r="B1117" s="3"/>
      <c r="C1117" s="3"/>
      <c r="D1117" s="3"/>
      <c r="E1117" s="3"/>
      <c r="F1117" s="3"/>
      <c r="G1117" s="3"/>
    </row>
    <row r="1118" spans="1:7" customFormat="1" x14ac:dyDescent="0.2">
      <c r="A1118" s="3"/>
      <c r="B1118" s="3"/>
      <c r="C1118" s="3"/>
      <c r="D1118" s="3"/>
      <c r="E1118" s="3"/>
      <c r="F1118" s="3"/>
      <c r="G1118" s="3"/>
    </row>
    <row r="1119" spans="1:7" customFormat="1" x14ac:dyDescent="0.2">
      <c r="A1119" s="3"/>
      <c r="B1119" s="3"/>
      <c r="C1119" s="3"/>
      <c r="D1119" s="3"/>
      <c r="E1119" s="3"/>
      <c r="F1119" s="3"/>
      <c r="G1119" s="3"/>
    </row>
    <row r="1120" spans="1:7" customFormat="1" x14ac:dyDescent="0.2">
      <c r="A1120" s="3"/>
      <c r="B1120" s="3"/>
      <c r="C1120" s="3"/>
      <c r="D1120" s="3"/>
      <c r="E1120" s="3"/>
      <c r="F1120" s="3"/>
      <c r="G1120" s="3"/>
    </row>
    <row r="1121" spans="1:7" customFormat="1" x14ac:dyDescent="0.2">
      <c r="A1121" s="3"/>
      <c r="B1121" s="3"/>
      <c r="C1121" s="3"/>
      <c r="D1121" s="3"/>
      <c r="E1121" s="3"/>
      <c r="F1121" s="3"/>
      <c r="G1121" s="3"/>
    </row>
    <row r="1122" spans="1:7" customFormat="1" x14ac:dyDescent="0.2">
      <c r="A1122" s="3"/>
      <c r="B1122" s="3"/>
      <c r="C1122" s="3"/>
      <c r="D1122" s="3"/>
      <c r="E1122" s="3"/>
      <c r="F1122" s="3"/>
      <c r="G1122" s="3"/>
    </row>
    <row r="1123" spans="1:7" customFormat="1" x14ac:dyDescent="0.2">
      <c r="A1123" s="3"/>
      <c r="B1123" s="3"/>
      <c r="C1123" s="3"/>
      <c r="D1123" s="3"/>
      <c r="E1123" s="3"/>
      <c r="F1123" s="3"/>
      <c r="G1123" s="3"/>
    </row>
    <row r="1124" spans="1:7" customFormat="1" x14ac:dyDescent="0.2">
      <c r="A1124" s="3"/>
      <c r="B1124" s="3"/>
      <c r="C1124" s="3"/>
      <c r="D1124" s="3"/>
      <c r="E1124" s="3"/>
      <c r="F1124" s="3"/>
      <c r="G1124" s="3"/>
    </row>
    <row r="1125" spans="1:7" customFormat="1" x14ac:dyDescent="0.2">
      <c r="A1125" s="3"/>
      <c r="B1125" s="3"/>
      <c r="C1125" s="3"/>
      <c r="D1125" s="3"/>
      <c r="E1125" s="3"/>
      <c r="F1125" s="3"/>
      <c r="G1125" s="3"/>
    </row>
    <row r="1126" spans="1:7" customFormat="1" x14ac:dyDescent="0.2">
      <c r="A1126" s="3"/>
      <c r="B1126" s="3"/>
      <c r="C1126" s="3"/>
      <c r="D1126" s="3"/>
      <c r="E1126" s="3"/>
      <c r="F1126" s="3"/>
      <c r="G1126" s="3"/>
    </row>
    <row r="1127" spans="1:7" customFormat="1" x14ac:dyDescent="0.2">
      <c r="A1127" s="3"/>
      <c r="B1127" s="3"/>
      <c r="C1127" s="3"/>
      <c r="D1127" s="3"/>
      <c r="E1127" s="3"/>
      <c r="F1127" s="3"/>
      <c r="G1127" s="3"/>
    </row>
    <row r="1128" spans="1:7" customFormat="1" x14ac:dyDescent="0.2">
      <c r="A1128" s="3"/>
      <c r="B1128" s="3"/>
      <c r="C1128" s="3"/>
      <c r="D1128" s="3"/>
      <c r="E1128" s="3"/>
      <c r="F1128" s="3"/>
      <c r="G1128" s="3"/>
    </row>
    <row r="1129" spans="1:7" customFormat="1" x14ac:dyDescent="0.2">
      <c r="A1129" s="3"/>
      <c r="B1129" s="3"/>
      <c r="C1129" s="3"/>
      <c r="D1129" s="3"/>
      <c r="E1129" s="3"/>
      <c r="F1129" s="3"/>
      <c r="G1129" s="3"/>
    </row>
    <row r="1130" spans="1:7" customFormat="1" x14ac:dyDescent="0.2">
      <c r="A1130" s="3"/>
      <c r="B1130" s="3"/>
      <c r="C1130" s="3"/>
      <c r="D1130" s="3"/>
      <c r="E1130" s="3"/>
      <c r="F1130" s="3"/>
      <c r="G1130" s="3"/>
    </row>
    <row r="1131" spans="1:7" customFormat="1" x14ac:dyDescent="0.2">
      <c r="A1131" s="3"/>
      <c r="B1131" s="3"/>
      <c r="C1131" s="3"/>
      <c r="D1131" s="3"/>
      <c r="E1131" s="3"/>
      <c r="F1131" s="3"/>
      <c r="G1131" s="3"/>
    </row>
    <row r="1132" spans="1:7" customFormat="1" x14ac:dyDescent="0.2">
      <c r="A1132" s="3"/>
      <c r="B1132" s="3"/>
      <c r="C1132" s="3"/>
      <c r="D1132" s="3"/>
      <c r="E1132" s="3"/>
      <c r="F1132" s="3"/>
      <c r="G1132" s="3"/>
    </row>
    <row r="1133" spans="1:7" customFormat="1" x14ac:dyDescent="0.2">
      <c r="A1133" s="3"/>
      <c r="B1133" s="3"/>
      <c r="C1133" s="3"/>
      <c r="D1133" s="3"/>
      <c r="E1133" s="3"/>
      <c r="F1133" s="3"/>
      <c r="G1133" s="3"/>
    </row>
    <row r="1134" spans="1:7" customFormat="1" x14ac:dyDescent="0.2">
      <c r="A1134" s="3"/>
      <c r="B1134" s="3"/>
      <c r="C1134" s="3"/>
      <c r="D1134" s="3"/>
      <c r="E1134" s="3"/>
      <c r="F1134" s="3"/>
      <c r="G1134" s="3"/>
    </row>
    <row r="1135" spans="1:7" customFormat="1" x14ac:dyDescent="0.2">
      <c r="A1135" s="3"/>
      <c r="B1135" s="3"/>
      <c r="C1135" s="3"/>
      <c r="D1135" s="3"/>
      <c r="E1135" s="3"/>
      <c r="F1135" s="3"/>
      <c r="G1135" s="3"/>
    </row>
    <row r="1136" spans="1:7" customFormat="1" x14ac:dyDescent="0.2">
      <c r="A1136" s="3"/>
      <c r="B1136" s="3"/>
      <c r="C1136" s="3"/>
      <c r="D1136" s="3"/>
      <c r="E1136" s="3"/>
      <c r="F1136" s="3"/>
      <c r="G1136" s="3"/>
    </row>
    <row r="1137" spans="1:7" customFormat="1" x14ac:dyDescent="0.2">
      <c r="A1137" s="3"/>
      <c r="B1137" s="3"/>
      <c r="C1137" s="3"/>
      <c r="D1137" s="3"/>
      <c r="E1137" s="3"/>
      <c r="F1137" s="3"/>
      <c r="G1137" s="3"/>
    </row>
    <row r="1138" spans="1:7" customFormat="1" x14ac:dyDescent="0.2">
      <c r="A1138" s="3"/>
      <c r="B1138" s="3"/>
      <c r="C1138" s="3"/>
      <c r="D1138" s="3"/>
      <c r="E1138" s="3"/>
      <c r="F1138" s="3"/>
      <c r="G1138" s="3"/>
    </row>
    <row r="1139" spans="1:7" customFormat="1" x14ac:dyDescent="0.2">
      <c r="A1139" s="3"/>
      <c r="B1139" s="3"/>
      <c r="C1139" s="3"/>
      <c r="D1139" s="3"/>
      <c r="E1139" s="3"/>
      <c r="F1139" s="3"/>
      <c r="G1139" s="3"/>
    </row>
    <row r="1140" spans="1:7" customFormat="1" x14ac:dyDescent="0.2">
      <c r="A1140" s="3"/>
      <c r="B1140" s="3"/>
      <c r="C1140" s="3"/>
      <c r="D1140" s="3"/>
      <c r="E1140" s="3"/>
      <c r="F1140" s="3"/>
      <c r="G1140" s="3"/>
    </row>
    <row r="1141" spans="1:7" customFormat="1" x14ac:dyDescent="0.2">
      <c r="A1141" s="3"/>
      <c r="B1141" s="3"/>
      <c r="C1141" s="3"/>
      <c r="D1141" s="3"/>
      <c r="E1141" s="3"/>
      <c r="F1141" s="3"/>
      <c r="G1141" s="3"/>
    </row>
    <row r="1142" spans="1:7" customFormat="1" x14ac:dyDescent="0.2">
      <c r="A1142" s="3"/>
      <c r="B1142" s="3"/>
      <c r="C1142" s="3"/>
      <c r="D1142" s="3"/>
      <c r="E1142" s="3"/>
      <c r="F1142" s="3"/>
      <c r="G1142" s="3"/>
    </row>
    <row r="1143" spans="1:7" customFormat="1" x14ac:dyDescent="0.2">
      <c r="A1143" s="3"/>
      <c r="B1143" s="3"/>
      <c r="C1143" s="3"/>
      <c r="D1143" s="3"/>
      <c r="E1143" s="3"/>
      <c r="F1143" s="3"/>
      <c r="G1143" s="3"/>
    </row>
    <row r="1144" spans="1:7" customFormat="1" x14ac:dyDescent="0.2">
      <c r="A1144" s="3"/>
      <c r="B1144" s="3"/>
      <c r="C1144" s="3"/>
      <c r="D1144" s="3"/>
      <c r="E1144" s="3"/>
      <c r="F1144" s="3"/>
      <c r="G1144" s="3"/>
    </row>
    <row r="1145" spans="1:7" customFormat="1" x14ac:dyDescent="0.2">
      <c r="A1145" s="3"/>
      <c r="B1145" s="3"/>
      <c r="C1145" s="3"/>
      <c r="D1145" s="3"/>
      <c r="E1145" s="3"/>
      <c r="F1145" s="3"/>
      <c r="G1145" s="3"/>
    </row>
    <row r="1146" spans="1:7" customFormat="1" x14ac:dyDescent="0.2">
      <c r="A1146" s="3"/>
      <c r="B1146" s="3"/>
      <c r="C1146" s="3"/>
      <c r="D1146" s="3"/>
      <c r="E1146" s="3"/>
      <c r="F1146" s="3"/>
      <c r="G1146" s="3"/>
    </row>
    <row r="1147" spans="1:7" customFormat="1" x14ac:dyDescent="0.2">
      <c r="A1147" s="3"/>
      <c r="B1147" s="3"/>
      <c r="C1147" s="3"/>
      <c r="D1147" s="3"/>
      <c r="E1147" s="3"/>
      <c r="F1147" s="3"/>
      <c r="G1147" s="3"/>
    </row>
    <row r="1148" spans="1:7" customFormat="1" x14ac:dyDescent="0.2">
      <c r="A1148" s="3"/>
      <c r="B1148" s="3"/>
      <c r="C1148" s="3"/>
      <c r="D1148" s="3"/>
      <c r="E1148" s="3"/>
      <c r="F1148" s="3"/>
      <c r="G1148" s="3"/>
    </row>
    <row r="1149" spans="1:7" customFormat="1" x14ac:dyDescent="0.2">
      <c r="A1149" s="3"/>
      <c r="B1149" s="3"/>
      <c r="C1149" s="3"/>
      <c r="D1149" s="3"/>
      <c r="E1149" s="3"/>
      <c r="F1149" s="3"/>
      <c r="G1149" s="3"/>
    </row>
    <row r="1150" spans="1:7" customFormat="1" x14ac:dyDescent="0.2">
      <c r="A1150" s="3"/>
      <c r="B1150" s="3"/>
      <c r="C1150" s="3"/>
      <c r="D1150" s="3"/>
      <c r="E1150" s="3"/>
      <c r="F1150" s="3"/>
      <c r="G1150" s="3"/>
    </row>
    <row r="1151" spans="1:7" customFormat="1" x14ac:dyDescent="0.2">
      <c r="A1151" s="3"/>
      <c r="B1151" s="3"/>
      <c r="C1151" s="3"/>
      <c r="D1151" s="3"/>
      <c r="E1151" s="3"/>
      <c r="F1151" s="3"/>
      <c r="G1151" s="3"/>
    </row>
    <row r="1152" spans="1:7" customFormat="1" x14ac:dyDescent="0.2">
      <c r="A1152" s="3"/>
      <c r="B1152" s="3"/>
      <c r="C1152" s="3"/>
      <c r="D1152" s="3"/>
      <c r="E1152" s="3"/>
      <c r="F1152" s="3"/>
      <c r="G1152" s="3"/>
    </row>
    <row r="1153" spans="1:7" customFormat="1" x14ac:dyDescent="0.2">
      <c r="A1153" s="3"/>
      <c r="B1153" s="3"/>
      <c r="C1153" s="3"/>
      <c r="D1153" s="3"/>
      <c r="E1153" s="3"/>
      <c r="F1153" s="3"/>
      <c r="G1153" s="3"/>
    </row>
    <row r="1154" spans="1:7" customFormat="1" x14ac:dyDescent="0.2">
      <c r="A1154" s="3"/>
      <c r="B1154" s="3"/>
      <c r="C1154" s="3"/>
      <c r="D1154" s="3"/>
      <c r="E1154" s="3"/>
      <c r="F1154" s="3"/>
      <c r="G1154" s="3"/>
    </row>
    <row r="1155" spans="1:7" customFormat="1" x14ac:dyDescent="0.2">
      <c r="A1155" s="3"/>
      <c r="B1155" s="3"/>
      <c r="C1155" s="3"/>
      <c r="D1155" s="3"/>
      <c r="E1155" s="3"/>
      <c r="F1155" s="3"/>
      <c r="G1155" s="3"/>
    </row>
    <row r="1156" spans="1:7" customFormat="1" x14ac:dyDescent="0.2">
      <c r="A1156" s="3"/>
      <c r="B1156" s="3"/>
      <c r="C1156" s="3"/>
      <c r="D1156" s="3"/>
      <c r="E1156" s="3"/>
      <c r="F1156" s="3"/>
      <c r="G1156" s="3"/>
    </row>
    <row r="1157" spans="1:7" customFormat="1" x14ac:dyDescent="0.2">
      <c r="A1157" s="3"/>
      <c r="B1157" s="3"/>
      <c r="C1157" s="3"/>
      <c r="D1157" s="3"/>
      <c r="E1157" s="3"/>
      <c r="F1157" s="3"/>
      <c r="G1157" s="3"/>
    </row>
    <row r="1158" spans="1:7" customFormat="1" x14ac:dyDescent="0.2">
      <c r="A1158" s="3"/>
      <c r="B1158" s="3"/>
      <c r="C1158" s="3"/>
      <c r="D1158" s="3"/>
      <c r="E1158" s="3"/>
      <c r="F1158" s="3"/>
      <c r="G1158" s="3"/>
    </row>
    <row r="1159" spans="1:7" customFormat="1" x14ac:dyDescent="0.2">
      <c r="A1159" s="3"/>
      <c r="B1159" s="3"/>
      <c r="C1159" s="3"/>
      <c r="D1159" s="3"/>
      <c r="E1159" s="3"/>
      <c r="F1159" s="3"/>
      <c r="G1159" s="3"/>
    </row>
    <row r="1160" spans="1:7" customFormat="1" x14ac:dyDescent="0.2">
      <c r="A1160" s="3"/>
      <c r="B1160" s="3"/>
      <c r="C1160" s="3"/>
      <c r="D1160" s="3"/>
      <c r="E1160" s="3"/>
      <c r="F1160" s="3"/>
      <c r="G1160" s="3"/>
    </row>
    <row r="1161" spans="1:7" customFormat="1" x14ac:dyDescent="0.2">
      <c r="A1161" s="3"/>
      <c r="B1161" s="3"/>
      <c r="C1161" s="3"/>
      <c r="D1161" s="3"/>
      <c r="E1161" s="3"/>
      <c r="F1161" s="3"/>
      <c r="G1161" s="3"/>
    </row>
    <row r="1162" spans="1:7" customFormat="1" x14ac:dyDescent="0.2">
      <c r="A1162" s="3"/>
      <c r="B1162" s="3"/>
      <c r="C1162" s="3"/>
      <c r="D1162" s="3"/>
      <c r="E1162" s="3"/>
      <c r="F1162" s="3"/>
      <c r="G1162" s="3"/>
    </row>
    <row r="1163" spans="1:7" customFormat="1" x14ac:dyDescent="0.2">
      <c r="A1163" s="3"/>
      <c r="B1163" s="3"/>
      <c r="C1163" s="3"/>
      <c r="D1163" s="3"/>
      <c r="E1163" s="3"/>
      <c r="F1163" s="3"/>
      <c r="G1163" s="3"/>
    </row>
    <row r="1164" spans="1:7" customFormat="1" x14ac:dyDescent="0.2">
      <c r="A1164" s="3"/>
      <c r="B1164" s="3"/>
      <c r="C1164" s="3"/>
      <c r="D1164" s="3"/>
      <c r="E1164" s="3"/>
      <c r="F1164" s="3"/>
      <c r="G1164" s="3"/>
    </row>
    <row r="1165" spans="1:7" customFormat="1" x14ac:dyDescent="0.2">
      <c r="A1165" s="3"/>
      <c r="B1165" s="3"/>
      <c r="C1165" s="3"/>
      <c r="D1165" s="3"/>
      <c r="E1165" s="3"/>
      <c r="F1165" s="3"/>
      <c r="G1165" s="3"/>
    </row>
    <row r="1166" spans="1:7" customFormat="1" x14ac:dyDescent="0.2">
      <c r="A1166" s="3"/>
      <c r="B1166" s="3"/>
      <c r="C1166" s="3"/>
      <c r="D1166" s="3"/>
      <c r="E1166" s="3"/>
      <c r="F1166" s="3"/>
      <c r="G1166" s="3"/>
    </row>
    <row r="1167" spans="1:7" customFormat="1" x14ac:dyDescent="0.2">
      <c r="A1167" s="3"/>
      <c r="B1167" s="3"/>
      <c r="C1167" s="3"/>
      <c r="D1167" s="3"/>
      <c r="E1167" s="3"/>
      <c r="F1167" s="3"/>
      <c r="G1167" s="3"/>
    </row>
    <row r="1168" spans="1:7" customFormat="1" x14ac:dyDescent="0.2">
      <c r="A1168" s="3"/>
      <c r="B1168" s="3"/>
      <c r="C1168" s="3"/>
      <c r="D1168" s="3"/>
      <c r="E1168" s="3"/>
      <c r="F1168" s="3"/>
      <c r="G1168" s="3"/>
    </row>
    <row r="1169" spans="1:7" customFormat="1" x14ac:dyDescent="0.2">
      <c r="A1169" s="3"/>
      <c r="B1169" s="3"/>
      <c r="C1169" s="3"/>
      <c r="D1169" s="3"/>
      <c r="E1169" s="3"/>
      <c r="F1169" s="3"/>
      <c r="G1169" s="3"/>
    </row>
    <row r="1170" spans="1:7" customFormat="1" x14ac:dyDescent="0.2">
      <c r="A1170" s="3"/>
      <c r="B1170" s="3"/>
      <c r="C1170" s="3"/>
      <c r="D1170" s="3"/>
      <c r="E1170" s="3"/>
      <c r="F1170" s="3"/>
      <c r="G1170" s="3"/>
    </row>
    <row r="1171" spans="1:7" customFormat="1" x14ac:dyDescent="0.2">
      <c r="A1171" s="3"/>
      <c r="B1171" s="3"/>
      <c r="C1171" s="3"/>
      <c r="D1171" s="3"/>
      <c r="E1171" s="3"/>
      <c r="F1171" s="3"/>
      <c r="G1171" s="3"/>
    </row>
    <row r="1172" spans="1:7" customFormat="1" x14ac:dyDescent="0.2">
      <c r="A1172" s="3"/>
      <c r="B1172" s="3"/>
      <c r="C1172" s="3"/>
      <c r="D1172" s="3"/>
      <c r="E1172" s="3"/>
      <c r="F1172" s="3"/>
      <c r="G1172" s="3"/>
    </row>
    <row r="1173" spans="1:7" customFormat="1" x14ac:dyDescent="0.2">
      <c r="A1173" s="3"/>
      <c r="B1173" s="3"/>
      <c r="C1173" s="3"/>
      <c r="D1173" s="3"/>
      <c r="E1173" s="3"/>
      <c r="F1173" s="3"/>
      <c r="G1173" s="3"/>
    </row>
    <row r="1174" spans="1:7" customFormat="1" x14ac:dyDescent="0.2">
      <c r="A1174" s="3"/>
      <c r="B1174" s="3"/>
      <c r="C1174" s="3"/>
      <c r="D1174" s="3"/>
      <c r="E1174" s="3"/>
      <c r="F1174" s="3"/>
      <c r="G1174" s="3"/>
    </row>
    <row r="1175" spans="1:7" customFormat="1" x14ac:dyDescent="0.2">
      <c r="A1175" s="3"/>
      <c r="B1175" s="3"/>
      <c r="C1175" s="3"/>
      <c r="D1175" s="3"/>
      <c r="E1175" s="3"/>
      <c r="F1175" s="3"/>
      <c r="G1175" s="3"/>
    </row>
    <row r="1176" spans="1:7" customFormat="1" x14ac:dyDescent="0.2">
      <c r="A1176" s="3"/>
      <c r="B1176" s="3"/>
      <c r="C1176" s="3"/>
      <c r="D1176" s="3"/>
      <c r="E1176" s="3"/>
      <c r="F1176" s="3"/>
      <c r="G1176" s="3"/>
    </row>
    <row r="1177" spans="1:7" customFormat="1" x14ac:dyDescent="0.2">
      <c r="A1177" s="3"/>
      <c r="B1177" s="3"/>
      <c r="C1177" s="3"/>
      <c r="D1177" s="3"/>
      <c r="E1177" s="3"/>
      <c r="F1177" s="3"/>
      <c r="G1177" s="3"/>
    </row>
    <row r="1178" spans="1:7" customFormat="1" x14ac:dyDescent="0.2">
      <c r="A1178" s="3"/>
      <c r="B1178" s="3"/>
      <c r="C1178" s="3"/>
      <c r="D1178" s="3"/>
      <c r="E1178" s="3"/>
      <c r="F1178" s="3"/>
      <c r="G1178" s="3"/>
    </row>
    <row r="1179" spans="1:7" customFormat="1" x14ac:dyDescent="0.2">
      <c r="A1179" s="3"/>
      <c r="B1179" s="3"/>
      <c r="C1179" s="3"/>
      <c r="D1179" s="3"/>
      <c r="E1179" s="3"/>
      <c r="F1179" s="3"/>
      <c r="G1179" s="3"/>
    </row>
    <row r="1180" spans="1:7" customFormat="1" x14ac:dyDescent="0.2">
      <c r="A1180" s="3"/>
      <c r="B1180" s="3"/>
      <c r="C1180" s="3"/>
      <c r="D1180" s="3"/>
      <c r="E1180" s="3"/>
      <c r="F1180" s="3"/>
      <c r="G1180" s="3"/>
    </row>
    <row r="1181" spans="1:7" customFormat="1" x14ac:dyDescent="0.2">
      <c r="A1181" s="3"/>
      <c r="B1181" s="3"/>
      <c r="C1181" s="3"/>
      <c r="D1181" s="3"/>
      <c r="E1181" s="3"/>
      <c r="F1181" s="3"/>
      <c r="G1181" s="3"/>
    </row>
    <row r="1182" spans="1:7" customFormat="1" x14ac:dyDescent="0.2">
      <c r="A1182" s="3"/>
      <c r="B1182" s="3"/>
      <c r="C1182" s="3"/>
      <c r="D1182" s="3"/>
      <c r="E1182" s="3"/>
      <c r="F1182" s="3"/>
      <c r="G1182" s="3"/>
    </row>
    <row r="1183" spans="1:7" customFormat="1" x14ac:dyDescent="0.2">
      <c r="A1183" s="3"/>
      <c r="B1183" s="3"/>
      <c r="C1183" s="3"/>
      <c r="D1183" s="3"/>
      <c r="E1183" s="3"/>
      <c r="F1183" s="3"/>
      <c r="G1183" s="3"/>
    </row>
    <row r="1184" spans="1:7" customFormat="1" x14ac:dyDescent="0.2">
      <c r="A1184" s="3"/>
      <c r="B1184" s="3"/>
      <c r="C1184" s="3"/>
      <c r="D1184" s="3"/>
      <c r="E1184" s="3"/>
      <c r="F1184" s="3"/>
      <c r="G1184" s="3"/>
    </row>
    <row r="1185" spans="1:7" customFormat="1" x14ac:dyDescent="0.2">
      <c r="A1185" s="3"/>
      <c r="B1185" s="3"/>
      <c r="C1185" s="3"/>
      <c r="D1185" s="3"/>
      <c r="E1185" s="3"/>
      <c r="F1185" s="3"/>
      <c r="G1185" s="3"/>
    </row>
    <row r="1186" spans="1:7" customFormat="1" x14ac:dyDescent="0.2">
      <c r="A1186" s="3"/>
      <c r="B1186" s="3"/>
      <c r="C1186" s="3"/>
      <c r="D1186" s="3"/>
      <c r="E1186" s="3"/>
      <c r="F1186" s="3"/>
      <c r="G1186" s="3"/>
    </row>
    <row r="1187" spans="1:7" customFormat="1" x14ac:dyDescent="0.2">
      <c r="A1187" s="3"/>
      <c r="B1187" s="3"/>
      <c r="C1187" s="3"/>
      <c r="D1187" s="3"/>
      <c r="E1187" s="3"/>
      <c r="F1187" s="3"/>
      <c r="G1187" s="3"/>
    </row>
    <row r="1188" spans="1:7" customFormat="1" x14ac:dyDescent="0.2">
      <c r="A1188" s="3"/>
      <c r="B1188" s="3"/>
      <c r="C1188" s="3"/>
      <c r="D1188" s="3"/>
      <c r="E1188" s="3"/>
      <c r="F1188" s="3"/>
      <c r="G1188" s="3"/>
    </row>
    <row r="1189" spans="1:7" customFormat="1" x14ac:dyDescent="0.2">
      <c r="A1189" s="3"/>
      <c r="B1189" s="3"/>
      <c r="C1189" s="3"/>
      <c r="D1189" s="3"/>
      <c r="E1189" s="3"/>
      <c r="F1189" s="3"/>
      <c r="G1189" s="3"/>
    </row>
    <row r="1190" spans="1:7" customFormat="1" x14ac:dyDescent="0.2">
      <c r="A1190" s="3"/>
      <c r="B1190" s="3"/>
      <c r="C1190" s="3"/>
      <c r="D1190" s="3"/>
      <c r="E1190" s="3"/>
      <c r="F1190" s="3"/>
      <c r="G1190" s="3"/>
    </row>
    <row r="1191" spans="1:7" customFormat="1" x14ac:dyDescent="0.2">
      <c r="A1191" s="3"/>
      <c r="B1191" s="3"/>
      <c r="C1191" s="3"/>
      <c r="D1191" s="3"/>
      <c r="E1191" s="3"/>
      <c r="F1191" s="3"/>
      <c r="G1191" s="3"/>
    </row>
    <row r="1192" spans="1:7" customFormat="1" x14ac:dyDescent="0.2">
      <c r="A1192" s="3"/>
      <c r="B1192" s="3"/>
      <c r="C1192" s="3"/>
      <c r="D1192" s="3"/>
      <c r="E1192" s="3"/>
      <c r="F1192" s="3"/>
      <c r="G1192" s="3"/>
    </row>
    <row r="1193" spans="1:7" customFormat="1" x14ac:dyDescent="0.2">
      <c r="A1193" s="3"/>
      <c r="B1193" s="3"/>
      <c r="C1193" s="3"/>
      <c r="D1193" s="3"/>
      <c r="E1193" s="3"/>
      <c r="F1193" s="3"/>
      <c r="G1193" s="3"/>
    </row>
    <row r="1194" spans="1:7" customFormat="1" x14ac:dyDescent="0.2">
      <c r="A1194" s="3"/>
      <c r="B1194" s="3"/>
      <c r="C1194" s="3"/>
      <c r="D1194" s="3"/>
      <c r="E1194" s="3"/>
      <c r="F1194" s="3"/>
      <c r="G1194" s="3"/>
    </row>
    <row r="1195" spans="1:7" customFormat="1" x14ac:dyDescent="0.2">
      <c r="A1195" s="3"/>
      <c r="B1195" s="3"/>
      <c r="C1195" s="3"/>
      <c r="D1195" s="3"/>
      <c r="E1195" s="3"/>
      <c r="F1195" s="3"/>
      <c r="G1195" s="3"/>
    </row>
    <row r="1196" spans="1:7" customFormat="1" x14ac:dyDescent="0.2">
      <c r="A1196" s="3"/>
      <c r="B1196" s="3"/>
      <c r="C1196" s="3"/>
      <c r="D1196" s="3"/>
      <c r="E1196" s="3"/>
      <c r="F1196" s="3"/>
      <c r="G1196" s="3"/>
    </row>
    <row r="1197" spans="1:7" customFormat="1" x14ac:dyDescent="0.2">
      <c r="A1197" s="3"/>
      <c r="B1197" s="3"/>
      <c r="C1197" s="3"/>
      <c r="D1197" s="3"/>
      <c r="E1197" s="3"/>
      <c r="F1197" s="3"/>
      <c r="G1197" s="3"/>
    </row>
    <row r="1198" spans="1:7" customFormat="1" x14ac:dyDescent="0.2">
      <c r="A1198" s="3"/>
      <c r="B1198" s="3"/>
      <c r="C1198" s="3"/>
      <c r="D1198" s="3"/>
      <c r="E1198" s="3"/>
      <c r="F1198" s="3"/>
      <c r="G1198" s="3"/>
    </row>
    <row r="1199" spans="1:7" customFormat="1" x14ac:dyDescent="0.2">
      <c r="A1199" s="3"/>
      <c r="B1199" s="3"/>
      <c r="C1199" s="3"/>
      <c r="D1199" s="3"/>
      <c r="E1199" s="3"/>
      <c r="F1199" s="3"/>
      <c r="G1199" s="3"/>
    </row>
    <row r="1200" spans="1:7" customFormat="1" x14ac:dyDescent="0.2">
      <c r="A1200" s="3"/>
      <c r="B1200" s="3"/>
      <c r="C1200" s="3"/>
      <c r="D1200" s="3"/>
      <c r="E1200" s="3"/>
      <c r="F1200" s="3"/>
      <c r="G1200" s="3"/>
    </row>
    <row r="1201" spans="1:7" customFormat="1" x14ac:dyDescent="0.2">
      <c r="A1201" s="3"/>
      <c r="B1201" s="3"/>
      <c r="C1201" s="3"/>
      <c r="D1201" s="3"/>
      <c r="E1201" s="3"/>
      <c r="F1201" s="3"/>
      <c r="G1201" s="3"/>
    </row>
    <row r="1202" spans="1:7" customFormat="1" x14ac:dyDescent="0.2">
      <c r="A1202" s="3"/>
      <c r="B1202" s="3"/>
      <c r="C1202" s="3"/>
      <c r="D1202" s="3"/>
      <c r="E1202" s="3"/>
      <c r="F1202" s="3"/>
      <c r="G1202" s="3"/>
    </row>
    <row r="1203" spans="1:7" customFormat="1" x14ac:dyDescent="0.2">
      <c r="A1203" s="3"/>
      <c r="B1203" s="3"/>
      <c r="C1203" s="3"/>
      <c r="D1203" s="3"/>
      <c r="E1203" s="3"/>
      <c r="F1203" s="3"/>
      <c r="G1203" s="3"/>
    </row>
    <row r="1204" spans="1:7" customFormat="1" x14ac:dyDescent="0.2">
      <c r="A1204" s="3"/>
      <c r="B1204" s="3"/>
      <c r="C1204" s="3"/>
      <c r="D1204" s="3"/>
      <c r="E1204" s="3"/>
      <c r="F1204" s="3"/>
      <c r="G1204" s="3"/>
    </row>
    <row r="1205" spans="1:7" customFormat="1" x14ac:dyDescent="0.2">
      <c r="A1205" s="3"/>
      <c r="B1205" s="3"/>
      <c r="C1205" s="3"/>
      <c r="D1205" s="3"/>
      <c r="E1205" s="3"/>
      <c r="F1205" s="3"/>
      <c r="G1205" s="3"/>
    </row>
    <row r="1206" spans="1:7" customFormat="1" x14ac:dyDescent="0.2">
      <c r="A1206" s="3"/>
      <c r="B1206" s="3"/>
      <c r="C1206" s="3"/>
      <c r="D1206" s="3"/>
      <c r="E1206" s="3"/>
      <c r="F1206" s="3"/>
      <c r="G1206" s="3"/>
    </row>
    <row r="1207" spans="1:7" customFormat="1" x14ac:dyDescent="0.2">
      <c r="A1207" s="3"/>
      <c r="B1207" s="3"/>
      <c r="C1207" s="3"/>
      <c r="D1207" s="3"/>
      <c r="E1207" s="3"/>
      <c r="F1207" s="3"/>
      <c r="G1207" s="3"/>
    </row>
    <row r="1208" spans="1:7" customFormat="1" x14ac:dyDescent="0.2">
      <c r="A1208" s="3"/>
      <c r="B1208" s="3"/>
      <c r="C1208" s="3"/>
      <c r="D1208" s="3"/>
      <c r="E1208" s="3"/>
      <c r="F1208" s="3"/>
      <c r="G1208" s="3"/>
    </row>
    <row r="1209" spans="1:7" customFormat="1" x14ac:dyDescent="0.2">
      <c r="A1209" s="3"/>
      <c r="B1209" s="3"/>
      <c r="C1209" s="3"/>
      <c r="D1209" s="3"/>
      <c r="E1209" s="3"/>
      <c r="F1209" s="3"/>
      <c r="G1209" s="3"/>
    </row>
    <row r="1210" spans="1:7" customFormat="1" x14ac:dyDescent="0.2">
      <c r="A1210" s="3"/>
      <c r="B1210" s="3"/>
      <c r="C1210" s="3"/>
      <c r="D1210" s="3"/>
      <c r="E1210" s="3"/>
      <c r="F1210" s="3"/>
      <c r="G1210" s="3"/>
    </row>
    <row r="1211" spans="1:7" customFormat="1" x14ac:dyDescent="0.2">
      <c r="A1211" s="3"/>
      <c r="B1211" s="3"/>
      <c r="C1211" s="3"/>
      <c r="D1211" s="3"/>
      <c r="E1211" s="3"/>
      <c r="F1211" s="3"/>
      <c r="G1211" s="3"/>
    </row>
    <row r="1212" spans="1:7" customFormat="1" x14ac:dyDescent="0.2">
      <c r="A1212" s="3"/>
      <c r="B1212" s="3"/>
      <c r="C1212" s="3"/>
      <c r="D1212" s="3"/>
      <c r="E1212" s="3"/>
      <c r="F1212" s="3"/>
      <c r="G1212" s="3"/>
    </row>
    <row r="1213" spans="1:7" customFormat="1" x14ac:dyDescent="0.2">
      <c r="A1213" s="3"/>
      <c r="B1213" s="3"/>
      <c r="C1213" s="3"/>
      <c r="D1213" s="3"/>
      <c r="E1213" s="3"/>
      <c r="F1213" s="3"/>
      <c r="G1213" s="3"/>
    </row>
    <row r="1214" spans="1:7" customFormat="1" x14ac:dyDescent="0.2">
      <c r="A1214" s="3"/>
      <c r="B1214" s="3"/>
      <c r="C1214" s="3"/>
      <c r="D1214" s="3"/>
      <c r="E1214" s="3"/>
      <c r="F1214" s="3"/>
      <c r="G1214" s="3"/>
    </row>
    <row r="1215" spans="1:7" customFormat="1" x14ac:dyDescent="0.2">
      <c r="A1215" s="3"/>
      <c r="B1215" s="3"/>
      <c r="C1215" s="3"/>
      <c r="D1215" s="3"/>
      <c r="E1215" s="3"/>
      <c r="F1215" s="3"/>
      <c r="G1215" s="3"/>
    </row>
    <row r="1216" spans="1:7" customFormat="1" x14ac:dyDescent="0.2">
      <c r="A1216" s="3"/>
      <c r="B1216" s="3"/>
      <c r="C1216" s="3"/>
      <c r="D1216" s="3"/>
      <c r="E1216" s="3"/>
      <c r="F1216" s="3"/>
      <c r="G1216" s="3"/>
    </row>
    <row r="1217" spans="1:7" customFormat="1" x14ac:dyDescent="0.2">
      <c r="A1217" s="3"/>
      <c r="B1217" s="3"/>
      <c r="C1217" s="3"/>
      <c r="D1217" s="3"/>
      <c r="E1217" s="3"/>
      <c r="F1217" s="3"/>
      <c r="G1217" s="3"/>
    </row>
    <row r="1218" spans="1:7" customFormat="1" x14ac:dyDescent="0.2">
      <c r="A1218" s="3"/>
      <c r="B1218" s="3"/>
      <c r="C1218" s="3"/>
      <c r="D1218" s="3"/>
      <c r="E1218" s="3"/>
      <c r="F1218" s="3"/>
      <c r="G1218" s="3"/>
    </row>
    <row r="1219" spans="1:7" customFormat="1" x14ac:dyDescent="0.2">
      <c r="A1219" s="3"/>
      <c r="B1219" s="3"/>
      <c r="C1219" s="3"/>
      <c r="D1219" s="3"/>
      <c r="E1219" s="3"/>
      <c r="F1219" s="3"/>
      <c r="G1219" s="3"/>
    </row>
    <row r="1220" spans="1:7" customFormat="1" x14ac:dyDescent="0.2">
      <c r="A1220" s="3"/>
      <c r="B1220" s="3"/>
      <c r="C1220" s="3"/>
      <c r="D1220" s="3"/>
      <c r="E1220" s="3"/>
      <c r="F1220" s="3"/>
      <c r="G1220" s="3"/>
    </row>
    <row r="1221" spans="1:7" customFormat="1" x14ac:dyDescent="0.2">
      <c r="A1221" s="3"/>
      <c r="B1221" s="3"/>
      <c r="C1221" s="3"/>
      <c r="D1221" s="3"/>
      <c r="E1221" s="3"/>
      <c r="F1221" s="3"/>
      <c r="G1221" s="3"/>
    </row>
    <row r="1222" spans="1:7" customFormat="1" x14ac:dyDescent="0.2">
      <c r="A1222" s="3"/>
      <c r="B1222" s="3"/>
      <c r="C1222" s="3"/>
      <c r="D1222" s="3"/>
      <c r="E1222" s="3"/>
      <c r="F1222" s="3"/>
      <c r="G1222" s="3"/>
    </row>
    <row r="1223" spans="1:7" customFormat="1" x14ac:dyDescent="0.2">
      <c r="A1223" s="3"/>
      <c r="B1223" s="3"/>
      <c r="C1223" s="3"/>
      <c r="D1223" s="3"/>
      <c r="E1223" s="3"/>
      <c r="F1223" s="3"/>
      <c r="G1223" s="3"/>
    </row>
    <row r="1224" spans="1:7" customFormat="1" x14ac:dyDescent="0.2">
      <c r="A1224" s="3"/>
      <c r="B1224" s="3"/>
      <c r="C1224" s="3"/>
      <c r="D1224" s="3"/>
      <c r="E1224" s="3"/>
      <c r="F1224" s="3"/>
      <c r="G1224" s="3"/>
    </row>
    <row r="1225" spans="1:7" customFormat="1" x14ac:dyDescent="0.2">
      <c r="A1225" s="3"/>
      <c r="B1225" s="3"/>
      <c r="C1225" s="3"/>
      <c r="D1225" s="3"/>
      <c r="E1225" s="3"/>
      <c r="F1225" s="3"/>
      <c r="G1225" s="3"/>
    </row>
    <row r="1226" spans="1:7" customFormat="1" x14ac:dyDescent="0.2">
      <c r="A1226" s="3"/>
      <c r="B1226" s="3"/>
      <c r="C1226" s="3"/>
      <c r="D1226" s="3"/>
      <c r="E1226" s="3"/>
      <c r="F1226" s="3"/>
      <c r="G1226" s="3"/>
    </row>
    <row r="1227" spans="1:7" customFormat="1" x14ac:dyDescent="0.2">
      <c r="A1227" s="3"/>
      <c r="B1227" s="3"/>
      <c r="C1227" s="3"/>
      <c r="D1227" s="3"/>
      <c r="E1227" s="3"/>
      <c r="F1227" s="3"/>
      <c r="G1227" s="3"/>
    </row>
    <row r="1228" spans="1:7" customFormat="1" x14ac:dyDescent="0.2">
      <c r="A1228" s="3"/>
      <c r="B1228" s="3"/>
      <c r="C1228" s="3"/>
      <c r="D1228" s="3"/>
      <c r="E1228" s="3"/>
      <c r="F1228" s="3"/>
      <c r="G1228" s="3"/>
    </row>
    <row r="1229" spans="1:7" customFormat="1" x14ac:dyDescent="0.2">
      <c r="A1229" s="3"/>
      <c r="B1229" s="3"/>
      <c r="C1229" s="3"/>
      <c r="D1229" s="3"/>
      <c r="E1229" s="3"/>
      <c r="F1229" s="3"/>
      <c r="G1229" s="3"/>
    </row>
    <row r="1230" spans="1:7" customFormat="1" x14ac:dyDescent="0.2">
      <c r="A1230" s="3"/>
      <c r="B1230" s="3"/>
      <c r="C1230" s="3"/>
      <c r="D1230" s="3"/>
      <c r="E1230" s="3"/>
      <c r="F1230" s="3"/>
      <c r="G1230" s="3"/>
    </row>
    <row r="1231" spans="1:7" customFormat="1" x14ac:dyDescent="0.2">
      <c r="A1231" s="3"/>
      <c r="B1231" s="3"/>
      <c r="C1231" s="3"/>
      <c r="D1231" s="3"/>
      <c r="E1231" s="3"/>
      <c r="F1231" s="3"/>
      <c r="G1231" s="3"/>
    </row>
    <row r="1232" spans="1:7" customFormat="1" x14ac:dyDescent="0.2">
      <c r="A1232" s="3"/>
      <c r="B1232" s="3"/>
      <c r="C1232" s="3"/>
      <c r="D1232" s="3"/>
      <c r="E1232" s="3"/>
      <c r="F1232" s="3"/>
      <c r="G1232" s="3"/>
    </row>
    <row r="1233" spans="1:7" customFormat="1" x14ac:dyDescent="0.2">
      <c r="A1233" s="3"/>
      <c r="B1233" s="3"/>
      <c r="C1233" s="3"/>
      <c r="D1233" s="3"/>
      <c r="E1233" s="3"/>
      <c r="F1233" s="3"/>
      <c r="G1233" s="3"/>
    </row>
    <row r="1234" spans="1:7" customFormat="1" x14ac:dyDescent="0.2">
      <c r="A1234" s="3"/>
      <c r="B1234" s="3"/>
      <c r="C1234" s="3"/>
      <c r="D1234" s="3"/>
      <c r="E1234" s="3"/>
      <c r="F1234" s="3"/>
      <c r="G1234" s="3"/>
    </row>
    <row r="1235" spans="1:7" customFormat="1" x14ac:dyDescent="0.2">
      <c r="A1235" s="3"/>
      <c r="B1235" s="3"/>
      <c r="C1235" s="3"/>
      <c r="D1235" s="3"/>
      <c r="E1235" s="3"/>
      <c r="F1235" s="3"/>
      <c r="G1235" s="3"/>
    </row>
    <row r="1236" spans="1:7" customFormat="1" x14ac:dyDescent="0.2">
      <c r="A1236" s="3"/>
      <c r="B1236" s="3"/>
      <c r="C1236" s="3"/>
      <c r="D1236" s="3"/>
      <c r="E1236" s="3"/>
      <c r="F1236" s="3"/>
      <c r="G1236" s="3"/>
    </row>
    <row r="1237" spans="1:7" customFormat="1" x14ac:dyDescent="0.2">
      <c r="A1237" s="3"/>
      <c r="B1237" s="3"/>
      <c r="C1237" s="3"/>
      <c r="D1237" s="3"/>
      <c r="E1237" s="3"/>
      <c r="F1237" s="3"/>
      <c r="G1237" s="3"/>
    </row>
    <row r="1238" spans="1:7" customFormat="1" x14ac:dyDescent="0.2">
      <c r="A1238" s="3"/>
      <c r="B1238" s="3"/>
      <c r="C1238" s="3"/>
      <c r="D1238" s="3"/>
      <c r="E1238" s="3"/>
      <c r="F1238" s="3"/>
      <c r="G1238" s="3"/>
    </row>
    <row r="1239" spans="1:7" customFormat="1" x14ac:dyDescent="0.2">
      <c r="A1239" s="3"/>
      <c r="B1239" s="3"/>
      <c r="C1239" s="3"/>
      <c r="D1239" s="3"/>
      <c r="E1239" s="3"/>
      <c r="F1239" s="3"/>
      <c r="G1239" s="3"/>
    </row>
    <row r="1240" spans="1:7" customFormat="1" x14ac:dyDescent="0.2">
      <c r="A1240" s="3"/>
      <c r="B1240" s="3"/>
      <c r="C1240" s="3"/>
      <c r="D1240" s="3"/>
      <c r="E1240" s="3"/>
      <c r="F1240" s="3"/>
      <c r="G1240" s="3"/>
    </row>
    <row r="1241" spans="1:7" customFormat="1" x14ac:dyDescent="0.2">
      <c r="A1241" s="3"/>
      <c r="B1241" s="3"/>
      <c r="C1241" s="3"/>
      <c r="D1241" s="3"/>
      <c r="E1241" s="3"/>
      <c r="F1241" s="3"/>
      <c r="G1241" s="3"/>
    </row>
    <row r="1242" spans="1:7" customFormat="1" x14ac:dyDescent="0.2">
      <c r="A1242" s="3"/>
      <c r="B1242" s="3"/>
      <c r="C1242" s="3"/>
      <c r="D1242" s="3"/>
      <c r="E1242" s="3"/>
      <c r="F1242" s="3"/>
      <c r="G1242" s="3"/>
    </row>
    <row r="1243" spans="1:7" customFormat="1" x14ac:dyDescent="0.2">
      <c r="A1243" s="3"/>
      <c r="B1243" s="3"/>
      <c r="C1243" s="3"/>
      <c r="D1243" s="3"/>
      <c r="E1243" s="3"/>
      <c r="F1243" s="3"/>
      <c r="G1243" s="3"/>
    </row>
    <row r="1244" spans="1:7" customFormat="1" x14ac:dyDescent="0.2">
      <c r="A1244" s="3"/>
      <c r="B1244" s="3"/>
      <c r="C1244" s="3"/>
      <c r="D1244" s="3"/>
      <c r="E1244" s="3"/>
      <c r="F1244" s="3"/>
      <c r="G1244" s="3"/>
    </row>
    <row r="1245" spans="1:7" customFormat="1" x14ac:dyDescent="0.2">
      <c r="A1245" s="3"/>
      <c r="B1245" s="3"/>
      <c r="C1245" s="3"/>
      <c r="D1245" s="3"/>
      <c r="E1245" s="3"/>
      <c r="F1245" s="3"/>
      <c r="G1245" s="3"/>
    </row>
    <row r="1246" spans="1:7" customFormat="1" x14ac:dyDescent="0.2">
      <c r="A1246" s="3"/>
      <c r="B1246" s="3"/>
      <c r="C1246" s="3"/>
      <c r="D1246" s="3"/>
      <c r="E1246" s="3"/>
      <c r="F1246" s="3"/>
      <c r="G1246" s="3"/>
    </row>
    <row r="1247" spans="1:7" customFormat="1" x14ac:dyDescent="0.2">
      <c r="A1247" s="3"/>
      <c r="B1247" s="3"/>
      <c r="C1247" s="3"/>
      <c r="D1247" s="3"/>
      <c r="E1247" s="3"/>
      <c r="F1247" s="3"/>
      <c r="G1247" s="3"/>
    </row>
    <row r="1248" spans="1:7" customFormat="1" x14ac:dyDescent="0.2">
      <c r="A1248" s="3"/>
      <c r="B1248" s="3"/>
      <c r="C1248" s="3"/>
      <c r="D1248" s="3"/>
      <c r="E1248" s="3"/>
      <c r="F1248" s="3"/>
      <c r="G1248" s="3"/>
    </row>
    <row r="1249" spans="1:7" customFormat="1" x14ac:dyDescent="0.2">
      <c r="A1249" s="3"/>
      <c r="B1249" s="3"/>
      <c r="C1249" s="3"/>
      <c r="D1249" s="3"/>
      <c r="E1249" s="3"/>
      <c r="F1249" s="3"/>
      <c r="G1249" s="3"/>
    </row>
    <row r="1250" spans="1:7" customFormat="1" x14ac:dyDescent="0.2">
      <c r="A1250" s="3"/>
      <c r="B1250" s="3"/>
      <c r="C1250" s="3"/>
      <c r="D1250" s="3"/>
      <c r="E1250" s="3"/>
      <c r="F1250" s="3"/>
      <c r="G1250" s="3"/>
    </row>
    <row r="1251" spans="1:7" customFormat="1" x14ac:dyDescent="0.2">
      <c r="A1251" s="3"/>
      <c r="B1251" s="3"/>
      <c r="C1251" s="3"/>
      <c r="D1251" s="3"/>
      <c r="E1251" s="3"/>
      <c r="F1251" s="3"/>
      <c r="G1251" s="3"/>
    </row>
    <row r="1252" spans="1:7" customFormat="1" x14ac:dyDescent="0.2">
      <c r="A1252" s="3"/>
      <c r="B1252" s="3"/>
      <c r="C1252" s="3"/>
      <c r="D1252" s="3"/>
      <c r="E1252" s="3"/>
      <c r="F1252" s="3"/>
      <c r="G1252" s="3"/>
    </row>
    <row r="1253" spans="1:7" customFormat="1" x14ac:dyDescent="0.2">
      <c r="A1253" s="3"/>
      <c r="B1253" s="3"/>
      <c r="C1253" s="3"/>
      <c r="D1253" s="3"/>
      <c r="E1253" s="3"/>
      <c r="F1253" s="3"/>
      <c r="G1253" s="3"/>
    </row>
    <row r="1254" spans="1:7" customFormat="1" x14ac:dyDescent="0.2">
      <c r="A1254" s="3"/>
      <c r="B1254" s="3"/>
      <c r="C1254" s="3"/>
      <c r="D1254" s="3"/>
      <c r="E1254" s="3"/>
      <c r="F1254" s="3"/>
      <c r="G1254" s="3"/>
    </row>
    <row r="1255" spans="1:7" customFormat="1" x14ac:dyDescent="0.2">
      <c r="A1255" s="3"/>
      <c r="B1255" s="3"/>
      <c r="C1255" s="3"/>
      <c r="D1255" s="3"/>
      <c r="E1255" s="3"/>
      <c r="F1255" s="3"/>
      <c r="G1255" s="3"/>
    </row>
    <row r="1256" spans="1:7" customFormat="1" x14ac:dyDescent="0.2">
      <c r="A1256" s="3"/>
      <c r="B1256" s="3"/>
      <c r="C1256" s="3"/>
      <c r="D1256" s="3"/>
      <c r="E1256" s="3"/>
      <c r="F1256" s="3"/>
      <c r="G1256" s="3"/>
    </row>
    <row r="1257" spans="1:7" customFormat="1" x14ac:dyDescent="0.2">
      <c r="A1257" s="3"/>
      <c r="B1257" s="3"/>
      <c r="C1257" s="3"/>
      <c r="D1257" s="3"/>
      <c r="E1257" s="3"/>
      <c r="F1257" s="3"/>
      <c r="G1257" s="3"/>
    </row>
    <row r="1258" spans="1:7" customFormat="1" x14ac:dyDescent="0.2">
      <c r="A1258" s="3"/>
      <c r="B1258" s="3"/>
      <c r="C1258" s="3"/>
      <c r="D1258" s="3"/>
      <c r="E1258" s="3"/>
      <c r="F1258" s="3"/>
      <c r="G1258" s="3"/>
    </row>
    <row r="1259" spans="1:7" customFormat="1" x14ac:dyDescent="0.2">
      <c r="A1259" s="3"/>
      <c r="B1259" s="3"/>
      <c r="C1259" s="3"/>
      <c r="D1259" s="3"/>
      <c r="E1259" s="3"/>
      <c r="F1259" s="3"/>
      <c r="G1259" s="3"/>
    </row>
    <row r="1260" spans="1:7" customFormat="1" x14ac:dyDescent="0.2">
      <c r="A1260" s="3"/>
      <c r="B1260" s="3"/>
      <c r="C1260" s="3"/>
      <c r="D1260" s="3"/>
      <c r="E1260" s="3"/>
      <c r="F1260" s="3"/>
      <c r="G1260" s="3"/>
    </row>
    <row r="1261" spans="1:7" customFormat="1" x14ac:dyDescent="0.2">
      <c r="A1261" s="3"/>
      <c r="B1261" s="3"/>
      <c r="C1261" s="3"/>
      <c r="D1261" s="3"/>
      <c r="E1261" s="3"/>
      <c r="F1261" s="3"/>
      <c r="G1261" s="3"/>
    </row>
    <row r="1262" spans="1:7" customFormat="1" x14ac:dyDescent="0.2">
      <c r="A1262" s="3"/>
      <c r="B1262" s="3"/>
      <c r="C1262" s="3"/>
      <c r="D1262" s="3"/>
      <c r="E1262" s="3"/>
      <c r="F1262" s="3"/>
      <c r="G1262" s="3"/>
    </row>
    <row r="1263" spans="1:7" customFormat="1" x14ac:dyDescent="0.2">
      <c r="A1263" s="3"/>
      <c r="B1263" s="3"/>
      <c r="C1263" s="3"/>
      <c r="D1263" s="3"/>
      <c r="E1263" s="3"/>
      <c r="F1263" s="3"/>
      <c r="G1263" s="3"/>
    </row>
    <row r="1264" spans="1:7" customFormat="1" x14ac:dyDescent="0.2">
      <c r="A1264" s="3"/>
      <c r="B1264" s="3"/>
      <c r="C1264" s="3"/>
      <c r="D1264" s="3"/>
      <c r="E1264" s="3"/>
      <c r="F1264" s="3"/>
      <c r="G1264" s="3"/>
    </row>
    <row r="1265" spans="1:7" customFormat="1" x14ac:dyDescent="0.2">
      <c r="A1265" s="3"/>
      <c r="B1265" s="3"/>
      <c r="C1265" s="3"/>
      <c r="D1265" s="3"/>
      <c r="E1265" s="3"/>
      <c r="F1265" s="3"/>
      <c r="G1265" s="3"/>
    </row>
    <row r="1266" spans="1:7" customFormat="1" x14ac:dyDescent="0.2">
      <c r="A1266" s="3"/>
      <c r="B1266" s="3"/>
      <c r="C1266" s="3"/>
      <c r="D1266" s="3"/>
      <c r="E1266" s="3"/>
      <c r="F1266" s="3"/>
      <c r="G1266" s="3"/>
    </row>
    <row r="1267" spans="1:7" customFormat="1" x14ac:dyDescent="0.2">
      <c r="A1267" s="3"/>
      <c r="B1267" s="3"/>
      <c r="C1267" s="3"/>
      <c r="D1267" s="3"/>
      <c r="E1267" s="3"/>
      <c r="F1267" s="3"/>
      <c r="G1267" s="3"/>
    </row>
    <row r="1268" spans="1:7" customFormat="1" x14ac:dyDescent="0.2">
      <c r="A1268" s="3"/>
      <c r="B1268" s="3"/>
      <c r="C1268" s="3"/>
      <c r="D1268" s="3"/>
      <c r="E1268" s="3"/>
      <c r="F1268" s="3"/>
      <c r="G1268" s="3"/>
    </row>
    <row r="1269" spans="1:7" customFormat="1" x14ac:dyDescent="0.2">
      <c r="A1269" s="3"/>
      <c r="B1269" s="3"/>
      <c r="C1269" s="3"/>
      <c r="D1269" s="3"/>
      <c r="E1269" s="3"/>
      <c r="F1269" s="3"/>
      <c r="G1269" s="3"/>
    </row>
    <row r="1270" spans="1:7" customFormat="1" x14ac:dyDescent="0.2">
      <c r="A1270" s="3"/>
      <c r="B1270" s="3"/>
      <c r="C1270" s="3"/>
      <c r="D1270" s="3"/>
      <c r="E1270" s="3"/>
      <c r="F1270" s="3"/>
      <c r="G1270" s="3"/>
    </row>
    <row r="1271" spans="1:7" customFormat="1" x14ac:dyDescent="0.2">
      <c r="A1271" s="3"/>
      <c r="B1271" s="3"/>
      <c r="C1271" s="3"/>
      <c r="D1271" s="3"/>
      <c r="E1271" s="3"/>
      <c r="F1271" s="3"/>
      <c r="G1271" s="3"/>
    </row>
    <row r="1272" spans="1:7" customFormat="1" x14ac:dyDescent="0.2">
      <c r="A1272" s="3"/>
      <c r="B1272" s="3"/>
      <c r="C1272" s="3"/>
      <c r="D1272" s="3"/>
      <c r="E1272" s="3"/>
      <c r="F1272" s="3"/>
      <c r="G1272" s="3"/>
    </row>
    <row r="1273" spans="1:7" customFormat="1" x14ac:dyDescent="0.2">
      <c r="A1273" s="3"/>
      <c r="B1273" s="3"/>
      <c r="C1273" s="3"/>
      <c r="D1273" s="3"/>
      <c r="E1273" s="3"/>
      <c r="F1273" s="3"/>
      <c r="G1273" s="3"/>
    </row>
    <row r="1274" spans="1:7" customFormat="1" x14ac:dyDescent="0.2">
      <c r="A1274" s="3"/>
      <c r="B1274" s="3"/>
      <c r="C1274" s="3"/>
      <c r="D1274" s="3"/>
      <c r="E1274" s="3"/>
      <c r="F1274" s="3"/>
      <c r="G1274" s="3"/>
    </row>
    <row r="1275" spans="1:7" customFormat="1" x14ac:dyDescent="0.2">
      <c r="A1275" s="3"/>
      <c r="B1275" s="3"/>
      <c r="C1275" s="3"/>
      <c r="D1275" s="3"/>
      <c r="E1275" s="3"/>
      <c r="F1275" s="3"/>
      <c r="G1275" s="3"/>
    </row>
    <row r="1276" spans="1:7" customFormat="1" x14ac:dyDescent="0.2">
      <c r="A1276" s="3"/>
      <c r="B1276" s="3"/>
      <c r="C1276" s="3"/>
      <c r="D1276" s="3"/>
      <c r="E1276" s="3"/>
      <c r="F1276" s="3"/>
      <c r="G1276" s="3"/>
    </row>
    <row r="1277" spans="1:7" customFormat="1" x14ac:dyDescent="0.2">
      <c r="A1277" s="3"/>
      <c r="B1277" s="3"/>
      <c r="C1277" s="3"/>
      <c r="D1277" s="3"/>
      <c r="E1277" s="3"/>
      <c r="F1277" s="3"/>
      <c r="G1277" s="3"/>
    </row>
    <row r="1278" spans="1:7" customFormat="1" x14ac:dyDescent="0.2">
      <c r="A1278" s="3"/>
      <c r="B1278" s="3"/>
      <c r="C1278" s="3"/>
      <c r="D1278" s="3"/>
      <c r="E1278" s="3"/>
      <c r="F1278" s="3"/>
      <c r="G1278" s="3"/>
    </row>
    <row r="1279" spans="1:7" customFormat="1" x14ac:dyDescent="0.2">
      <c r="A1279" s="3"/>
      <c r="B1279" s="3"/>
      <c r="C1279" s="3"/>
      <c r="D1279" s="3"/>
      <c r="E1279" s="3"/>
      <c r="F1279" s="3"/>
      <c r="G1279" s="3"/>
    </row>
    <row r="1280" spans="1:7" customFormat="1" x14ac:dyDescent="0.2">
      <c r="A1280" s="3"/>
      <c r="B1280" s="3"/>
      <c r="C1280" s="3"/>
      <c r="D1280" s="3"/>
      <c r="E1280" s="3"/>
      <c r="F1280" s="3"/>
      <c r="G1280" s="3"/>
    </row>
    <row r="1281" spans="1:7" customFormat="1" x14ac:dyDescent="0.2">
      <c r="A1281" s="3"/>
      <c r="B1281" s="3"/>
      <c r="C1281" s="3"/>
      <c r="D1281" s="3"/>
      <c r="E1281" s="3"/>
      <c r="F1281" s="3"/>
      <c r="G1281" s="3"/>
    </row>
    <row r="1282" spans="1:7" customFormat="1" x14ac:dyDescent="0.2">
      <c r="A1282" s="3"/>
      <c r="B1282" s="3"/>
      <c r="C1282" s="3"/>
      <c r="D1282" s="3"/>
      <c r="E1282" s="3"/>
      <c r="F1282" s="3"/>
      <c r="G1282" s="3"/>
    </row>
    <row r="1283" spans="1:7" customFormat="1" x14ac:dyDescent="0.2">
      <c r="A1283" s="3"/>
      <c r="B1283" s="3"/>
      <c r="C1283" s="3"/>
      <c r="D1283" s="3"/>
      <c r="E1283" s="3"/>
      <c r="F1283" s="3"/>
      <c r="G1283" s="3"/>
    </row>
    <row r="1284" spans="1:7" customFormat="1" x14ac:dyDescent="0.2">
      <c r="A1284" s="3"/>
      <c r="B1284" s="3"/>
      <c r="C1284" s="3"/>
      <c r="D1284" s="3"/>
      <c r="E1284" s="3"/>
      <c r="F1284" s="3"/>
      <c r="G1284" s="3"/>
    </row>
    <row r="1285" spans="1:7" customFormat="1" x14ac:dyDescent="0.2">
      <c r="A1285" s="3"/>
      <c r="B1285" s="3"/>
      <c r="C1285" s="3"/>
      <c r="D1285" s="3"/>
      <c r="E1285" s="3"/>
      <c r="F1285" s="3"/>
      <c r="G1285" s="3"/>
    </row>
    <row r="1286" spans="1:7" customFormat="1" x14ac:dyDescent="0.2">
      <c r="A1286" s="3"/>
      <c r="B1286" s="3"/>
      <c r="C1286" s="3"/>
      <c r="D1286" s="3"/>
      <c r="E1286" s="3"/>
      <c r="F1286" s="3"/>
      <c r="G1286" s="3"/>
    </row>
    <row r="1287" spans="1:7" customFormat="1" x14ac:dyDescent="0.2">
      <c r="A1287" s="3"/>
      <c r="B1287" s="3"/>
      <c r="C1287" s="3"/>
      <c r="D1287" s="3"/>
      <c r="E1287" s="3"/>
      <c r="F1287" s="3"/>
      <c r="G1287" s="3"/>
    </row>
    <row r="1288" spans="1:7" customFormat="1" x14ac:dyDescent="0.2">
      <c r="A1288" s="3"/>
      <c r="B1288" s="3"/>
      <c r="C1288" s="3"/>
      <c r="D1288" s="3"/>
      <c r="E1288" s="3"/>
      <c r="F1288" s="3"/>
      <c r="G1288" s="3"/>
    </row>
    <row r="1289" spans="1:7" customFormat="1" x14ac:dyDescent="0.2">
      <c r="A1289" s="3"/>
      <c r="B1289" s="3"/>
      <c r="C1289" s="3"/>
      <c r="D1289" s="3"/>
      <c r="E1289" s="3"/>
      <c r="F1289" s="3"/>
      <c r="G1289" s="3"/>
    </row>
    <row r="1290" spans="1:7" customFormat="1" x14ac:dyDescent="0.2">
      <c r="A1290" s="3"/>
      <c r="B1290" s="3"/>
      <c r="C1290" s="3"/>
      <c r="D1290" s="3"/>
      <c r="E1290" s="3"/>
      <c r="F1290" s="3"/>
      <c r="G1290" s="3"/>
    </row>
    <row r="1291" spans="1:7" customFormat="1" x14ac:dyDescent="0.2">
      <c r="A1291" s="3"/>
      <c r="B1291" s="3"/>
      <c r="C1291" s="3"/>
      <c r="D1291" s="3"/>
      <c r="E1291" s="3"/>
      <c r="F1291" s="3"/>
      <c r="G1291" s="3"/>
    </row>
    <row r="1292" spans="1:7" customFormat="1" x14ac:dyDescent="0.2">
      <c r="A1292" s="3"/>
      <c r="B1292" s="3"/>
      <c r="C1292" s="3"/>
      <c r="D1292" s="3"/>
      <c r="E1292" s="3"/>
      <c r="F1292" s="3"/>
      <c r="G1292" s="3"/>
    </row>
    <row r="1293" spans="1:7" customFormat="1" x14ac:dyDescent="0.2">
      <c r="A1293" s="3"/>
      <c r="B1293" s="3"/>
      <c r="C1293" s="3"/>
      <c r="D1293" s="3"/>
      <c r="E1293" s="3"/>
      <c r="F1293" s="3"/>
      <c r="G1293" s="3"/>
    </row>
    <row r="1294" spans="1:7" customFormat="1" x14ac:dyDescent="0.2">
      <c r="A1294" s="3"/>
      <c r="B1294" s="3"/>
      <c r="C1294" s="3"/>
      <c r="D1294" s="3"/>
      <c r="E1294" s="3"/>
      <c r="F1294" s="3"/>
      <c r="G1294" s="3"/>
    </row>
    <row r="1295" spans="1:7" customFormat="1" x14ac:dyDescent="0.2">
      <c r="A1295" s="3"/>
      <c r="B1295" s="3"/>
      <c r="C1295" s="3"/>
      <c r="D1295" s="3"/>
      <c r="E1295" s="3"/>
      <c r="F1295" s="3"/>
      <c r="G1295" s="3"/>
    </row>
    <row r="1296" spans="1:7" customFormat="1" x14ac:dyDescent="0.2">
      <c r="A1296" s="3"/>
      <c r="B1296" s="3"/>
      <c r="C1296" s="3"/>
      <c r="D1296" s="3"/>
      <c r="E1296" s="3"/>
      <c r="F1296" s="3"/>
      <c r="G1296" s="3"/>
    </row>
    <row r="1297" spans="1:7" customFormat="1" x14ac:dyDescent="0.2">
      <c r="A1297" s="3"/>
      <c r="B1297" s="3"/>
      <c r="C1297" s="3"/>
      <c r="D1297" s="3"/>
      <c r="E1297" s="3"/>
      <c r="F1297" s="3"/>
      <c r="G1297" s="3"/>
    </row>
    <row r="1298" spans="1:7" customFormat="1" x14ac:dyDescent="0.2">
      <c r="A1298" s="3"/>
      <c r="B1298" s="3"/>
      <c r="C1298" s="3"/>
      <c r="D1298" s="3"/>
      <c r="E1298" s="3"/>
      <c r="F1298" s="3"/>
      <c r="G1298" s="3"/>
    </row>
    <row r="1299" spans="1:7" customFormat="1" x14ac:dyDescent="0.2">
      <c r="A1299" s="3"/>
      <c r="B1299" s="3"/>
      <c r="C1299" s="3"/>
      <c r="D1299" s="3"/>
      <c r="E1299" s="3"/>
      <c r="F1299" s="3"/>
      <c r="G1299" s="3"/>
    </row>
    <row r="1300" spans="1:7" customFormat="1" x14ac:dyDescent="0.2">
      <c r="A1300" s="3"/>
      <c r="B1300" s="3"/>
      <c r="C1300" s="3"/>
      <c r="D1300" s="3"/>
      <c r="E1300" s="3"/>
      <c r="F1300" s="3"/>
      <c r="G1300" s="3"/>
    </row>
    <row r="1301" spans="1:7" customFormat="1" x14ac:dyDescent="0.2">
      <c r="A1301" s="3"/>
      <c r="B1301" s="3"/>
      <c r="C1301" s="3"/>
      <c r="D1301" s="3"/>
      <c r="E1301" s="3"/>
      <c r="F1301" s="3"/>
      <c r="G1301" s="3"/>
    </row>
    <row r="1302" spans="1:7" customFormat="1" x14ac:dyDescent="0.2">
      <c r="A1302" s="3"/>
      <c r="B1302" s="3"/>
      <c r="C1302" s="3"/>
      <c r="D1302" s="3"/>
      <c r="E1302" s="3"/>
      <c r="F1302" s="3"/>
      <c r="G1302" s="3"/>
    </row>
    <row r="1303" spans="1:7" customFormat="1" x14ac:dyDescent="0.2">
      <c r="A1303" s="3"/>
      <c r="B1303" s="3"/>
      <c r="C1303" s="3"/>
      <c r="D1303" s="3"/>
      <c r="E1303" s="3"/>
      <c r="F1303" s="3"/>
      <c r="G1303" s="3"/>
    </row>
    <row r="1304" spans="1:7" customFormat="1" x14ac:dyDescent="0.2">
      <c r="A1304" s="3"/>
      <c r="B1304" s="3"/>
      <c r="C1304" s="3"/>
      <c r="D1304" s="3"/>
      <c r="E1304" s="3"/>
      <c r="F1304" s="3"/>
      <c r="G1304" s="3"/>
    </row>
    <row r="1305" spans="1:7" customFormat="1" x14ac:dyDescent="0.2">
      <c r="A1305" s="3"/>
      <c r="B1305" s="3"/>
      <c r="C1305" s="3"/>
      <c r="D1305" s="3"/>
      <c r="E1305" s="3"/>
      <c r="F1305" s="3"/>
      <c r="G1305" s="3"/>
    </row>
    <row r="1306" spans="1:7" customFormat="1" x14ac:dyDescent="0.2">
      <c r="A1306" s="3"/>
      <c r="B1306" s="3"/>
      <c r="C1306" s="3"/>
      <c r="D1306" s="3"/>
      <c r="E1306" s="3"/>
      <c r="F1306" s="3"/>
      <c r="G1306" s="3"/>
    </row>
    <row r="1307" spans="1:7" customFormat="1" x14ac:dyDescent="0.2">
      <c r="A1307" s="3"/>
      <c r="B1307" s="3"/>
      <c r="C1307" s="3"/>
      <c r="D1307" s="3"/>
      <c r="E1307" s="3"/>
      <c r="F1307" s="3"/>
      <c r="G1307" s="3"/>
    </row>
    <row r="1308" spans="1:7" customFormat="1" x14ac:dyDescent="0.2">
      <c r="A1308" s="3"/>
      <c r="B1308" s="3"/>
      <c r="C1308" s="3"/>
      <c r="D1308" s="3"/>
      <c r="E1308" s="3"/>
      <c r="F1308" s="3"/>
      <c r="G1308" s="3"/>
    </row>
    <row r="1309" spans="1:7" customFormat="1" x14ac:dyDescent="0.2">
      <c r="A1309" s="3"/>
      <c r="B1309" s="3"/>
      <c r="C1309" s="3"/>
      <c r="D1309" s="3"/>
      <c r="E1309" s="3"/>
      <c r="F1309" s="3"/>
      <c r="G1309" s="3"/>
    </row>
    <row r="1310" spans="1:7" customFormat="1" x14ac:dyDescent="0.2">
      <c r="A1310" s="3"/>
      <c r="B1310" s="3"/>
      <c r="C1310" s="3"/>
      <c r="D1310" s="3"/>
      <c r="E1310" s="3"/>
      <c r="F1310" s="3"/>
      <c r="G1310" s="3"/>
    </row>
    <row r="1311" spans="1:7" customFormat="1" x14ac:dyDescent="0.2">
      <c r="A1311" s="3"/>
      <c r="B1311" s="3"/>
      <c r="C1311" s="3"/>
      <c r="D1311" s="3"/>
      <c r="E1311" s="3"/>
      <c r="F1311" s="3"/>
      <c r="G1311" s="3"/>
    </row>
    <row r="1312" spans="1:7" customFormat="1" x14ac:dyDescent="0.2">
      <c r="A1312" s="3"/>
      <c r="B1312" s="3"/>
      <c r="C1312" s="3"/>
      <c r="D1312" s="3"/>
      <c r="E1312" s="3"/>
      <c r="F1312" s="3"/>
      <c r="G1312" s="3"/>
    </row>
    <row r="1313" spans="1:7" customFormat="1" x14ac:dyDescent="0.2">
      <c r="A1313" s="3"/>
      <c r="B1313" s="3"/>
      <c r="C1313" s="3"/>
      <c r="D1313" s="3"/>
      <c r="E1313" s="3"/>
      <c r="F1313" s="3"/>
      <c r="G1313" s="3"/>
    </row>
    <row r="1314" spans="1:7" customFormat="1" x14ac:dyDescent="0.2">
      <c r="A1314" s="3"/>
      <c r="B1314" s="3"/>
      <c r="C1314" s="3"/>
      <c r="D1314" s="3"/>
      <c r="E1314" s="3"/>
      <c r="F1314" s="3"/>
      <c r="G1314" s="3"/>
    </row>
    <row r="1315" spans="1:7" customFormat="1" x14ac:dyDescent="0.2">
      <c r="A1315" s="3"/>
      <c r="B1315" s="3"/>
      <c r="C1315" s="3"/>
      <c r="D1315" s="3"/>
      <c r="E1315" s="3"/>
      <c r="F1315" s="3"/>
      <c r="G1315" s="3"/>
    </row>
    <row r="1316" spans="1:7" customFormat="1" x14ac:dyDescent="0.2">
      <c r="A1316" s="3"/>
      <c r="B1316" s="3"/>
      <c r="C1316" s="3"/>
      <c r="D1316" s="3"/>
      <c r="E1316" s="3"/>
      <c r="F1316" s="3"/>
      <c r="G1316" s="3"/>
    </row>
    <row r="1317" spans="1:7" customFormat="1" x14ac:dyDescent="0.2">
      <c r="A1317" s="3"/>
      <c r="B1317" s="3"/>
      <c r="C1317" s="3"/>
      <c r="D1317" s="3"/>
      <c r="E1317" s="3"/>
      <c r="F1317" s="3"/>
      <c r="G1317" s="3"/>
    </row>
    <row r="1318" spans="1:7" customFormat="1" x14ac:dyDescent="0.2">
      <c r="A1318" s="3"/>
      <c r="B1318" s="3"/>
      <c r="C1318" s="3"/>
      <c r="D1318" s="3"/>
      <c r="E1318" s="3"/>
      <c r="F1318" s="3"/>
      <c r="G1318" s="3"/>
    </row>
    <row r="1319" spans="1:7" customFormat="1" x14ac:dyDescent="0.2">
      <c r="A1319" s="3"/>
      <c r="B1319" s="3"/>
      <c r="C1319" s="3"/>
      <c r="D1319" s="3"/>
      <c r="E1319" s="3"/>
      <c r="F1319" s="3"/>
      <c r="G1319" s="3"/>
    </row>
    <row r="1320" spans="1:7" customFormat="1" x14ac:dyDescent="0.2">
      <c r="A1320" s="3"/>
      <c r="B1320" s="3"/>
      <c r="C1320" s="3"/>
      <c r="D1320" s="3"/>
      <c r="E1320" s="3"/>
      <c r="F1320" s="3"/>
      <c r="G1320" s="3"/>
    </row>
    <row r="1321" spans="1:7" customFormat="1" x14ac:dyDescent="0.2">
      <c r="A1321" s="3"/>
      <c r="B1321" s="3"/>
      <c r="C1321" s="3"/>
      <c r="D1321" s="3"/>
      <c r="E1321" s="3"/>
      <c r="F1321" s="3"/>
      <c r="G1321" s="3"/>
    </row>
    <row r="1322" spans="1:7" customFormat="1" x14ac:dyDescent="0.2">
      <c r="A1322" s="3"/>
      <c r="B1322" s="3"/>
      <c r="C1322" s="3"/>
      <c r="D1322" s="3"/>
      <c r="E1322" s="3"/>
      <c r="F1322" s="3"/>
      <c r="G1322" s="3"/>
    </row>
    <row r="1323" spans="1:7" customFormat="1" x14ac:dyDescent="0.2">
      <c r="A1323" s="3"/>
      <c r="B1323" s="3"/>
      <c r="C1323" s="3"/>
      <c r="D1323" s="3"/>
      <c r="E1323" s="3"/>
      <c r="F1323" s="3"/>
      <c r="G1323" s="3"/>
    </row>
    <row r="1324" spans="1:7" customFormat="1" x14ac:dyDescent="0.2">
      <c r="A1324" s="3"/>
      <c r="B1324" s="3"/>
      <c r="C1324" s="3"/>
      <c r="D1324" s="3"/>
      <c r="E1324" s="3"/>
      <c r="F1324" s="3"/>
      <c r="G1324" s="3"/>
    </row>
    <row r="1325" spans="1:7" customFormat="1" x14ac:dyDescent="0.2">
      <c r="A1325" s="3"/>
      <c r="B1325" s="3"/>
      <c r="C1325" s="3"/>
      <c r="D1325" s="3"/>
      <c r="E1325" s="3"/>
      <c r="F1325" s="3"/>
      <c r="G1325" s="3"/>
    </row>
    <row r="1326" spans="1:7" customFormat="1" x14ac:dyDescent="0.2">
      <c r="A1326" s="3"/>
      <c r="B1326" s="3"/>
      <c r="C1326" s="3"/>
      <c r="D1326" s="3"/>
      <c r="E1326" s="3"/>
      <c r="F1326" s="3"/>
      <c r="G1326" s="3"/>
    </row>
    <row r="1327" spans="1:7" customFormat="1" x14ac:dyDescent="0.2">
      <c r="A1327" s="3"/>
      <c r="B1327" s="3"/>
      <c r="C1327" s="3"/>
      <c r="D1327" s="3"/>
      <c r="E1327" s="3"/>
      <c r="F1327" s="3"/>
      <c r="G1327" s="3"/>
    </row>
    <row r="1328" spans="1:7" customFormat="1" x14ac:dyDescent="0.2">
      <c r="A1328" s="3"/>
      <c r="B1328" s="3"/>
      <c r="C1328" s="3"/>
      <c r="D1328" s="3"/>
      <c r="E1328" s="3"/>
      <c r="F1328" s="3"/>
      <c r="G1328" s="3"/>
    </row>
    <row r="1329" spans="1:7" customFormat="1" x14ac:dyDescent="0.2">
      <c r="A1329" s="3"/>
      <c r="B1329" s="3"/>
      <c r="C1329" s="3"/>
      <c r="D1329" s="3"/>
      <c r="E1329" s="3"/>
      <c r="F1329" s="3"/>
      <c r="G1329" s="3"/>
    </row>
    <row r="1330" spans="1:7" customFormat="1" x14ac:dyDescent="0.2">
      <c r="A1330" s="3"/>
      <c r="B1330" s="3"/>
      <c r="C1330" s="3"/>
      <c r="D1330" s="3"/>
      <c r="E1330" s="3"/>
      <c r="F1330" s="3"/>
      <c r="G1330" s="3"/>
    </row>
    <row r="1331" spans="1:7" customFormat="1" x14ac:dyDescent="0.2">
      <c r="A1331" s="3"/>
      <c r="B1331" s="3"/>
      <c r="C1331" s="3"/>
      <c r="D1331" s="3"/>
      <c r="E1331" s="3"/>
      <c r="F1331" s="3"/>
      <c r="G1331" s="3"/>
    </row>
    <row r="1332" spans="1:7" customFormat="1" x14ac:dyDescent="0.2">
      <c r="A1332" s="3"/>
      <c r="B1332" s="3"/>
      <c r="C1332" s="3"/>
      <c r="D1332" s="3"/>
      <c r="E1332" s="3"/>
      <c r="F1332" s="3"/>
      <c r="G1332" s="3"/>
    </row>
    <row r="1333" spans="1:7" customFormat="1" x14ac:dyDescent="0.2">
      <c r="A1333" s="3"/>
      <c r="B1333" s="3"/>
      <c r="C1333" s="3"/>
      <c r="D1333" s="3"/>
      <c r="E1333" s="3"/>
      <c r="F1333" s="3"/>
      <c r="G1333" s="3"/>
    </row>
    <row r="1334" spans="1:7" customFormat="1" x14ac:dyDescent="0.2">
      <c r="A1334" s="3"/>
      <c r="B1334" s="3"/>
      <c r="C1334" s="3"/>
      <c r="D1334" s="3"/>
      <c r="E1334" s="3"/>
      <c r="F1334" s="3"/>
      <c r="G1334" s="3"/>
    </row>
    <row r="1335" spans="1:7" customFormat="1" x14ac:dyDescent="0.2">
      <c r="A1335" s="3"/>
      <c r="B1335" s="3"/>
      <c r="C1335" s="3"/>
      <c r="D1335" s="3"/>
      <c r="E1335" s="3"/>
      <c r="F1335" s="3"/>
      <c r="G1335" s="3"/>
    </row>
    <row r="1336" spans="1:7" customFormat="1" x14ac:dyDescent="0.2">
      <c r="A1336" s="3"/>
      <c r="B1336" s="3"/>
      <c r="C1336" s="3"/>
      <c r="D1336" s="3"/>
      <c r="E1336" s="3"/>
      <c r="F1336" s="3"/>
      <c r="G1336" s="3"/>
    </row>
    <row r="1337" spans="1:7" customFormat="1" x14ac:dyDescent="0.2">
      <c r="A1337" s="3"/>
      <c r="B1337" s="3"/>
      <c r="C1337" s="3"/>
      <c r="D1337" s="3"/>
      <c r="E1337" s="3"/>
      <c r="F1337" s="3"/>
      <c r="G1337" s="3"/>
    </row>
    <row r="1338" spans="1:7" customFormat="1" x14ac:dyDescent="0.2">
      <c r="A1338" s="3"/>
      <c r="B1338" s="3"/>
      <c r="C1338" s="3"/>
      <c r="D1338" s="3"/>
      <c r="E1338" s="3"/>
      <c r="F1338" s="3"/>
      <c r="G1338" s="3"/>
    </row>
    <row r="1339" spans="1:7" customFormat="1" x14ac:dyDescent="0.2">
      <c r="A1339" s="3"/>
      <c r="B1339" s="3"/>
      <c r="C1339" s="3"/>
      <c r="D1339" s="3"/>
      <c r="E1339" s="3"/>
      <c r="F1339" s="3"/>
      <c r="G1339" s="3"/>
    </row>
    <row r="1340" spans="1:7" customFormat="1" x14ac:dyDescent="0.2">
      <c r="A1340" s="3"/>
      <c r="B1340" s="3"/>
      <c r="C1340" s="3"/>
      <c r="D1340" s="3"/>
      <c r="E1340" s="3"/>
      <c r="F1340" s="3"/>
      <c r="G1340" s="3"/>
    </row>
    <row r="1341" spans="1:7" customFormat="1" x14ac:dyDescent="0.2">
      <c r="A1341" s="3"/>
      <c r="B1341" s="3"/>
      <c r="C1341" s="3"/>
      <c r="D1341" s="3"/>
      <c r="E1341" s="3"/>
      <c r="F1341" s="3"/>
      <c r="G1341" s="3"/>
    </row>
    <row r="1342" spans="1:7" customFormat="1" x14ac:dyDescent="0.2">
      <c r="A1342" s="3"/>
      <c r="B1342" s="3"/>
      <c r="C1342" s="3"/>
      <c r="D1342" s="3"/>
      <c r="E1342" s="3"/>
      <c r="F1342" s="3"/>
      <c r="G1342" s="3"/>
    </row>
    <row r="1343" spans="1:7" customFormat="1" x14ac:dyDescent="0.2">
      <c r="A1343" s="3"/>
      <c r="B1343" s="3"/>
      <c r="C1343" s="3"/>
      <c r="D1343" s="3"/>
      <c r="E1343" s="3"/>
      <c r="F1343" s="3"/>
      <c r="G1343" s="3"/>
    </row>
    <row r="1344" spans="1:7" customFormat="1" x14ac:dyDescent="0.2">
      <c r="A1344" s="3"/>
      <c r="B1344" s="3"/>
      <c r="C1344" s="3"/>
      <c r="D1344" s="3"/>
      <c r="E1344" s="3"/>
      <c r="F1344" s="3"/>
      <c r="G1344" s="3"/>
    </row>
    <row r="1345" spans="1:7" customFormat="1" x14ac:dyDescent="0.2">
      <c r="A1345" s="3"/>
      <c r="B1345" s="3"/>
      <c r="C1345" s="3"/>
      <c r="D1345" s="3"/>
      <c r="E1345" s="3"/>
      <c r="F1345" s="3"/>
      <c r="G1345" s="3"/>
    </row>
    <row r="1346" spans="1:7" customFormat="1" x14ac:dyDescent="0.2">
      <c r="A1346" s="3"/>
      <c r="B1346" s="3"/>
      <c r="C1346" s="3"/>
      <c r="D1346" s="3"/>
      <c r="E1346" s="3"/>
      <c r="F1346" s="3"/>
      <c r="G1346" s="3"/>
    </row>
    <row r="1347" spans="1:7" customFormat="1" x14ac:dyDescent="0.2">
      <c r="A1347" s="3"/>
      <c r="B1347" s="3"/>
      <c r="C1347" s="3"/>
      <c r="D1347" s="3"/>
      <c r="E1347" s="3"/>
      <c r="F1347" s="3"/>
      <c r="G1347" s="3"/>
    </row>
    <row r="1348" spans="1:7" customFormat="1" x14ac:dyDescent="0.2">
      <c r="A1348" s="3"/>
      <c r="B1348" s="3"/>
      <c r="C1348" s="3"/>
      <c r="D1348" s="3"/>
      <c r="E1348" s="3"/>
      <c r="F1348" s="3"/>
      <c r="G1348" s="3"/>
    </row>
    <row r="1349" spans="1:7" customFormat="1" x14ac:dyDescent="0.2">
      <c r="A1349" s="3"/>
      <c r="B1349" s="3"/>
      <c r="C1349" s="3"/>
      <c r="D1349" s="3"/>
      <c r="E1349" s="3"/>
      <c r="F1349" s="3"/>
      <c r="G1349" s="3"/>
    </row>
    <row r="1350" spans="1:7" customFormat="1" x14ac:dyDescent="0.2">
      <c r="A1350" s="3"/>
      <c r="B1350" s="3"/>
      <c r="C1350" s="3"/>
      <c r="D1350" s="3"/>
      <c r="E1350" s="3"/>
      <c r="F1350" s="3"/>
      <c r="G1350" s="3"/>
    </row>
    <row r="1351" spans="1:7" customFormat="1" x14ac:dyDescent="0.2">
      <c r="A1351" s="3"/>
      <c r="B1351" s="3"/>
      <c r="C1351" s="3"/>
      <c r="D1351" s="3"/>
      <c r="E1351" s="3"/>
      <c r="F1351" s="3"/>
      <c r="G1351" s="3"/>
    </row>
    <row r="1352" spans="1:7" customFormat="1" x14ac:dyDescent="0.2">
      <c r="A1352" s="3"/>
      <c r="B1352" s="3"/>
      <c r="C1352" s="3"/>
      <c r="D1352" s="3"/>
      <c r="E1352" s="3"/>
      <c r="F1352" s="3"/>
      <c r="G1352" s="3"/>
    </row>
    <row r="1353" spans="1:7" customFormat="1" x14ac:dyDescent="0.2">
      <c r="A1353" s="3"/>
      <c r="B1353" s="3"/>
      <c r="C1353" s="3"/>
      <c r="D1353" s="3"/>
      <c r="E1353" s="3"/>
      <c r="F1353" s="3"/>
      <c r="G1353" s="3"/>
    </row>
    <row r="1354" spans="1:7" customFormat="1" x14ac:dyDescent="0.2">
      <c r="A1354" s="3"/>
      <c r="B1354" s="3"/>
      <c r="C1354" s="3"/>
      <c r="D1354" s="3"/>
      <c r="E1354" s="3"/>
      <c r="F1354" s="3"/>
      <c r="G1354" s="3"/>
    </row>
    <row r="1355" spans="1:7" customFormat="1" x14ac:dyDescent="0.2">
      <c r="A1355" s="3"/>
      <c r="B1355" s="3"/>
      <c r="C1355" s="3"/>
      <c r="D1355" s="3"/>
      <c r="E1355" s="3"/>
      <c r="F1355" s="3"/>
      <c r="G1355" s="3"/>
    </row>
    <row r="1356" spans="1:7" customFormat="1" x14ac:dyDescent="0.2">
      <c r="A1356" s="3"/>
      <c r="B1356" s="3"/>
      <c r="C1356" s="3"/>
      <c r="D1356" s="3"/>
      <c r="E1356" s="3"/>
      <c r="F1356" s="3"/>
      <c r="G1356" s="3"/>
    </row>
    <row r="1357" spans="1:7" customFormat="1" x14ac:dyDescent="0.2">
      <c r="A1357" s="3"/>
      <c r="B1357" s="3"/>
      <c r="C1357" s="3"/>
      <c r="D1357" s="3"/>
      <c r="E1357" s="3"/>
      <c r="F1357" s="3"/>
      <c r="G1357" s="3"/>
    </row>
    <row r="1358" spans="1:7" customFormat="1" x14ac:dyDescent="0.2">
      <c r="A1358" s="3"/>
      <c r="B1358" s="3"/>
      <c r="C1358" s="3"/>
      <c r="D1358" s="3"/>
      <c r="E1358" s="3"/>
      <c r="F1358" s="3"/>
      <c r="G1358" s="3"/>
    </row>
    <row r="1359" spans="1:7" customFormat="1" x14ac:dyDescent="0.2">
      <c r="A1359" s="3"/>
      <c r="B1359" s="3"/>
      <c r="C1359" s="3"/>
      <c r="D1359" s="3"/>
      <c r="E1359" s="3"/>
      <c r="F1359" s="3"/>
      <c r="G1359" s="3"/>
    </row>
    <row r="1360" spans="1:7" customFormat="1" x14ac:dyDescent="0.2">
      <c r="A1360" s="3"/>
      <c r="B1360" s="3"/>
      <c r="C1360" s="3"/>
      <c r="D1360" s="3"/>
      <c r="E1360" s="3"/>
      <c r="F1360" s="3"/>
      <c r="G1360" s="3"/>
    </row>
    <row r="1361" spans="1:7" customFormat="1" x14ac:dyDescent="0.2">
      <c r="A1361" s="3"/>
      <c r="B1361" s="3"/>
      <c r="C1361" s="3"/>
      <c r="D1361" s="3"/>
      <c r="E1361" s="3"/>
      <c r="F1361" s="3"/>
      <c r="G1361" s="3"/>
    </row>
    <row r="1362" spans="1:7" customFormat="1" x14ac:dyDescent="0.2">
      <c r="A1362" s="3"/>
      <c r="B1362" s="3"/>
      <c r="C1362" s="3"/>
      <c r="D1362" s="3"/>
      <c r="E1362" s="3"/>
      <c r="F1362" s="3"/>
      <c r="G1362" s="3"/>
    </row>
    <row r="1363" spans="1:7" customFormat="1" x14ac:dyDescent="0.2">
      <c r="A1363" s="3"/>
      <c r="B1363" s="3"/>
      <c r="C1363" s="3"/>
      <c r="D1363" s="3"/>
      <c r="E1363" s="3"/>
      <c r="F1363" s="3"/>
      <c r="G1363" s="3"/>
    </row>
    <row r="1364" spans="1:7" customFormat="1" x14ac:dyDescent="0.2">
      <c r="A1364" s="3"/>
      <c r="B1364" s="3"/>
      <c r="C1364" s="3"/>
      <c r="D1364" s="3"/>
      <c r="E1364" s="3"/>
      <c r="F1364" s="3"/>
      <c r="G1364" s="3"/>
    </row>
    <row r="1365" spans="1:7" customFormat="1" x14ac:dyDescent="0.2">
      <c r="A1365" s="3"/>
      <c r="B1365" s="3"/>
      <c r="C1365" s="3"/>
      <c r="D1365" s="3"/>
      <c r="E1365" s="3"/>
      <c r="F1365" s="3"/>
      <c r="G1365" s="3"/>
    </row>
    <row r="1366" spans="1:7" customFormat="1" x14ac:dyDescent="0.2">
      <c r="A1366" s="3"/>
      <c r="B1366" s="3"/>
      <c r="C1366" s="3"/>
      <c r="D1366" s="3"/>
      <c r="E1366" s="3"/>
      <c r="F1366" s="3"/>
      <c r="G1366" s="3"/>
    </row>
    <row r="1367" spans="1:7" customFormat="1" x14ac:dyDescent="0.2">
      <c r="A1367" s="3"/>
      <c r="B1367" s="3"/>
      <c r="C1367" s="3"/>
      <c r="D1367" s="3"/>
      <c r="E1367" s="3"/>
      <c r="F1367" s="3"/>
      <c r="G1367" s="3"/>
    </row>
    <row r="1368" spans="1:7" customFormat="1" x14ac:dyDescent="0.2">
      <c r="A1368" s="3"/>
      <c r="B1368" s="3"/>
      <c r="C1368" s="3"/>
      <c r="D1368" s="3"/>
      <c r="E1368" s="3"/>
      <c r="F1368" s="3"/>
      <c r="G1368" s="3"/>
    </row>
    <row r="1369" spans="1:7" customFormat="1" x14ac:dyDescent="0.2">
      <c r="A1369" s="3"/>
      <c r="B1369" s="3"/>
      <c r="C1369" s="3"/>
      <c r="D1369" s="3"/>
      <c r="E1369" s="3"/>
      <c r="F1369" s="3"/>
      <c r="G1369" s="3"/>
    </row>
    <row r="1370" spans="1:7" customFormat="1" x14ac:dyDescent="0.2">
      <c r="A1370" s="3"/>
      <c r="B1370" s="3"/>
      <c r="C1370" s="3"/>
      <c r="D1370" s="3"/>
      <c r="E1370" s="3"/>
      <c r="F1370" s="3"/>
      <c r="G1370" s="3"/>
    </row>
    <row r="1371" spans="1:7" customFormat="1" x14ac:dyDescent="0.2">
      <c r="A1371" s="3"/>
      <c r="B1371" s="3"/>
      <c r="C1371" s="3"/>
      <c r="D1371" s="3"/>
      <c r="E1371" s="3"/>
      <c r="F1371" s="3"/>
      <c r="G1371" s="3"/>
    </row>
    <row r="1372" spans="1:7" customFormat="1" x14ac:dyDescent="0.2">
      <c r="A1372" s="3"/>
      <c r="B1372" s="3"/>
      <c r="C1372" s="3"/>
      <c r="D1372" s="3"/>
      <c r="E1372" s="3"/>
      <c r="F1372" s="3"/>
      <c r="G1372" s="3"/>
    </row>
    <row r="1373" spans="1:7" customFormat="1" x14ac:dyDescent="0.2">
      <c r="A1373" s="3"/>
      <c r="B1373" s="3"/>
      <c r="C1373" s="3"/>
      <c r="D1373" s="3"/>
      <c r="E1373" s="3"/>
      <c r="F1373" s="3"/>
      <c r="G1373" s="3"/>
    </row>
    <row r="1374" spans="1:7" customFormat="1" x14ac:dyDescent="0.2">
      <c r="A1374" s="3"/>
      <c r="B1374" s="3"/>
      <c r="C1374" s="3"/>
      <c r="D1374" s="3"/>
      <c r="E1374" s="3"/>
      <c r="F1374" s="3"/>
      <c r="G1374" s="3"/>
    </row>
    <row r="1375" spans="1:7" customFormat="1" x14ac:dyDescent="0.2">
      <c r="A1375" s="3"/>
      <c r="B1375" s="3"/>
      <c r="C1375" s="3"/>
      <c r="D1375" s="3"/>
      <c r="E1375" s="3"/>
      <c r="F1375" s="3"/>
      <c r="G1375" s="3"/>
    </row>
    <row r="1376" spans="1:7" customFormat="1" x14ac:dyDescent="0.2">
      <c r="A1376" s="3"/>
      <c r="B1376" s="3"/>
      <c r="C1376" s="3"/>
      <c r="D1376" s="3"/>
      <c r="E1376" s="3"/>
      <c r="F1376" s="3"/>
      <c r="G1376" s="3"/>
    </row>
    <row r="1377" spans="1:7" customFormat="1" x14ac:dyDescent="0.2">
      <c r="A1377" s="3"/>
      <c r="B1377" s="3"/>
      <c r="C1377" s="3"/>
      <c r="D1377" s="3"/>
      <c r="E1377" s="3"/>
      <c r="F1377" s="3"/>
      <c r="G1377" s="3"/>
    </row>
    <row r="1378" spans="1:7" customFormat="1" x14ac:dyDescent="0.2">
      <c r="A1378" s="3"/>
      <c r="B1378" s="3"/>
      <c r="C1378" s="3"/>
      <c r="D1378" s="3"/>
      <c r="E1378" s="3"/>
      <c r="F1378" s="3"/>
      <c r="G1378" s="3"/>
    </row>
    <row r="1379" spans="1:7" customFormat="1" x14ac:dyDescent="0.2">
      <c r="A1379" s="3"/>
      <c r="B1379" s="3"/>
      <c r="C1379" s="3"/>
      <c r="D1379" s="3"/>
      <c r="E1379" s="3"/>
      <c r="F1379" s="3"/>
      <c r="G1379" s="3"/>
    </row>
    <row r="1380" spans="1:7" customFormat="1" x14ac:dyDescent="0.2">
      <c r="A1380" s="3"/>
      <c r="B1380" s="3"/>
      <c r="C1380" s="3"/>
      <c r="D1380" s="3"/>
      <c r="E1380" s="3"/>
      <c r="F1380" s="3"/>
      <c r="G1380" s="3"/>
    </row>
    <row r="1381" spans="1:7" customFormat="1" x14ac:dyDescent="0.2">
      <c r="A1381" s="3"/>
      <c r="B1381" s="3"/>
      <c r="C1381" s="3"/>
      <c r="D1381" s="3"/>
      <c r="E1381" s="3"/>
      <c r="F1381" s="3"/>
      <c r="G1381" s="3"/>
    </row>
    <row r="1382" spans="1:7" customFormat="1" x14ac:dyDescent="0.2">
      <c r="A1382" s="3"/>
      <c r="B1382" s="3"/>
      <c r="C1382" s="3"/>
      <c r="D1382" s="3"/>
      <c r="E1382" s="3"/>
      <c r="F1382" s="3"/>
      <c r="G1382" s="3"/>
    </row>
    <row r="1383" spans="1:7" customFormat="1" x14ac:dyDescent="0.2">
      <c r="A1383" s="3"/>
      <c r="B1383" s="3"/>
      <c r="C1383" s="3"/>
      <c r="D1383" s="3"/>
      <c r="E1383" s="3"/>
      <c r="F1383" s="3"/>
      <c r="G1383" s="3"/>
    </row>
    <row r="1384" spans="1:7" customFormat="1" x14ac:dyDescent="0.2">
      <c r="A1384" s="3"/>
      <c r="B1384" s="3"/>
      <c r="C1384" s="3"/>
      <c r="D1384" s="3"/>
      <c r="E1384" s="3"/>
      <c r="F1384" s="3"/>
      <c r="G1384" s="3"/>
    </row>
    <row r="1385" spans="1:7" customFormat="1" x14ac:dyDescent="0.2">
      <c r="A1385" s="3"/>
      <c r="B1385" s="3"/>
      <c r="C1385" s="3"/>
      <c r="D1385" s="3"/>
      <c r="E1385" s="3"/>
      <c r="F1385" s="3"/>
      <c r="G1385" s="3"/>
    </row>
    <row r="1386" spans="1:7" customFormat="1" x14ac:dyDescent="0.2">
      <c r="A1386" s="3"/>
      <c r="B1386" s="3"/>
      <c r="C1386" s="3"/>
      <c r="D1386" s="3"/>
      <c r="E1386" s="3"/>
      <c r="F1386" s="3"/>
      <c r="G1386" s="3"/>
    </row>
    <row r="1387" spans="1:7" customFormat="1" x14ac:dyDescent="0.2">
      <c r="A1387" s="3"/>
      <c r="B1387" s="3"/>
      <c r="C1387" s="3"/>
      <c r="D1387" s="3"/>
      <c r="E1387" s="3"/>
      <c r="F1387" s="3"/>
      <c r="G1387" s="3"/>
    </row>
    <row r="1388" spans="1:7" customFormat="1" x14ac:dyDescent="0.2">
      <c r="A1388" s="3"/>
      <c r="B1388" s="3"/>
      <c r="C1388" s="3"/>
      <c r="D1388" s="3"/>
      <c r="E1388" s="3"/>
      <c r="F1388" s="3"/>
      <c r="G1388" s="3"/>
    </row>
    <row r="1389" spans="1:7" customFormat="1" x14ac:dyDescent="0.2">
      <c r="A1389" s="3"/>
      <c r="B1389" s="3"/>
      <c r="C1389" s="3"/>
      <c r="D1389" s="3"/>
      <c r="E1389" s="3"/>
      <c r="F1389" s="3"/>
      <c r="G1389" s="3"/>
    </row>
    <row r="1390" spans="1:7" customFormat="1" x14ac:dyDescent="0.2">
      <c r="A1390" s="3"/>
      <c r="B1390" s="3"/>
      <c r="C1390" s="3"/>
      <c r="D1390" s="3"/>
      <c r="E1390" s="3"/>
      <c r="F1390" s="3"/>
      <c r="G1390" s="3"/>
    </row>
    <row r="1391" spans="1:7" customFormat="1" x14ac:dyDescent="0.2">
      <c r="A1391" s="3"/>
      <c r="B1391" s="3"/>
      <c r="C1391" s="3"/>
      <c r="D1391" s="3"/>
      <c r="E1391" s="3"/>
      <c r="F1391" s="3"/>
      <c r="G1391" s="3"/>
    </row>
    <row r="1392" spans="1:7" customFormat="1" x14ac:dyDescent="0.2">
      <c r="A1392" s="3"/>
      <c r="B1392" s="3"/>
      <c r="C1392" s="3"/>
      <c r="D1392" s="3"/>
      <c r="E1392" s="3"/>
      <c r="F1392" s="3"/>
      <c r="G1392" s="3"/>
    </row>
    <row r="1393" spans="1:7" customFormat="1" x14ac:dyDescent="0.2">
      <c r="A1393" s="3"/>
      <c r="B1393" s="3"/>
      <c r="C1393" s="3"/>
      <c r="D1393" s="3"/>
      <c r="E1393" s="3"/>
      <c r="F1393" s="3"/>
      <c r="G1393" s="3"/>
    </row>
    <row r="1394" spans="1:7" customFormat="1" x14ac:dyDescent="0.2">
      <c r="A1394" s="3"/>
      <c r="B1394" s="3"/>
      <c r="C1394" s="3"/>
      <c r="D1394" s="3"/>
      <c r="E1394" s="3"/>
      <c r="F1394" s="3"/>
      <c r="G1394" s="3"/>
    </row>
    <row r="1395" spans="1:7" customFormat="1" x14ac:dyDescent="0.2">
      <c r="A1395" s="3"/>
      <c r="B1395" s="3"/>
      <c r="C1395" s="3"/>
      <c r="D1395" s="3"/>
      <c r="E1395" s="3"/>
      <c r="F1395" s="3"/>
      <c r="G1395" s="3"/>
    </row>
    <row r="1396" spans="1:7" customFormat="1" x14ac:dyDescent="0.2">
      <c r="A1396" s="3"/>
      <c r="B1396" s="3"/>
      <c r="C1396" s="3"/>
      <c r="D1396" s="3"/>
      <c r="E1396" s="3"/>
      <c r="F1396" s="3"/>
      <c r="G1396" s="3"/>
    </row>
    <row r="1397" spans="1:7" customFormat="1" x14ac:dyDescent="0.2">
      <c r="A1397" s="3"/>
      <c r="B1397" s="3"/>
      <c r="C1397" s="3"/>
      <c r="D1397" s="3"/>
      <c r="E1397" s="3"/>
      <c r="F1397" s="3"/>
      <c r="G1397" s="3"/>
    </row>
    <row r="1398" spans="1:7" customFormat="1" x14ac:dyDescent="0.2">
      <c r="A1398" s="3"/>
      <c r="B1398" s="3"/>
      <c r="C1398" s="3"/>
      <c r="D1398" s="3"/>
      <c r="E1398" s="3"/>
      <c r="F1398" s="3"/>
      <c r="G1398" s="3"/>
    </row>
    <row r="1399" spans="1:7" customFormat="1" x14ac:dyDescent="0.2">
      <c r="A1399" s="3"/>
      <c r="B1399" s="3"/>
      <c r="C1399" s="3"/>
      <c r="D1399" s="3"/>
      <c r="E1399" s="3"/>
      <c r="F1399" s="3"/>
      <c r="G1399" s="3"/>
    </row>
    <row r="1400" spans="1:7" customFormat="1" x14ac:dyDescent="0.2">
      <c r="A1400" s="3"/>
      <c r="B1400" s="3"/>
      <c r="C1400" s="3"/>
      <c r="D1400" s="3"/>
      <c r="E1400" s="3"/>
      <c r="F1400" s="3"/>
      <c r="G1400" s="3"/>
    </row>
    <row r="1401" spans="1:7" customFormat="1" x14ac:dyDescent="0.2">
      <c r="A1401" s="3"/>
      <c r="B1401" s="3"/>
      <c r="C1401" s="3"/>
      <c r="D1401" s="3"/>
      <c r="E1401" s="3"/>
      <c r="F1401" s="3"/>
      <c r="G1401" s="3"/>
    </row>
    <row r="1402" spans="1:7" customFormat="1" x14ac:dyDescent="0.2">
      <c r="A1402" s="3"/>
      <c r="B1402" s="3"/>
      <c r="C1402" s="3"/>
      <c r="D1402" s="3"/>
      <c r="E1402" s="3"/>
      <c r="F1402" s="3"/>
      <c r="G1402" s="3"/>
    </row>
    <row r="1403" spans="1:7" customFormat="1" x14ac:dyDescent="0.2">
      <c r="A1403" s="3"/>
      <c r="B1403" s="3"/>
      <c r="C1403" s="3"/>
      <c r="D1403" s="3"/>
      <c r="E1403" s="3"/>
      <c r="F1403" s="3"/>
      <c r="G1403" s="3"/>
    </row>
    <row r="1404" spans="1:7" customFormat="1" x14ac:dyDescent="0.2">
      <c r="A1404" s="3"/>
      <c r="B1404" s="3"/>
      <c r="C1404" s="3"/>
      <c r="D1404" s="3"/>
      <c r="E1404" s="3"/>
      <c r="F1404" s="3"/>
      <c r="G1404" s="3"/>
    </row>
    <row r="1405" spans="1:7" customFormat="1" x14ac:dyDescent="0.2">
      <c r="A1405" s="3"/>
      <c r="B1405" s="3"/>
      <c r="C1405" s="3"/>
      <c r="D1405" s="3"/>
      <c r="E1405" s="3"/>
      <c r="F1405" s="3"/>
      <c r="G1405" s="3"/>
    </row>
    <row r="1406" spans="1:7" customFormat="1" x14ac:dyDescent="0.2">
      <c r="A1406" s="3"/>
      <c r="B1406" s="3"/>
      <c r="C1406" s="3"/>
      <c r="D1406" s="3"/>
      <c r="E1406" s="3"/>
      <c r="F1406" s="3"/>
      <c r="G1406" s="3"/>
    </row>
    <row r="1407" spans="1:7" customFormat="1" x14ac:dyDescent="0.2">
      <c r="A1407" s="3"/>
      <c r="B1407" s="3"/>
      <c r="C1407" s="3"/>
      <c r="D1407" s="3"/>
      <c r="E1407" s="3"/>
      <c r="F1407" s="3"/>
      <c r="G1407" s="3"/>
    </row>
    <row r="1408" spans="1:7" customFormat="1" x14ac:dyDescent="0.2">
      <c r="A1408" s="3"/>
      <c r="B1408" s="3"/>
      <c r="C1408" s="3"/>
      <c r="D1408" s="3"/>
      <c r="E1408" s="3"/>
      <c r="F1408" s="3"/>
      <c r="G1408" s="3"/>
    </row>
    <row r="1409" spans="1:7" customFormat="1" x14ac:dyDescent="0.2">
      <c r="A1409" s="3"/>
      <c r="B1409" s="3"/>
      <c r="C1409" s="3"/>
      <c r="D1409" s="3"/>
      <c r="E1409" s="3"/>
      <c r="F1409" s="3"/>
      <c r="G1409" s="3"/>
    </row>
    <row r="1410" spans="1:7" customFormat="1" x14ac:dyDescent="0.2">
      <c r="A1410" s="3"/>
      <c r="B1410" s="3"/>
      <c r="C1410" s="3"/>
      <c r="D1410" s="3"/>
      <c r="E1410" s="3"/>
      <c r="F1410" s="3"/>
      <c r="G1410" s="3"/>
    </row>
    <row r="1411" spans="1:7" customFormat="1" x14ac:dyDescent="0.2">
      <c r="A1411" s="3"/>
      <c r="B1411" s="3"/>
      <c r="C1411" s="3"/>
      <c r="D1411" s="3"/>
      <c r="E1411" s="3"/>
      <c r="F1411" s="3"/>
      <c r="G1411" s="3"/>
    </row>
    <row r="1412" spans="1:7" customFormat="1" x14ac:dyDescent="0.2">
      <c r="A1412" s="3"/>
      <c r="B1412" s="3"/>
      <c r="C1412" s="3"/>
      <c r="D1412" s="3"/>
      <c r="E1412" s="3"/>
      <c r="F1412" s="3"/>
      <c r="G1412" s="3"/>
    </row>
    <row r="1413" spans="1:7" customFormat="1" x14ac:dyDescent="0.2">
      <c r="A1413" s="3"/>
      <c r="B1413" s="3"/>
      <c r="C1413" s="3"/>
      <c r="D1413" s="3"/>
      <c r="E1413" s="3"/>
      <c r="F1413" s="3"/>
      <c r="G1413" s="3"/>
    </row>
    <row r="1414" spans="1:7" customFormat="1" x14ac:dyDescent="0.2">
      <c r="A1414" s="3"/>
      <c r="B1414" s="3"/>
      <c r="C1414" s="3"/>
      <c r="D1414" s="3"/>
      <c r="E1414" s="3"/>
      <c r="F1414" s="3"/>
      <c r="G1414" s="3"/>
    </row>
    <row r="1415" spans="1:7" customFormat="1" x14ac:dyDescent="0.2">
      <c r="A1415" s="3"/>
      <c r="B1415" s="3"/>
      <c r="C1415" s="3"/>
      <c r="D1415" s="3"/>
      <c r="E1415" s="3"/>
      <c r="F1415" s="3"/>
      <c r="G1415" s="3"/>
    </row>
    <row r="1416" spans="1:7" customFormat="1" x14ac:dyDescent="0.2">
      <c r="A1416" s="3"/>
      <c r="B1416" s="3"/>
      <c r="C1416" s="3"/>
      <c r="D1416" s="3"/>
      <c r="E1416" s="3"/>
      <c r="F1416" s="3"/>
      <c r="G1416" s="3"/>
    </row>
    <row r="1417" spans="1:7" customFormat="1" x14ac:dyDescent="0.2">
      <c r="A1417" s="3"/>
      <c r="B1417" s="3"/>
      <c r="C1417" s="3"/>
      <c r="D1417" s="3"/>
      <c r="E1417" s="3"/>
      <c r="F1417" s="3"/>
      <c r="G1417" s="3"/>
    </row>
    <row r="1418" spans="1:7" customFormat="1" x14ac:dyDescent="0.2">
      <c r="A1418" s="3"/>
      <c r="B1418" s="3"/>
      <c r="C1418" s="3"/>
      <c r="D1418" s="3"/>
      <c r="E1418" s="3"/>
      <c r="F1418" s="3"/>
      <c r="G1418" s="3"/>
    </row>
    <row r="1419" spans="1:7" customFormat="1" x14ac:dyDescent="0.2">
      <c r="A1419" s="3"/>
      <c r="B1419" s="3"/>
      <c r="C1419" s="3"/>
      <c r="D1419" s="3"/>
      <c r="E1419" s="3"/>
      <c r="F1419" s="3"/>
      <c r="G1419" s="3"/>
    </row>
    <row r="1420" spans="1:7" customFormat="1" x14ac:dyDescent="0.2">
      <c r="A1420" s="3"/>
      <c r="B1420" s="3"/>
      <c r="C1420" s="3"/>
      <c r="D1420" s="3"/>
      <c r="E1420" s="3"/>
      <c r="F1420" s="3"/>
      <c r="G1420" s="3"/>
    </row>
    <row r="1421" spans="1:7" customFormat="1" x14ac:dyDescent="0.2">
      <c r="A1421" s="3"/>
      <c r="B1421" s="3"/>
      <c r="C1421" s="3"/>
      <c r="D1421" s="3"/>
      <c r="E1421" s="3"/>
      <c r="F1421" s="3"/>
      <c r="G1421" s="3"/>
    </row>
    <row r="1422" spans="1:7" customFormat="1" x14ac:dyDescent="0.2">
      <c r="A1422" s="3"/>
      <c r="B1422" s="3"/>
      <c r="C1422" s="3"/>
      <c r="D1422" s="3"/>
      <c r="E1422" s="3"/>
      <c r="F1422" s="3"/>
      <c r="G1422" s="3"/>
    </row>
    <row r="1423" spans="1:7" customFormat="1" x14ac:dyDescent="0.2">
      <c r="A1423" s="3"/>
      <c r="B1423" s="3"/>
      <c r="C1423" s="3"/>
      <c r="D1423" s="3"/>
      <c r="E1423" s="3"/>
      <c r="F1423" s="3"/>
      <c r="G1423" s="3"/>
    </row>
    <row r="1424" spans="1:7" customFormat="1" x14ac:dyDescent="0.2">
      <c r="A1424" s="3"/>
      <c r="B1424" s="3"/>
      <c r="C1424" s="3"/>
      <c r="D1424" s="3"/>
      <c r="E1424" s="3"/>
      <c r="F1424" s="3"/>
      <c r="G1424" s="3"/>
    </row>
    <row r="1425" spans="1:7" customFormat="1" x14ac:dyDescent="0.2">
      <c r="A1425" s="3"/>
      <c r="B1425" s="3"/>
      <c r="C1425" s="3"/>
      <c r="D1425" s="3"/>
      <c r="E1425" s="3"/>
      <c r="F1425" s="3"/>
      <c r="G1425" s="3"/>
    </row>
    <row r="1426" spans="1:7" customFormat="1" x14ac:dyDescent="0.2">
      <c r="A1426" s="3"/>
      <c r="B1426" s="3"/>
      <c r="C1426" s="3"/>
      <c r="D1426" s="3"/>
      <c r="E1426" s="3"/>
      <c r="F1426" s="3"/>
      <c r="G1426" s="3"/>
    </row>
    <row r="1427" spans="1:7" customFormat="1" x14ac:dyDescent="0.2">
      <c r="A1427" s="3"/>
      <c r="B1427" s="3"/>
      <c r="C1427" s="3"/>
      <c r="D1427" s="3"/>
      <c r="E1427" s="3"/>
      <c r="F1427" s="3"/>
      <c r="G1427" s="3"/>
    </row>
    <row r="1428" spans="1:7" customFormat="1" x14ac:dyDescent="0.2">
      <c r="A1428" s="3"/>
      <c r="B1428" s="3"/>
      <c r="C1428" s="3"/>
      <c r="D1428" s="3"/>
      <c r="E1428" s="3"/>
      <c r="F1428" s="3"/>
      <c r="G1428" s="3"/>
    </row>
    <row r="1429" spans="1:7" customFormat="1" x14ac:dyDescent="0.2">
      <c r="A1429" s="3"/>
      <c r="B1429" s="3"/>
      <c r="C1429" s="3"/>
      <c r="D1429" s="3"/>
      <c r="E1429" s="3"/>
      <c r="F1429" s="3"/>
      <c r="G1429" s="3"/>
    </row>
    <row r="1430" spans="1:7" customFormat="1" x14ac:dyDescent="0.2">
      <c r="A1430" s="3"/>
      <c r="B1430" s="3"/>
      <c r="C1430" s="3"/>
      <c r="D1430" s="3"/>
      <c r="E1430" s="3"/>
      <c r="F1430" s="3"/>
      <c r="G1430" s="3"/>
    </row>
    <row r="1431" spans="1:7" customFormat="1" x14ac:dyDescent="0.2">
      <c r="A1431" s="3"/>
      <c r="B1431" s="3"/>
      <c r="C1431" s="3"/>
      <c r="D1431" s="3"/>
      <c r="E1431" s="3"/>
      <c r="F1431" s="3"/>
      <c r="G1431" s="3"/>
    </row>
    <row r="1432" spans="1:7" customFormat="1" x14ac:dyDescent="0.2">
      <c r="A1432" s="3"/>
      <c r="B1432" s="3"/>
      <c r="C1432" s="3"/>
      <c r="D1432" s="3"/>
      <c r="E1432" s="3"/>
      <c r="F1432" s="3"/>
      <c r="G1432" s="3"/>
    </row>
    <row r="1433" spans="1:7" customFormat="1" x14ac:dyDescent="0.2">
      <c r="A1433" s="3"/>
      <c r="B1433" s="3"/>
      <c r="C1433" s="3"/>
      <c r="D1433" s="3"/>
      <c r="E1433" s="3"/>
      <c r="F1433" s="3"/>
      <c r="G1433" s="3"/>
    </row>
    <row r="1434" spans="1:7" customFormat="1" x14ac:dyDescent="0.2">
      <c r="A1434" s="3"/>
      <c r="B1434" s="3"/>
      <c r="C1434" s="3"/>
      <c r="D1434" s="3"/>
      <c r="E1434" s="3"/>
      <c r="F1434" s="3"/>
      <c r="G1434" s="3"/>
    </row>
    <row r="1435" spans="1:7" customFormat="1" x14ac:dyDescent="0.2">
      <c r="A1435" s="3"/>
      <c r="B1435" s="3"/>
      <c r="C1435" s="3"/>
      <c r="D1435" s="3"/>
      <c r="E1435" s="3"/>
      <c r="F1435" s="3"/>
      <c r="G1435" s="3"/>
    </row>
    <row r="1436" spans="1:7" customFormat="1" x14ac:dyDescent="0.2">
      <c r="A1436" s="3"/>
      <c r="B1436" s="3"/>
      <c r="C1436" s="3"/>
      <c r="D1436" s="3"/>
      <c r="E1436" s="3"/>
      <c r="F1436" s="3"/>
      <c r="G1436" s="3"/>
    </row>
    <row r="1437" spans="1:7" customFormat="1" x14ac:dyDescent="0.2">
      <c r="A1437" s="3"/>
      <c r="B1437" s="3"/>
      <c r="C1437" s="3"/>
      <c r="D1437" s="3"/>
      <c r="E1437" s="3"/>
      <c r="F1437" s="3"/>
      <c r="G1437" s="3"/>
    </row>
    <row r="1438" spans="1:7" customFormat="1" x14ac:dyDescent="0.2">
      <c r="A1438" s="3"/>
      <c r="B1438" s="3"/>
      <c r="C1438" s="3"/>
      <c r="D1438" s="3"/>
      <c r="E1438" s="3"/>
      <c r="F1438" s="3"/>
      <c r="G1438" s="3"/>
    </row>
    <row r="1439" spans="1:7" customFormat="1" x14ac:dyDescent="0.2">
      <c r="A1439" s="3"/>
      <c r="B1439" s="3"/>
      <c r="C1439" s="3"/>
      <c r="D1439" s="3"/>
      <c r="E1439" s="3"/>
      <c r="F1439" s="3"/>
      <c r="G1439" s="3"/>
    </row>
    <row r="1440" spans="1:7" customFormat="1" x14ac:dyDescent="0.2">
      <c r="A1440" s="3"/>
      <c r="B1440" s="3"/>
      <c r="C1440" s="3"/>
      <c r="D1440" s="3"/>
      <c r="E1440" s="3"/>
      <c r="F1440" s="3"/>
      <c r="G1440" s="3"/>
    </row>
    <row r="1441" spans="1:7" customFormat="1" x14ac:dyDescent="0.2">
      <c r="A1441" s="3"/>
      <c r="B1441" s="3"/>
      <c r="C1441" s="3"/>
      <c r="D1441" s="3"/>
      <c r="E1441" s="3"/>
      <c r="F1441" s="3"/>
      <c r="G1441" s="3"/>
    </row>
    <row r="1442" spans="1:7" customFormat="1" x14ac:dyDescent="0.2">
      <c r="A1442" s="3"/>
      <c r="B1442" s="3"/>
      <c r="C1442" s="3"/>
      <c r="D1442" s="3"/>
      <c r="E1442" s="3"/>
      <c r="F1442" s="3"/>
      <c r="G1442" s="3"/>
    </row>
    <row r="1443" spans="1:7" customFormat="1" x14ac:dyDescent="0.2">
      <c r="A1443" s="3"/>
      <c r="B1443" s="3"/>
      <c r="C1443" s="3"/>
      <c r="D1443" s="3"/>
      <c r="E1443" s="3"/>
      <c r="F1443" s="3"/>
      <c r="G1443" s="3"/>
    </row>
    <row r="1444" spans="1:7" customFormat="1" x14ac:dyDescent="0.2">
      <c r="A1444" s="3"/>
      <c r="B1444" s="3"/>
      <c r="C1444" s="3"/>
      <c r="D1444" s="3"/>
      <c r="E1444" s="3"/>
      <c r="F1444" s="3"/>
      <c r="G1444" s="3"/>
    </row>
    <row r="1445" spans="1:7" customFormat="1" x14ac:dyDescent="0.2">
      <c r="A1445" s="3"/>
      <c r="B1445" s="3"/>
      <c r="C1445" s="3"/>
      <c r="D1445" s="3"/>
      <c r="E1445" s="3"/>
      <c r="F1445" s="3"/>
      <c r="G1445" s="3"/>
    </row>
    <row r="1446" spans="1:7" customFormat="1" x14ac:dyDescent="0.2">
      <c r="A1446" s="3"/>
      <c r="B1446" s="3"/>
      <c r="C1446" s="3"/>
      <c r="D1446" s="3"/>
      <c r="E1446" s="3"/>
      <c r="F1446" s="3"/>
      <c r="G1446" s="3"/>
    </row>
    <row r="1447" spans="1:7" customFormat="1" x14ac:dyDescent="0.2">
      <c r="A1447" s="3"/>
      <c r="B1447" s="3"/>
      <c r="C1447" s="3"/>
      <c r="D1447" s="3"/>
      <c r="E1447" s="3"/>
      <c r="F1447" s="3"/>
      <c r="G1447" s="3"/>
    </row>
    <row r="1448" spans="1:7" customFormat="1" x14ac:dyDescent="0.2">
      <c r="A1448" s="3"/>
      <c r="B1448" s="3"/>
      <c r="C1448" s="3"/>
      <c r="D1448" s="3"/>
      <c r="E1448" s="3"/>
      <c r="F1448" s="3"/>
      <c r="G1448" s="3"/>
    </row>
    <row r="1449" spans="1:7" customFormat="1" x14ac:dyDescent="0.2">
      <c r="A1449" s="3"/>
      <c r="B1449" s="3"/>
      <c r="C1449" s="3"/>
      <c r="D1449" s="3"/>
      <c r="E1449" s="3"/>
      <c r="F1449" s="3"/>
      <c r="G1449" s="3"/>
    </row>
    <row r="1450" spans="1:7" customFormat="1" x14ac:dyDescent="0.2">
      <c r="A1450" s="3"/>
      <c r="B1450" s="3"/>
      <c r="C1450" s="3"/>
      <c r="D1450" s="3"/>
      <c r="E1450" s="3"/>
      <c r="F1450" s="3"/>
      <c r="G1450" s="3"/>
    </row>
    <row r="1451" spans="1:7" customFormat="1" x14ac:dyDescent="0.2">
      <c r="A1451" s="3"/>
      <c r="B1451" s="3"/>
      <c r="C1451" s="3"/>
      <c r="D1451" s="3"/>
      <c r="E1451" s="3"/>
      <c r="F1451" s="3"/>
      <c r="G1451" s="3"/>
    </row>
    <row r="1452" spans="1:7" customFormat="1" x14ac:dyDescent="0.2">
      <c r="A1452" s="3"/>
      <c r="B1452" s="3"/>
      <c r="C1452" s="3"/>
      <c r="D1452" s="3"/>
      <c r="E1452" s="3"/>
      <c r="F1452" s="3"/>
      <c r="G1452" s="3"/>
    </row>
    <row r="1453" spans="1:7" customFormat="1" x14ac:dyDescent="0.2">
      <c r="A1453" s="3"/>
      <c r="B1453" s="3"/>
      <c r="C1453" s="3"/>
      <c r="D1453" s="3"/>
      <c r="E1453" s="3"/>
      <c r="F1453" s="3"/>
      <c r="G1453" s="3"/>
    </row>
    <row r="1454" spans="1:7" customFormat="1" x14ac:dyDescent="0.2">
      <c r="A1454" s="3"/>
      <c r="B1454" s="3"/>
      <c r="C1454" s="3"/>
      <c r="D1454" s="3"/>
      <c r="E1454" s="3"/>
      <c r="F1454" s="3"/>
      <c r="G1454" s="3"/>
    </row>
    <row r="1455" spans="1:7" customFormat="1" x14ac:dyDescent="0.2">
      <c r="A1455" s="3"/>
      <c r="B1455" s="3"/>
      <c r="C1455" s="3"/>
      <c r="D1455" s="3"/>
      <c r="E1455" s="3"/>
      <c r="F1455" s="3"/>
      <c r="G1455" s="3"/>
    </row>
    <row r="1456" spans="1:7" customFormat="1" x14ac:dyDescent="0.2">
      <c r="A1456" s="3"/>
      <c r="B1456" s="3"/>
      <c r="C1456" s="3"/>
      <c r="D1456" s="3"/>
      <c r="E1456" s="3"/>
      <c r="F1456" s="3"/>
      <c r="G1456" s="3"/>
    </row>
    <row r="1457" spans="1:7" customFormat="1" x14ac:dyDescent="0.2">
      <c r="A1457" s="3"/>
      <c r="B1457" s="3"/>
      <c r="C1457" s="3"/>
      <c r="D1457" s="3"/>
      <c r="E1457" s="3"/>
      <c r="F1457" s="3"/>
      <c r="G1457" s="3"/>
    </row>
    <row r="1458" spans="1:7" customFormat="1" x14ac:dyDescent="0.2">
      <c r="A1458" s="3"/>
      <c r="B1458" s="3"/>
      <c r="C1458" s="3"/>
      <c r="D1458" s="3"/>
      <c r="E1458" s="3"/>
      <c r="F1458" s="3"/>
      <c r="G1458" s="3"/>
    </row>
    <row r="1459" spans="1:7" customFormat="1" x14ac:dyDescent="0.2">
      <c r="A1459" s="3"/>
      <c r="B1459" s="3"/>
      <c r="C1459" s="3"/>
      <c r="D1459" s="3"/>
      <c r="E1459" s="3"/>
      <c r="F1459" s="3"/>
      <c r="G1459" s="3"/>
    </row>
    <row r="1460" spans="1:7" customFormat="1" x14ac:dyDescent="0.2">
      <c r="A1460" s="3"/>
      <c r="B1460" s="3"/>
      <c r="C1460" s="3"/>
      <c r="D1460" s="3"/>
      <c r="E1460" s="3"/>
      <c r="F1460" s="3"/>
      <c r="G1460" s="3"/>
    </row>
    <row r="1461" spans="1:7" customFormat="1" x14ac:dyDescent="0.2">
      <c r="A1461" s="3"/>
      <c r="B1461" s="3"/>
      <c r="C1461" s="3"/>
      <c r="D1461" s="3"/>
      <c r="E1461" s="3"/>
      <c r="F1461" s="3"/>
      <c r="G1461" s="3"/>
    </row>
    <row r="1462" spans="1:7" customFormat="1" x14ac:dyDescent="0.2">
      <c r="A1462" s="3"/>
      <c r="B1462" s="3"/>
      <c r="C1462" s="3"/>
      <c r="D1462" s="3"/>
      <c r="E1462" s="3"/>
      <c r="F1462" s="3"/>
      <c r="G1462" s="3"/>
    </row>
    <row r="1463" spans="1:7" customFormat="1" x14ac:dyDescent="0.2">
      <c r="A1463" s="3"/>
      <c r="B1463" s="3"/>
      <c r="C1463" s="3"/>
      <c r="D1463" s="3"/>
      <c r="E1463" s="3"/>
      <c r="F1463" s="3"/>
      <c r="G1463" s="3"/>
    </row>
    <row r="1464" spans="1:7" customFormat="1" x14ac:dyDescent="0.2">
      <c r="A1464" s="3"/>
      <c r="B1464" s="3"/>
      <c r="C1464" s="3"/>
      <c r="D1464" s="3"/>
      <c r="E1464" s="3"/>
      <c r="F1464" s="3"/>
      <c r="G1464" s="3"/>
    </row>
    <row r="1465" spans="1:7" customFormat="1" x14ac:dyDescent="0.2">
      <c r="A1465" s="3"/>
      <c r="B1465" s="3"/>
      <c r="C1465" s="3"/>
      <c r="D1465" s="3"/>
      <c r="E1465" s="3"/>
      <c r="F1465" s="3"/>
      <c r="G1465" s="3"/>
    </row>
    <row r="1466" spans="1:7" customFormat="1" x14ac:dyDescent="0.2">
      <c r="A1466" s="3"/>
      <c r="B1466" s="3"/>
      <c r="C1466" s="3"/>
      <c r="D1466" s="3"/>
      <c r="E1466" s="3"/>
      <c r="F1466" s="3"/>
      <c r="G1466" s="3"/>
    </row>
    <row r="1467" spans="1:7" customFormat="1" x14ac:dyDescent="0.2">
      <c r="A1467" s="3"/>
      <c r="B1467" s="3"/>
      <c r="C1467" s="3"/>
      <c r="D1467" s="3"/>
      <c r="E1467" s="3"/>
      <c r="F1467" s="3"/>
      <c r="G1467" s="3"/>
    </row>
    <row r="1468" spans="1:7" customFormat="1" x14ac:dyDescent="0.2">
      <c r="A1468" s="3"/>
      <c r="B1468" s="3"/>
      <c r="C1468" s="3"/>
      <c r="D1468" s="3"/>
      <c r="E1468" s="3"/>
      <c r="F1468" s="3"/>
      <c r="G1468" s="3"/>
    </row>
    <row r="1469" spans="1:7" customFormat="1" x14ac:dyDescent="0.2">
      <c r="A1469" s="3"/>
      <c r="B1469" s="3"/>
      <c r="C1469" s="3"/>
      <c r="D1469" s="3"/>
      <c r="E1469" s="3"/>
      <c r="F1469" s="3"/>
      <c r="G1469" s="3"/>
    </row>
    <row r="1470" spans="1:7" customFormat="1" x14ac:dyDescent="0.2">
      <c r="A1470" s="3"/>
      <c r="B1470" s="3"/>
      <c r="C1470" s="3"/>
      <c r="D1470" s="3"/>
      <c r="E1470" s="3"/>
      <c r="F1470" s="3"/>
      <c r="G1470" s="3"/>
    </row>
    <row r="1471" spans="1:7" customFormat="1" x14ac:dyDescent="0.2">
      <c r="A1471" s="3"/>
      <c r="B1471" s="3"/>
      <c r="C1471" s="3"/>
      <c r="D1471" s="3"/>
      <c r="E1471" s="3"/>
      <c r="F1471" s="3"/>
      <c r="G1471" s="3"/>
    </row>
    <row r="1472" spans="1:7" customFormat="1" x14ac:dyDescent="0.2">
      <c r="A1472" s="3"/>
      <c r="B1472" s="3"/>
      <c r="C1472" s="3"/>
      <c r="D1472" s="3"/>
      <c r="E1472" s="3"/>
      <c r="F1472" s="3"/>
      <c r="G1472" s="3"/>
    </row>
    <row r="1473" spans="1:7" customFormat="1" x14ac:dyDescent="0.2">
      <c r="A1473" s="3"/>
      <c r="B1473" s="3"/>
      <c r="C1473" s="3"/>
      <c r="D1473" s="3"/>
      <c r="E1473" s="3"/>
      <c r="F1473" s="3"/>
      <c r="G1473" s="3"/>
    </row>
    <row r="1474" spans="1:7" customFormat="1" x14ac:dyDescent="0.2">
      <c r="A1474" s="3"/>
      <c r="B1474" s="3"/>
      <c r="C1474" s="3"/>
      <c r="D1474" s="3"/>
      <c r="E1474" s="3"/>
      <c r="F1474" s="3"/>
      <c r="G1474" s="3"/>
    </row>
    <row r="1475" spans="1:7" customFormat="1" x14ac:dyDescent="0.2">
      <c r="A1475" s="3"/>
      <c r="B1475" s="3"/>
      <c r="C1475" s="3"/>
      <c r="D1475" s="3"/>
      <c r="E1475" s="3"/>
      <c r="F1475" s="3"/>
      <c r="G1475" s="3"/>
    </row>
    <row r="1476" spans="1:7" customFormat="1" x14ac:dyDescent="0.2">
      <c r="A1476" s="3"/>
      <c r="B1476" s="3"/>
      <c r="C1476" s="3"/>
      <c r="D1476" s="3"/>
      <c r="E1476" s="3"/>
      <c r="F1476" s="3"/>
      <c r="G1476" s="3"/>
    </row>
    <row r="1477" spans="1:7" customFormat="1" x14ac:dyDescent="0.2">
      <c r="A1477" s="3"/>
      <c r="B1477" s="3"/>
      <c r="C1477" s="3"/>
      <c r="D1477" s="3"/>
      <c r="E1477" s="3"/>
      <c r="F1477" s="3"/>
      <c r="G1477" s="3"/>
    </row>
    <row r="1478" spans="1:7" customFormat="1" x14ac:dyDescent="0.2">
      <c r="A1478" s="3"/>
      <c r="B1478" s="3"/>
      <c r="C1478" s="3"/>
      <c r="D1478" s="3"/>
      <c r="E1478" s="3"/>
      <c r="F1478" s="3"/>
      <c r="G1478" s="3"/>
    </row>
    <row r="1479" spans="1:7" customFormat="1" x14ac:dyDescent="0.2">
      <c r="A1479" s="3"/>
      <c r="B1479" s="3"/>
      <c r="C1479" s="3"/>
      <c r="D1479" s="3"/>
      <c r="E1479" s="3"/>
      <c r="F1479" s="3"/>
      <c r="G1479" s="3"/>
    </row>
    <row r="1480" spans="1:7" customFormat="1" x14ac:dyDescent="0.2">
      <c r="A1480" s="3"/>
      <c r="B1480" s="3"/>
      <c r="C1480" s="3"/>
      <c r="D1480" s="3"/>
      <c r="E1480" s="3"/>
      <c r="F1480" s="3"/>
      <c r="G1480" s="3"/>
    </row>
    <row r="1481" spans="1:7" customFormat="1" x14ac:dyDescent="0.2">
      <c r="A1481" s="3"/>
      <c r="B1481" s="3"/>
      <c r="C1481" s="3"/>
      <c r="D1481" s="3"/>
      <c r="E1481" s="3"/>
      <c r="F1481" s="3"/>
      <c r="G1481" s="3"/>
    </row>
    <row r="1482" spans="1:7" customFormat="1" x14ac:dyDescent="0.2">
      <c r="A1482" s="3"/>
      <c r="B1482" s="3"/>
      <c r="C1482" s="3"/>
      <c r="D1482" s="3"/>
      <c r="E1482" s="3"/>
      <c r="F1482" s="3"/>
      <c r="G1482" s="3"/>
    </row>
    <row r="1483" spans="1:7" customFormat="1" x14ac:dyDescent="0.2">
      <c r="A1483" s="3"/>
      <c r="B1483" s="3"/>
      <c r="C1483" s="3"/>
      <c r="D1483" s="3"/>
      <c r="E1483" s="3"/>
      <c r="F1483" s="3"/>
      <c r="G1483" s="3"/>
    </row>
    <row r="1484" spans="1:7" customFormat="1" x14ac:dyDescent="0.2">
      <c r="A1484" s="3"/>
      <c r="B1484" s="3"/>
      <c r="C1484" s="3"/>
      <c r="D1484" s="3"/>
      <c r="E1484" s="3"/>
      <c r="F1484" s="3"/>
      <c r="G1484" s="3"/>
    </row>
    <row r="1485" spans="1:7" customFormat="1" x14ac:dyDescent="0.2">
      <c r="A1485" s="3"/>
      <c r="B1485" s="3"/>
      <c r="C1485" s="3"/>
      <c r="D1485" s="3"/>
      <c r="E1485" s="3"/>
      <c r="F1485" s="3"/>
      <c r="G1485" s="3"/>
    </row>
    <row r="1486" spans="1:7" customFormat="1" x14ac:dyDescent="0.2">
      <c r="A1486" s="3"/>
      <c r="B1486" s="3"/>
      <c r="C1486" s="3"/>
      <c r="D1486" s="3"/>
      <c r="E1486" s="3"/>
      <c r="F1486" s="3"/>
      <c r="G1486" s="3"/>
    </row>
    <row r="1487" spans="1:7" customFormat="1" x14ac:dyDescent="0.2">
      <c r="A1487" s="3"/>
      <c r="B1487" s="3"/>
      <c r="C1487" s="3"/>
      <c r="D1487" s="3"/>
      <c r="E1487" s="3"/>
      <c r="F1487" s="3"/>
      <c r="G1487" s="3"/>
    </row>
    <row r="1488" spans="1:7" customFormat="1" x14ac:dyDescent="0.2">
      <c r="A1488" s="3"/>
      <c r="B1488" s="3"/>
      <c r="C1488" s="3"/>
      <c r="D1488" s="3"/>
      <c r="E1488" s="3"/>
      <c r="F1488" s="3"/>
      <c r="G1488" s="3"/>
    </row>
    <row r="1489" spans="1:7" customFormat="1" x14ac:dyDescent="0.2">
      <c r="A1489" s="3"/>
      <c r="B1489" s="3"/>
      <c r="C1489" s="3"/>
      <c r="D1489" s="3"/>
      <c r="E1489" s="3"/>
      <c r="F1489" s="3"/>
      <c r="G1489" s="3"/>
    </row>
    <row r="1490" spans="1:7" customFormat="1" x14ac:dyDescent="0.2">
      <c r="A1490" s="3"/>
      <c r="B1490" s="3"/>
      <c r="C1490" s="3"/>
      <c r="D1490" s="3"/>
      <c r="E1490" s="3"/>
      <c r="F1490" s="3"/>
      <c r="G1490" s="3"/>
    </row>
    <row r="1491" spans="1:7" customFormat="1" x14ac:dyDescent="0.2">
      <c r="A1491" s="3"/>
      <c r="B1491" s="3"/>
      <c r="C1491" s="3"/>
      <c r="D1491" s="3"/>
      <c r="E1491" s="3"/>
      <c r="F1491" s="3"/>
      <c r="G1491" s="3"/>
    </row>
    <row r="1492" spans="1:7" customFormat="1" x14ac:dyDescent="0.2">
      <c r="A1492" s="3"/>
      <c r="B1492" s="3"/>
      <c r="C1492" s="3"/>
      <c r="D1492" s="3"/>
      <c r="E1492" s="3"/>
      <c r="F1492" s="3"/>
      <c r="G1492" s="3"/>
    </row>
    <row r="1493" spans="1:7" customFormat="1" x14ac:dyDescent="0.2">
      <c r="A1493" s="3"/>
      <c r="B1493" s="3"/>
      <c r="C1493" s="3"/>
      <c r="D1493" s="3"/>
      <c r="E1493" s="3"/>
      <c r="F1493" s="3"/>
      <c r="G1493" s="3"/>
    </row>
    <row r="1494" spans="1:7" customFormat="1" x14ac:dyDescent="0.2">
      <c r="A1494" s="3"/>
      <c r="B1494" s="3"/>
      <c r="C1494" s="3"/>
      <c r="D1494" s="3"/>
      <c r="E1494" s="3"/>
      <c r="F1494" s="3"/>
      <c r="G1494" s="3"/>
    </row>
    <row r="1495" spans="1:7" customFormat="1" x14ac:dyDescent="0.2">
      <c r="A1495" s="3"/>
      <c r="B1495" s="3"/>
      <c r="C1495" s="3"/>
      <c r="D1495" s="3"/>
      <c r="E1495" s="3"/>
      <c r="F1495" s="3"/>
      <c r="G1495" s="3"/>
    </row>
    <row r="1496" spans="1:7" customFormat="1" x14ac:dyDescent="0.2">
      <c r="A1496" s="3"/>
      <c r="B1496" s="3"/>
      <c r="C1496" s="3"/>
      <c r="D1496" s="3"/>
      <c r="E1496" s="3"/>
      <c r="F1496" s="3"/>
      <c r="G1496" s="3"/>
    </row>
    <row r="1497" spans="1:7" customFormat="1" x14ac:dyDescent="0.2">
      <c r="A1497" s="3"/>
      <c r="B1497" s="3"/>
      <c r="C1497" s="3"/>
      <c r="D1497" s="3"/>
      <c r="E1497" s="3"/>
      <c r="F1497" s="3"/>
      <c r="G1497" s="3"/>
    </row>
    <row r="1498" spans="1:7" customFormat="1" x14ac:dyDescent="0.2">
      <c r="A1498" s="3"/>
      <c r="B1498" s="3"/>
      <c r="C1498" s="3"/>
      <c r="D1498" s="3"/>
      <c r="E1498" s="3"/>
      <c r="F1498" s="3"/>
      <c r="G1498" s="3"/>
    </row>
    <row r="1499" spans="1:7" customFormat="1" x14ac:dyDescent="0.2">
      <c r="A1499" s="3"/>
      <c r="B1499" s="3"/>
      <c r="C1499" s="3"/>
      <c r="D1499" s="3"/>
      <c r="E1499" s="3"/>
      <c r="F1499" s="3"/>
      <c r="G1499" s="3"/>
    </row>
    <row r="1500" spans="1:7" customFormat="1" x14ac:dyDescent="0.2">
      <c r="A1500" s="3"/>
      <c r="B1500" s="3"/>
      <c r="C1500" s="3"/>
      <c r="D1500" s="3"/>
      <c r="E1500" s="3"/>
      <c r="F1500" s="3"/>
      <c r="G1500" s="3"/>
    </row>
    <row r="1501" spans="1:7" customFormat="1" x14ac:dyDescent="0.2">
      <c r="A1501" s="3"/>
      <c r="B1501" s="3"/>
      <c r="C1501" s="3"/>
      <c r="D1501" s="3"/>
      <c r="E1501" s="3"/>
      <c r="F1501" s="3"/>
      <c r="G1501" s="3"/>
    </row>
    <row r="1502" spans="1:7" customFormat="1" x14ac:dyDescent="0.2">
      <c r="A1502" s="3"/>
      <c r="B1502" s="3"/>
      <c r="C1502" s="3"/>
      <c r="D1502" s="3"/>
      <c r="E1502" s="3"/>
      <c r="F1502" s="3"/>
      <c r="G1502" s="3"/>
    </row>
    <row r="1503" spans="1:7" customFormat="1" x14ac:dyDescent="0.2">
      <c r="A1503" s="3"/>
      <c r="B1503" s="3"/>
      <c r="C1503" s="3"/>
      <c r="D1503" s="3"/>
      <c r="E1503" s="3"/>
      <c r="F1503" s="3"/>
      <c r="G1503" s="3"/>
    </row>
    <row r="1504" spans="1:7" customFormat="1" x14ac:dyDescent="0.2">
      <c r="A1504" s="3"/>
      <c r="B1504" s="3"/>
      <c r="C1504" s="3"/>
      <c r="D1504" s="3"/>
      <c r="E1504" s="3"/>
      <c r="F1504" s="3"/>
      <c r="G1504" s="3"/>
    </row>
    <row r="1505" spans="1:7" customFormat="1" x14ac:dyDescent="0.2">
      <c r="A1505" s="3"/>
      <c r="B1505" s="3"/>
      <c r="C1505" s="3"/>
      <c r="D1505" s="3"/>
      <c r="E1505" s="3"/>
      <c r="F1505" s="3"/>
      <c r="G1505" s="3"/>
    </row>
    <row r="1506" spans="1:7" customFormat="1" x14ac:dyDescent="0.2">
      <c r="A1506" s="3"/>
      <c r="B1506" s="3"/>
      <c r="C1506" s="3"/>
      <c r="D1506" s="3"/>
      <c r="E1506" s="3"/>
      <c r="F1506" s="3"/>
      <c r="G1506" s="3"/>
    </row>
    <row r="1507" spans="1:7" customFormat="1" x14ac:dyDescent="0.2">
      <c r="A1507" s="3"/>
      <c r="B1507" s="3"/>
      <c r="C1507" s="3"/>
      <c r="D1507" s="3"/>
      <c r="E1507" s="3"/>
      <c r="F1507" s="3"/>
      <c r="G1507" s="3"/>
    </row>
    <row r="1508" spans="1:7" customFormat="1" x14ac:dyDescent="0.2">
      <c r="A1508" s="3"/>
      <c r="B1508" s="3"/>
      <c r="C1508" s="3"/>
      <c r="D1508" s="3"/>
      <c r="E1508" s="3"/>
      <c r="F1508" s="3"/>
      <c r="G1508" s="3"/>
    </row>
    <row r="1509" spans="1:7" customFormat="1" x14ac:dyDescent="0.2">
      <c r="A1509" s="3"/>
      <c r="B1509" s="3"/>
      <c r="C1509" s="3"/>
      <c r="D1509" s="3"/>
      <c r="E1509" s="3"/>
      <c r="F1509" s="3"/>
      <c r="G1509" s="3"/>
    </row>
    <row r="1510" spans="1:7" customFormat="1" x14ac:dyDescent="0.2">
      <c r="A1510" s="3"/>
      <c r="B1510" s="3"/>
      <c r="C1510" s="3"/>
      <c r="D1510" s="3"/>
      <c r="E1510" s="3"/>
      <c r="F1510" s="3"/>
      <c r="G1510" s="3"/>
    </row>
    <row r="1511" spans="1:7" customFormat="1" x14ac:dyDescent="0.2">
      <c r="A1511" s="3"/>
      <c r="B1511" s="3"/>
      <c r="C1511" s="3"/>
      <c r="D1511" s="3"/>
      <c r="E1511" s="3"/>
      <c r="F1511" s="3"/>
      <c r="G1511" s="3"/>
    </row>
    <row r="1512" spans="1:7" customFormat="1" x14ac:dyDescent="0.2">
      <c r="A1512" s="3"/>
      <c r="B1512" s="3"/>
      <c r="C1512" s="3"/>
      <c r="D1512" s="3"/>
      <c r="E1512" s="3"/>
      <c r="F1512" s="3"/>
      <c r="G1512" s="3"/>
    </row>
    <row r="1513" spans="1:7" customFormat="1" x14ac:dyDescent="0.2">
      <c r="A1513" s="3"/>
      <c r="B1513" s="3"/>
      <c r="C1513" s="3"/>
      <c r="D1513" s="3"/>
      <c r="E1513" s="3"/>
      <c r="F1513" s="3"/>
      <c r="G1513" s="3"/>
    </row>
    <row r="1514" spans="1:7" customFormat="1" x14ac:dyDescent="0.2">
      <c r="A1514" s="3"/>
      <c r="B1514" s="3"/>
      <c r="C1514" s="3"/>
      <c r="D1514" s="3"/>
      <c r="E1514" s="3"/>
      <c r="F1514" s="3"/>
      <c r="G1514" s="3"/>
    </row>
    <row r="1515" spans="1:7" customFormat="1" x14ac:dyDescent="0.2">
      <c r="A1515" s="3"/>
      <c r="B1515" s="3"/>
      <c r="C1515" s="3"/>
      <c r="D1515" s="3"/>
      <c r="E1515" s="3"/>
      <c r="F1515" s="3"/>
      <c r="G1515" s="3"/>
    </row>
    <row r="1516" spans="1:7" customFormat="1" x14ac:dyDescent="0.2">
      <c r="A1516" s="3"/>
      <c r="B1516" s="3"/>
      <c r="C1516" s="3"/>
      <c r="D1516" s="3"/>
      <c r="E1516" s="3"/>
      <c r="F1516" s="3"/>
      <c r="G1516" s="3"/>
    </row>
    <row r="1517" spans="1:7" customFormat="1" x14ac:dyDescent="0.2">
      <c r="A1517" s="3"/>
      <c r="B1517" s="3"/>
      <c r="C1517" s="3"/>
      <c r="D1517" s="3"/>
      <c r="E1517" s="3"/>
      <c r="F1517" s="3"/>
      <c r="G1517" s="3"/>
    </row>
    <row r="1518" spans="1:7" customFormat="1" x14ac:dyDescent="0.2">
      <c r="A1518" s="3"/>
      <c r="B1518" s="3"/>
      <c r="C1518" s="3"/>
      <c r="D1518" s="3"/>
      <c r="E1518" s="3"/>
      <c r="F1518" s="3"/>
      <c r="G1518" s="3"/>
    </row>
    <row r="1519" spans="1:7" customFormat="1" x14ac:dyDescent="0.2">
      <c r="A1519" s="3"/>
      <c r="B1519" s="3"/>
      <c r="C1519" s="3"/>
      <c r="D1519" s="3"/>
      <c r="E1519" s="3"/>
      <c r="F1519" s="3"/>
      <c r="G1519" s="3"/>
    </row>
    <row r="1520" spans="1:7" customFormat="1" x14ac:dyDescent="0.2">
      <c r="A1520" s="3"/>
      <c r="B1520" s="3"/>
      <c r="C1520" s="3"/>
      <c r="D1520" s="3"/>
      <c r="E1520" s="3"/>
      <c r="F1520" s="3"/>
      <c r="G1520" s="3"/>
    </row>
    <row r="1521" spans="1:7" customFormat="1" x14ac:dyDescent="0.2">
      <c r="A1521" s="3"/>
      <c r="B1521" s="3"/>
      <c r="C1521" s="3"/>
      <c r="D1521" s="3"/>
      <c r="E1521" s="3"/>
      <c r="F1521" s="3"/>
      <c r="G1521" s="3"/>
    </row>
    <row r="1522" spans="1:7" customFormat="1" x14ac:dyDescent="0.2">
      <c r="A1522" s="3"/>
      <c r="B1522" s="3"/>
      <c r="C1522" s="3"/>
      <c r="D1522" s="3"/>
      <c r="E1522" s="3"/>
      <c r="F1522" s="3"/>
      <c r="G1522" s="3"/>
    </row>
    <row r="1523" spans="1:7" customFormat="1" x14ac:dyDescent="0.2">
      <c r="A1523" s="3"/>
      <c r="B1523" s="3"/>
      <c r="C1523" s="3"/>
      <c r="D1523" s="3"/>
      <c r="E1523" s="3"/>
      <c r="F1523" s="3"/>
      <c r="G1523" s="3"/>
    </row>
    <row r="1524" spans="1:7" customFormat="1" x14ac:dyDescent="0.2">
      <c r="A1524" s="3"/>
      <c r="B1524" s="3"/>
      <c r="C1524" s="3"/>
      <c r="D1524" s="3"/>
      <c r="E1524" s="3"/>
      <c r="F1524" s="3"/>
      <c r="G1524" s="3"/>
    </row>
    <row r="1525" spans="1:7" customFormat="1" x14ac:dyDescent="0.2">
      <c r="A1525" s="3"/>
      <c r="B1525" s="3"/>
      <c r="C1525" s="3"/>
      <c r="D1525" s="3"/>
      <c r="E1525" s="3"/>
      <c r="F1525" s="3"/>
      <c r="G1525" s="3"/>
    </row>
    <row r="1526" spans="1:7" customFormat="1" x14ac:dyDescent="0.2">
      <c r="A1526" s="3"/>
      <c r="B1526" s="3"/>
      <c r="C1526" s="3"/>
      <c r="D1526" s="3"/>
      <c r="E1526" s="3"/>
      <c r="F1526" s="3"/>
      <c r="G1526" s="3"/>
    </row>
    <row r="1527" spans="1:7" customFormat="1" x14ac:dyDescent="0.2">
      <c r="A1527" s="3"/>
      <c r="B1527" s="3"/>
      <c r="C1527" s="3"/>
      <c r="D1527" s="3"/>
      <c r="E1527" s="3"/>
      <c r="F1527" s="3"/>
      <c r="G1527" s="3"/>
    </row>
    <row r="1528" spans="1:7" customFormat="1" x14ac:dyDescent="0.2">
      <c r="A1528" s="3"/>
      <c r="B1528" s="3"/>
      <c r="C1528" s="3"/>
      <c r="D1528" s="3"/>
      <c r="E1528" s="3"/>
      <c r="F1528" s="3"/>
      <c r="G1528" s="3"/>
    </row>
    <row r="1529" spans="1:7" customFormat="1" x14ac:dyDescent="0.2">
      <c r="A1529" s="3"/>
      <c r="B1529" s="3"/>
      <c r="C1529" s="3"/>
      <c r="D1529" s="3"/>
      <c r="E1529" s="3"/>
      <c r="F1529" s="3"/>
      <c r="G1529" s="3"/>
    </row>
    <row r="1530" spans="1:7" customFormat="1" x14ac:dyDescent="0.2">
      <c r="A1530" s="3"/>
      <c r="B1530" s="3"/>
      <c r="C1530" s="3"/>
      <c r="D1530" s="3"/>
      <c r="E1530" s="3"/>
      <c r="F1530" s="3"/>
      <c r="G1530" s="3"/>
    </row>
    <row r="1531" spans="1:7" customFormat="1" x14ac:dyDescent="0.2">
      <c r="A1531" s="3"/>
      <c r="B1531" s="3"/>
      <c r="C1531" s="3"/>
      <c r="D1531" s="3"/>
      <c r="E1531" s="3"/>
      <c r="F1531" s="3"/>
      <c r="G1531" s="3"/>
    </row>
    <row r="1532" spans="1:7" customFormat="1" x14ac:dyDescent="0.2">
      <c r="A1532" s="3"/>
      <c r="B1532" s="3"/>
      <c r="C1532" s="3"/>
      <c r="D1532" s="3"/>
      <c r="E1532" s="3"/>
      <c r="F1532" s="3"/>
      <c r="G1532" s="3"/>
    </row>
    <row r="1533" spans="1:7" customFormat="1" x14ac:dyDescent="0.2">
      <c r="A1533" s="3"/>
      <c r="B1533" s="3"/>
      <c r="C1533" s="3"/>
      <c r="D1533" s="3"/>
      <c r="E1533" s="3"/>
      <c r="F1533" s="3"/>
      <c r="G1533" s="3"/>
    </row>
    <row r="1534" spans="1:7" customFormat="1" x14ac:dyDescent="0.2">
      <c r="A1534" s="3"/>
      <c r="B1534" s="3"/>
      <c r="C1534" s="3"/>
      <c r="D1534" s="3"/>
      <c r="E1534" s="3"/>
      <c r="F1534" s="3"/>
      <c r="G1534" s="3"/>
    </row>
    <row r="1535" spans="1:7" customFormat="1" x14ac:dyDescent="0.2">
      <c r="A1535" s="3"/>
      <c r="B1535" s="3"/>
      <c r="C1535" s="3"/>
      <c r="D1535" s="3"/>
      <c r="E1535" s="3"/>
      <c r="F1535" s="3"/>
      <c r="G1535" s="3"/>
    </row>
    <row r="1536" spans="1:7" customFormat="1" x14ac:dyDescent="0.2">
      <c r="A1536" s="3"/>
      <c r="B1536" s="3"/>
      <c r="C1536" s="3"/>
      <c r="D1536" s="3"/>
      <c r="E1536" s="3"/>
      <c r="F1536" s="3"/>
      <c r="G1536" s="3"/>
    </row>
    <row r="1537" spans="1:7" customFormat="1" x14ac:dyDescent="0.2">
      <c r="A1537" s="3"/>
      <c r="B1537" s="3"/>
      <c r="C1537" s="3"/>
      <c r="D1537" s="3"/>
      <c r="E1537" s="3"/>
      <c r="F1537" s="3"/>
      <c r="G1537" s="3"/>
    </row>
    <row r="1538" spans="1:7" customFormat="1" x14ac:dyDescent="0.2">
      <c r="A1538" s="3"/>
      <c r="B1538" s="3"/>
      <c r="C1538" s="3"/>
      <c r="D1538" s="3"/>
      <c r="E1538" s="3"/>
      <c r="F1538" s="3"/>
      <c r="G1538" s="3"/>
    </row>
    <row r="1539" spans="1:7" customFormat="1" x14ac:dyDescent="0.2">
      <c r="A1539" s="3"/>
      <c r="B1539" s="3"/>
      <c r="C1539" s="3"/>
      <c r="D1539" s="3"/>
      <c r="E1539" s="3"/>
      <c r="F1539" s="3"/>
      <c r="G1539" s="3"/>
    </row>
    <row r="1540" spans="1:7" customFormat="1" x14ac:dyDescent="0.2">
      <c r="A1540" s="3"/>
      <c r="B1540" s="3"/>
      <c r="C1540" s="3"/>
      <c r="D1540" s="3"/>
      <c r="E1540" s="3"/>
      <c r="F1540" s="3"/>
      <c r="G1540" s="3"/>
    </row>
    <row r="1541" spans="1:7" customFormat="1" x14ac:dyDescent="0.2">
      <c r="A1541" s="3"/>
      <c r="B1541" s="3"/>
      <c r="C1541" s="3"/>
      <c r="D1541" s="3"/>
      <c r="E1541" s="3"/>
      <c r="F1541" s="3"/>
      <c r="G1541" s="3"/>
    </row>
    <row r="1542" spans="1:7" customFormat="1" x14ac:dyDescent="0.2">
      <c r="A1542" s="3"/>
      <c r="B1542" s="3"/>
      <c r="C1542" s="3"/>
      <c r="D1542" s="3"/>
      <c r="E1542" s="3"/>
      <c r="F1542" s="3"/>
      <c r="G1542" s="3"/>
    </row>
    <row r="1543" spans="1:7" customFormat="1" x14ac:dyDescent="0.2">
      <c r="A1543" s="3"/>
      <c r="B1543" s="3"/>
      <c r="C1543" s="3"/>
      <c r="D1543" s="3"/>
      <c r="E1543" s="3"/>
      <c r="F1543" s="3"/>
      <c r="G1543" s="3"/>
    </row>
    <row r="1544" spans="1:7" customFormat="1" x14ac:dyDescent="0.2">
      <c r="A1544" s="3"/>
      <c r="B1544" s="3"/>
      <c r="C1544" s="3"/>
      <c r="D1544" s="3"/>
      <c r="E1544" s="3"/>
      <c r="F1544" s="3"/>
      <c r="G1544" s="3"/>
    </row>
    <row r="1545" spans="1:7" customFormat="1" x14ac:dyDescent="0.2">
      <c r="A1545" s="3"/>
      <c r="B1545" s="3"/>
      <c r="C1545" s="3"/>
      <c r="D1545" s="3"/>
      <c r="E1545" s="3"/>
      <c r="F1545" s="3"/>
      <c r="G1545" s="3"/>
    </row>
    <row r="1546" spans="1:7" customFormat="1" x14ac:dyDescent="0.2">
      <c r="A1546" s="3"/>
      <c r="B1546" s="3"/>
      <c r="C1546" s="3"/>
      <c r="D1546" s="3"/>
      <c r="E1546" s="3"/>
      <c r="F1546" s="3"/>
      <c r="G1546" s="3"/>
    </row>
    <row r="1547" spans="1:7" customFormat="1" x14ac:dyDescent="0.2">
      <c r="A1547" s="3"/>
      <c r="B1547" s="3"/>
      <c r="C1547" s="3"/>
      <c r="D1547" s="3"/>
      <c r="E1547" s="3"/>
      <c r="F1547" s="3"/>
      <c r="G1547" s="3"/>
    </row>
    <row r="1548" spans="1:7" customFormat="1" x14ac:dyDescent="0.2">
      <c r="A1548" s="3"/>
      <c r="B1548" s="3"/>
      <c r="C1548" s="3"/>
      <c r="D1548" s="3"/>
      <c r="E1548" s="3"/>
      <c r="F1548" s="3"/>
      <c r="G1548" s="3"/>
    </row>
    <row r="1549" spans="1:7" customFormat="1" x14ac:dyDescent="0.2">
      <c r="A1549" s="3"/>
      <c r="B1549" s="3"/>
      <c r="C1549" s="3"/>
      <c r="D1549" s="3"/>
      <c r="E1549" s="3"/>
      <c r="F1549" s="3"/>
      <c r="G1549" s="3"/>
    </row>
    <row r="1550" spans="1:7" customFormat="1" x14ac:dyDescent="0.2">
      <c r="A1550" s="3"/>
      <c r="B1550" s="3"/>
      <c r="C1550" s="3"/>
      <c r="D1550" s="3"/>
      <c r="E1550" s="3"/>
      <c r="F1550" s="3"/>
      <c r="G1550" s="3"/>
    </row>
    <row r="1551" spans="1:7" customFormat="1" x14ac:dyDescent="0.2">
      <c r="A1551" s="3"/>
      <c r="B1551" s="3"/>
      <c r="C1551" s="3"/>
      <c r="D1551" s="3"/>
      <c r="E1551" s="3"/>
      <c r="F1551" s="3"/>
      <c r="G1551" s="3"/>
    </row>
    <row r="1552" spans="1:7" customFormat="1" x14ac:dyDescent="0.2">
      <c r="A1552" s="3"/>
      <c r="B1552" s="3"/>
      <c r="C1552" s="3"/>
      <c r="D1552" s="3"/>
      <c r="E1552" s="3"/>
      <c r="F1552" s="3"/>
      <c r="G1552" s="3"/>
    </row>
    <row r="1553" spans="1:7" customFormat="1" x14ac:dyDescent="0.2">
      <c r="A1553" s="3"/>
      <c r="B1553" s="3"/>
      <c r="C1553" s="3"/>
      <c r="D1553" s="3"/>
      <c r="E1553" s="3"/>
      <c r="F1553" s="3"/>
      <c r="G1553" s="3"/>
    </row>
    <row r="1554" spans="1:7" customFormat="1" x14ac:dyDescent="0.2">
      <c r="A1554" s="3"/>
      <c r="B1554" s="3"/>
      <c r="C1554" s="3"/>
      <c r="D1554" s="3"/>
      <c r="E1554" s="3"/>
      <c r="F1554" s="3"/>
      <c r="G1554" s="3"/>
    </row>
    <row r="1555" spans="1:7" customFormat="1" x14ac:dyDescent="0.2">
      <c r="A1555" s="3"/>
      <c r="B1555" s="3"/>
      <c r="C1555" s="3"/>
      <c r="D1555" s="3"/>
      <c r="E1555" s="3"/>
      <c r="F1555" s="3"/>
      <c r="G1555" s="3"/>
    </row>
    <row r="1556" spans="1:7" customFormat="1" x14ac:dyDescent="0.2">
      <c r="A1556" s="3"/>
      <c r="B1556" s="3"/>
      <c r="C1556" s="3"/>
      <c r="D1556" s="3"/>
      <c r="E1556" s="3"/>
      <c r="F1556" s="3"/>
      <c r="G1556" s="3"/>
    </row>
    <row r="1557" spans="1:7" customFormat="1" x14ac:dyDescent="0.2">
      <c r="A1557" s="3"/>
      <c r="B1557" s="3"/>
      <c r="C1557" s="3"/>
      <c r="D1557" s="3"/>
      <c r="E1557" s="3"/>
      <c r="F1557" s="3"/>
      <c r="G1557" s="3"/>
    </row>
    <row r="1558" spans="1:7" customFormat="1" x14ac:dyDescent="0.2">
      <c r="A1558" s="3"/>
      <c r="B1558" s="3"/>
      <c r="C1558" s="3"/>
      <c r="D1558" s="3"/>
      <c r="E1558" s="3"/>
      <c r="F1558" s="3"/>
      <c r="G1558" s="3"/>
    </row>
    <row r="1559" spans="1:7" customFormat="1" x14ac:dyDescent="0.2">
      <c r="A1559" s="3"/>
      <c r="B1559" s="3"/>
      <c r="C1559" s="3"/>
      <c r="D1559" s="3"/>
      <c r="E1559" s="3"/>
      <c r="F1559" s="3"/>
      <c r="G1559" s="3"/>
    </row>
    <row r="1560" spans="1:7" customFormat="1" x14ac:dyDescent="0.2">
      <c r="A1560" s="3"/>
      <c r="B1560" s="3"/>
      <c r="C1560" s="3"/>
      <c r="D1560" s="3"/>
      <c r="E1560" s="3"/>
      <c r="F1560" s="3"/>
      <c r="G1560" s="3"/>
    </row>
    <row r="1561" spans="1:7" customFormat="1" x14ac:dyDescent="0.2">
      <c r="A1561" s="3"/>
      <c r="B1561" s="3"/>
      <c r="C1561" s="3"/>
      <c r="D1561" s="3"/>
      <c r="E1561" s="3"/>
      <c r="F1561" s="3"/>
      <c r="G1561" s="3"/>
    </row>
    <row r="1562" spans="1:7" customFormat="1" x14ac:dyDescent="0.2">
      <c r="A1562" s="3"/>
      <c r="B1562" s="3"/>
      <c r="C1562" s="3"/>
      <c r="D1562" s="3"/>
      <c r="E1562" s="3"/>
      <c r="F1562" s="3"/>
      <c r="G1562" s="3"/>
    </row>
    <row r="1563" spans="1:7" customFormat="1" x14ac:dyDescent="0.2">
      <c r="A1563" s="3"/>
      <c r="B1563" s="3"/>
      <c r="C1563" s="3"/>
      <c r="D1563" s="3"/>
      <c r="E1563" s="3"/>
      <c r="F1563" s="3"/>
      <c r="G1563" s="3"/>
    </row>
    <row r="1564" spans="1:7" customFormat="1" x14ac:dyDescent="0.2">
      <c r="A1564" s="3"/>
      <c r="B1564" s="3"/>
      <c r="C1564" s="3"/>
      <c r="D1564" s="3"/>
      <c r="E1564" s="3"/>
      <c r="F1564" s="3"/>
      <c r="G1564" s="3"/>
    </row>
    <row r="1565" spans="1:7" customFormat="1" x14ac:dyDescent="0.2">
      <c r="A1565" s="3"/>
      <c r="B1565" s="3"/>
      <c r="C1565" s="3"/>
      <c r="D1565" s="3"/>
      <c r="E1565" s="3"/>
      <c r="F1565" s="3"/>
      <c r="G1565" s="3"/>
    </row>
    <row r="1566" spans="1:7" customFormat="1" x14ac:dyDescent="0.2">
      <c r="A1566" s="3"/>
      <c r="B1566" s="3"/>
      <c r="C1566" s="3"/>
      <c r="D1566" s="3"/>
      <c r="E1566" s="3"/>
      <c r="F1566" s="3"/>
      <c r="G1566" s="3"/>
    </row>
    <row r="1567" spans="1:7" customFormat="1" x14ac:dyDescent="0.2">
      <c r="A1567" s="3"/>
      <c r="B1567" s="3"/>
      <c r="C1567" s="3"/>
      <c r="D1567" s="3"/>
      <c r="E1567" s="3"/>
      <c r="F1567" s="3"/>
      <c r="G1567" s="3"/>
    </row>
    <row r="1568" spans="1:7" customFormat="1" x14ac:dyDescent="0.2">
      <c r="A1568" s="3"/>
      <c r="B1568" s="3"/>
      <c r="C1568" s="3"/>
      <c r="D1568" s="3"/>
      <c r="E1568" s="3"/>
      <c r="F1568" s="3"/>
      <c r="G1568" s="3"/>
    </row>
    <row r="1569" spans="1:7" customFormat="1" x14ac:dyDescent="0.2">
      <c r="A1569" s="3"/>
      <c r="B1569" s="3"/>
      <c r="C1569" s="3"/>
      <c r="D1569" s="3"/>
      <c r="E1569" s="3"/>
      <c r="F1569" s="3"/>
      <c r="G1569" s="3"/>
    </row>
    <row r="1570" spans="1:7" customFormat="1" x14ac:dyDescent="0.2">
      <c r="A1570" s="3"/>
      <c r="B1570" s="3"/>
      <c r="C1570" s="3"/>
      <c r="D1570" s="3"/>
      <c r="E1570" s="3"/>
      <c r="F1570" s="3"/>
      <c r="G1570" s="3"/>
    </row>
    <row r="1571" spans="1:7" customFormat="1" x14ac:dyDescent="0.2">
      <c r="A1571" s="3"/>
      <c r="B1571" s="3"/>
      <c r="C1571" s="3"/>
      <c r="D1571" s="3"/>
      <c r="E1571" s="3"/>
      <c r="F1571" s="3"/>
      <c r="G1571" s="3"/>
    </row>
    <row r="1572" spans="1:7" customFormat="1" x14ac:dyDescent="0.2">
      <c r="A1572" s="3"/>
      <c r="B1572" s="3"/>
      <c r="C1572" s="3"/>
      <c r="D1572" s="3"/>
      <c r="E1572" s="3"/>
      <c r="F1572" s="3"/>
      <c r="G1572" s="3"/>
    </row>
    <row r="1573" spans="1:7" customFormat="1" x14ac:dyDescent="0.2">
      <c r="A1573" s="3"/>
      <c r="B1573" s="3"/>
      <c r="C1573" s="3"/>
      <c r="D1573" s="3"/>
      <c r="E1573" s="3"/>
      <c r="F1573" s="3"/>
      <c r="G1573" s="3"/>
    </row>
    <row r="1574" spans="1:7" customFormat="1" x14ac:dyDescent="0.2">
      <c r="A1574" s="3"/>
      <c r="B1574" s="3"/>
      <c r="C1574" s="3"/>
      <c r="D1574" s="3"/>
      <c r="E1574" s="3"/>
      <c r="F1574" s="3"/>
      <c r="G1574" s="3"/>
    </row>
    <row r="1575" spans="1:7" customFormat="1" x14ac:dyDescent="0.2">
      <c r="A1575" s="3"/>
      <c r="B1575" s="3"/>
      <c r="C1575" s="3"/>
      <c r="D1575" s="3"/>
      <c r="E1575" s="3"/>
      <c r="F1575" s="3"/>
      <c r="G1575" s="3"/>
    </row>
    <row r="1576" spans="1:7" customFormat="1" x14ac:dyDescent="0.2">
      <c r="A1576" s="3"/>
      <c r="B1576" s="3"/>
      <c r="C1576" s="3"/>
      <c r="D1576" s="3"/>
      <c r="E1576" s="3"/>
      <c r="F1576" s="3"/>
      <c r="G1576" s="3"/>
    </row>
    <row r="1577" spans="1:7" customFormat="1" x14ac:dyDescent="0.2">
      <c r="A1577" s="3"/>
      <c r="B1577" s="3"/>
      <c r="C1577" s="3"/>
      <c r="D1577" s="3"/>
      <c r="E1577" s="3"/>
      <c r="F1577" s="3"/>
      <c r="G1577" s="3"/>
    </row>
    <row r="1578" spans="1:7" customFormat="1" x14ac:dyDescent="0.2">
      <c r="A1578" s="3"/>
      <c r="B1578" s="3"/>
      <c r="C1578" s="3"/>
      <c r="D1578" s="3"/>
      <c r="E1578" s="3"/>
      <c r="F1578" s="3"/>
      <c r="G1578" s="3"/>
    </row>
    <row r="1579" spans="1:7" customFormat="1" x14ac:dyDescent="0.2">
      <c r="A1579" s="3"/>
      <c r="B1579" s="3"/>
      <c r="C1579" s="3"/>
      <c r="D1579" s="3"/>
      <c r="E1579" s="3"/>
      <c r="F1579" s="3"/>
      <c r="G1579" s="3"/>
    </row>
    <row r="1580" spans="1:7" customFormat="1" x14ac:dyDescent="0.2">
      <c r="A1580" s="3"/>
      <c r="B1580" s="3"/>
      <c r="C1580" s="3"/>
      <c r="D1580" s="3"/>
      <c r="E1580" s="3"/>
      <c r="F1580" s="3"/>
      <c r="G1580" s="3"/>
    </row>
    <row r="1581" spans="1:7" customFormat="1" x14ac:dyDescent="0.2">
      <c r="A1581" s="3"/>
      <c r="B1581" s="3"/>
      <c r="C1581" s="3"/>
      <c r="D1581" s="3"/>
      <c r="E1581" s="3"/>
      <c r="F1581" s="3"/>
      <c r="G1581" s="3"/>
    </row>
    <row r="1582" spans="1:7" customFormat="1" x14ac:dyDescent="0.2">
      <c r="A1582" s="3"/>
      <c r="B1582" s="3"/>
      <c r="C1582" s="3"/>
      <c r="D1582" s="3"/>
      <c r="E1582" s="3"/>
      <c r="F1582" s="3"/>
      <c r="G1582" s="3"/>
    </row>
    <row r="1583" spans="1:7" customFormat="1" x14ac:dyDescent="0.2">
      <c r="A1583" s="3"/>
      <c r="B1583" s="3"/>
      <c r="C1583" s="3"/>
      <c r="D1583" s="3"/>
      <c r="E1583" s="3"/>
      <c r="F1583" s="3"/>
      <c r="G1583" s="3"/>
    </row>
    <row r="1584" spans="1:7" customFormat="1" x14ac:dyDescent="0.2">
      <c r="A1584" s="3"/>
      <c r="B1584" s="3"/>
      <c r="C1584" s="3"/>
      <c r="D1584" s="3"/>
      <c r="E1584" s="3"/>
      <c r="F1584" s="3"/>
      <c r="G1584" s="3"/>
    </row>
    <row r="1585" spans="1:7" customFormat="1" x14ac:dyDescent="0.2">
      <c r="A1585" s="3"/>
      <c r="B1585" s="3"/>
      <c r="C1585" s="3"/>
      <c r="D1585" s="3"/>
      <c r="E1585" s="3"/>
      <c r="F1585" s="3"/>
      <c r="G1585" s="3"/>
    </row>
    <row r="1586" spans="1:7" customFormat="1" x14ac:dyDescent="0.2">
      <c r="A1586" s="3"/>
      <c r="B1586" s="3"/>
      <c r="C1586" s="3"/>
      <c r="D1586" s="3"/>
      <c r="E1586" s="3"/>
      <c r="F1586" s="3"/>
      <c r="G1586" s="3"/>
    </row>
    <row r="1587" spans="1:7" customFormat="1" x14ac:dyDescent="0.2">
      <c r="A1587" s="3"/>
      <c r="B1587" s="3"/>
      <c r="C1587" s="3"/>
      <c r="D1587" s="3"/>
      <c r="E1587" s="3"/>
      <c r="F1587" s="3"/>
      <c r="G1587" s="3"/>
    </row>
    <row r="1588" spans="1:7" customFormat="1" x14ac:dyDescent="0.2">
      <c r="A1588" s="3"/>
      <c r="B1588" s="3"/>
      <c r="C1588" s="3"/>
      <c r="D1588" s="3"/>
      <c r="E1588" s="3"/>
      <c r="F1588" s="3"/>
      <c r="G1588" s="3"/>
    </row>
    <row r="1589" spans="1:7" customFormat="1" x14ac:dyDescent="0.2">
      <c r="A1589" s="3"/>
      <c r="B1589" s="3"/>
      <c r="C1589" s="3"/>
      <c r="D1589" s="3"/>
      <c r="E1589" s="3"/>
      <c r="F1589" s="3"/>
      <c r="G1589" s="3"/>
    </row>
    <row r="1590" spans="1:7" customFormat="1" x14ac:dyDescent="0.2">
      <c r="A1590" s="3"/>
      <c r="B1590" s="3"/>
      <c r="C1590" s="3"/>
      <c r="D1590" s="3"/>
      <c r="E1590" s="3"/>
      <c r="F1590" s="3"/>
      <c r="G1590" s="3"/>
    </row>
    <row r="1591" spans="1:7" customFormat="1" x14ac:dyDescent="0.2">
      <c r="A1591" s="3"/>
      <c r="B1591" s="3"/>
      <c r="C1591" s="3"/>
      <c r="D1591" s="3"/>
      <c r="E1591" s="3"/>
      <c r="F1591" s="3"/>
      <c r="G1591" s="3"/>
    </row>
    <row r="1592" spans="1:7" customFormat="1" x14ac:dyDescent="0.2">
      <c r="A1592" s="3"/>
      <c r="B1592" s="3"/>
      <c r="C1592" s="3"/>
      <c r="D1592" s="3"/>
      <c r="E1592" s="3"/>
      <c r="F1592" s="3"/>
      <c r="G1592" s="3"/>
    </row>
    <row r="1593" spans="1:7" customFormat="1" x14ac:dyDescent="0.2">
      <c r="A1593" s="3"/>
      <c r="B1593" s="3"/>
      <c r="C1593" s="3"/>
      <c r="D1593" s="3"/>
      <c r="E1593" s="3"/>
      <c r="F1593" s="3"/>
      <c r="G1593" s="3"/>
    </row>
    <row r="1594" spans="1:7" customFormat="1" x14ac:dyDescent="0.2">
      <c r="A1594" s="3"/>
      <c r="B1594" s="3"/>
      <c r="C1594" s="3"/>
      <c r="D1594" s="3"/>
      <c r="E1594" s="3"/>
      <c r="F1594" s="3"/>
      <c r="G1594" s="3"/>
    </row>
    <row r="1595" spans="1:7" customFormat="1" x14ac:dyDescent="0.2">
      <c r="A1595" s="3"/>
      <c r="B1595" s="3"/>
      <c r="C1595" s="3"/>
      <c r="D1595" s="3"/>
      <c r="E1595" s="3"/>
      <c r="F1595" s="3"/>
      <c r="G1595" s="3"/>
    </row>
    <row r="1596" spans="1:7" customFormat="1" x14ac:dyDescent="0.2">
      <c r="A1596" s="3"/>
      <c r="B1596" s="3"/>
      <c r="C1596" s="3"/>
      <c r="D1596" s="3"/>
      <c r="E1596" s="3"/>
      <c r="F1596" s="3"/>
      <c r="G1596" s="3"/>
    </row>
    <row r="1597" spans="1:7" customFormat="1" x14ac:dyDescent="0.2">
      <c r="A1597" s="3"/>
      <c r="B1597" s="3"/>
      <c r="C1597" s="3"/>
      <c r="D1597" s="3"/>
      <c r="E1597" s="3"/>
      <c r="F1597" s="3"/>
      <c r="G1597" s="3"/>
    </row>
    <row r="1598" spans="1:7" customFormat="1" x14ac:dyDescent="0.2">
      <c r="A1598" s="3"/>
      <c r="B1598" s="3"/>
      <c r="C1598" s="3"/>
      <c r="D1598" s="3"/>
      <c r="E1598" s="3"/>
      <c r="F1598" s="3"/>
      <c r="G1598" s="3"/>
    </row>
    <row r="1599" spans="1:7" customFormat="1" x14ac:dyDescent="0.2">
      <c r="A1599" s="3"/>
      <c r="B1599" s="3"/>
      <c r="C1599" s="3"/>
      <c r="D1599" s="3"/>
      <c r="E1599" s="3"/>
      <c r="F1599" s="3"/>
      <c r="G1599" s="3"/>
    </row>
    <row r="1600" spans="1:7" customFormat="1" x14ac:dyDescent="0.2">
      <c r="A1600" s="3"/>
      <c r="B1600" s="3"/>
      <c r="C1600" s="3"/>
      <c r="D1600" s="3"/>
      <c r="E1600" s="3"/>
      <c r="F1600" s="3"/>
      <c r="G1600" s="3"/>
    </row>
    <row r="1601" spans="1:7" customFormat="1" x14ac:dyDescent="0.2">
      <c r="A1601" s="3"/>
      <c r="B1601" s="3"/>
      <c r="C1601" s="3"/>
      <c r="D1601" s="3"/>
      <c r="E1601" s="3"/>
      <c r="F1601" s="3"/>
      <c r="G1601" s="3"/>
    </row>
    <row r="1602" spans="1:7" customFormat="1" x14ac:dyDescent="0.2">
      <c r="A1602" s="3"/>
      <c r="B1602" s="3"/>
      <c r="C1602" s="3"/>
      <c r="D1602" s="3"/>
      <c r="E1602" s="3"/>
      <c r="F1602" s="3"/>
      <c r="G1602" s="3"/>
    </row>
    <row r="1603" spans="1:7" customFormat="1" x14ac:dyDescent="0.2">
      <c r="A1603" s="3"/>
      <c r="B1603" s="3"/>
      <c r="C1603" s="3"/>
      <c r="D1603" s="3"/>
      <c r="E1603" s="3"/>
      <c r="F1603" s="3"/>
      <c r="G1603" s="3"/>
    </row>
    <row r="1604" spans="1:7" customFormat="1" x14ac:dyDescent="0.2">
      <c r="A1604" s="3"/>
      <c r="B1604" s="3"/>
      <c r="C1604" s="3"/>
      <c r="D1604" s="3"/>
      <c r="E1604" s="3"/>
      <c r="F1604" s="3"/>
      <c r="G1604" s="3"/>
    </row>
    <row r="1605" spans="1:7" customFormat="1" x14ac:dyDescent="0.2">
      <c r="A1605" s="3"/>
      <c r="B1605" s="3"/>
      <c r="C1605" s="3"/>
      <c r="D1605" s="3"/>
      <c r="E1605" s="3"/>
      <c r="F1605" s="3"/>
      <c r="G1605" s="3"/>
    </row>
    <row r="1606" spans="1:7" customFormat="1" x14ac:dyDescent="0.2">
      <c r="A1606" s="3"/>
      <c r="B1606" s="3"/>
      <c r="C1606" s="3"/>
      <c r="D1606" s="3"/>
      <c r="E1606" s="3"/>
      <c r="F1606" s="3"/>
      <c r="G1606" s="3"/>
    </row>
    <row r="1607" spans="1:7" customFormat="1" x14ac:dyDescent="0.2">
      <c r="A1607" s="3"/>
      <c r="B1607" s="3"/>
      <c r="C1607" s="3"/>
      <c r="D1607" s="3"/>
      <c r="E1607" s="3"/>
      <c r="F1607" s="3"/>
      <c r="G1607" s="3"/>
    </row>
    <row r="1608" spans="1:7" customFormat="1" x14ac:dyDescent="0.2">
      <c r="A1608" s="3"/>
      <c r="B1608" s="3"/>
      <c r="C1608" s="3"/>
      <c r="D1608" s="3"/>
      <c r="E1608" s="3"/>
      <c r="F1608" s="3"/>
      <c r="G1608" s="3"/>
    </row>
    <row r="1609" spans="1:7" customFormat="1" x14ac:dyDescent="0.2">
      <c r="A1609" s="3"/>
      <c r="B1609" s="3"/>
      <c r="C1609" s="3"/>
      <c r="D1609" s="3"/>
      <c r="E1609" s="3"/>
      <c r="F1609" s="3"/>
      <c r="G1609" s="3"/>
    </row>
    <row r="1610" spans="1:7" customFormat="1" x14ac:dyDescent="0.2">
      <c r="A1610" s="3"/>
      <c r="B1610" s="3"/>
      <c r="C1610" s="3"/>
      <c r="D1610" s="3"/>
      <c r="E1610" s="3"/>
      <c r="F1610" s="3"/>
      <c r="G1610" s="3"/>
    </row>
    <row r="1611" spans="1:7" customFormat="1" x14ac:dyDescent="0.2">
      <c r="A1611" s="3"/>
      <c r="B1611" s="3"/>
      <c r="C1611" s="3"/>
      <c r="D1611" s="3"/>
      <c r="E1611" s="3"/>
      <c r="F1611" s="3"/>
      <c r="G1611" s="3"/>
    </row>
    <row r="1612" spans="1:7" customFormat="1" x14ac:dyDescent="0.2">
      <c r="A1612" s="3"/>
      <c r="B1612" s="3"/>
      <c r="C1612" s="3"/>
      <c r="D1612" s="3"/>
      <c r="E1612" s="3"/>
      <c r="F1612" s="3"/>
      <c r="G1612" s="3"/>
    </row>
    <row r="1613" spans="1:7" customFormat="1" x14ac:dyDescent="0.2">
      <c r="A1613" s="3"/>
      <c r="B1613" s="3"/>
      <c r="C1613" s="3"/>
      <c r="D1613" s="3"/>
      <c r="E1613" s="3"/>
      <c r="F1613" s="3"/>
      <c r="G1613" s="3"/>
    </row>
    <row r="1614" spans="1:7" customFormat="1" x14ac:dyDescent="0.2">
      <c r="A1614" s="3"/>
      <c r="B1614" s="3"/>
      <c r="C1614" s="3"/>
      <c r="D1614" s="3"/>
      <c r="E1614" s="3"/>
      <c r="F1614" s="3"/>
      <c r="G1614" s="3"/>
    </row>
    <row r="1615" spans="1:7" customFormat="1" x14ac:dyDescent="0.2">
      <c r="A1615" s="3"/>
      <c r="B1615" s="3"/>
      <c r="C1615" s="3"/>
      <c r="D1615" s="3"/>
      <c r="E1615" s="3"/>
      <c r="F1615" s="3"/>
      <c r="G1615" s="3"/>
    </row>
    <row r="1616" spans="1:7" customFormat="1" x14ac:dyDescent="0.2">
      <c r="A1616" s="3"/>
      <c r="B1616" s="3"/>
      <c r="C1616" s="3"/>
      <c r="D1616" s="3"/>
      <c r="E1616" s="3"/>
      <c r="F1616" s="3"/>
      <c r="G1616" s="3"/>
    </row>
    <row r="1617" spans="1:7" customFormat="1" x14ac:dyDescent="0.2">
      <c r="A1617" s="3"/>
      <c r="B1617" s="3"/>
      <c r="C1617" s="3"/>
      <c r="D1617" s="3"/>
      <c r="E1617" s="3"/>
      <c r="F1617" s="3"/>
      <c r="G1617" s="3"/>
    </row>
    <row r="1618" spans="1:7" customFormat="1" x14ac:dyDescent="0.2">
      <c r="A1618" s="3"/>
      <c r="B1618" s="3"/>
      <c r="C1618" s="3"/>
      <c r="D1618" s="3"/>
      <c r="E1618" s="3"/>
      <c r="F1618" s="3"/>
      <c r="G1618" s="3"/>
    </row>
    <row r="1619" spans="1:7" customFormat="1" x14ac:dyDescent="0.2">
      <c r="A1619" s="3"/>
      <c r="B1619" s="3"/>
      <c r="C1619" s="3"/>
      <c r="D1619" s="3"/>
      <c r="E1619" s="3"/>
      <c r="F1619" s="3"/>
      <c r="G1619" s="3"/>
    </row>
    <row r="1620" spans="1:7" customFormat="1" x14ac:dyDescent="0.2">
      <c r="A1620" s="3"/>
      <c r="B1620" s="3"/>
      <c r="C1620" s="3"/>
      <c r="D1620" s="3"/>
      <c r="E1620" s="3"/>
      <c r="F1620" s="3"/>
      <c r="G1620" s="3"/>
    </row>
    <row r="1621" spans="1:7" customFormat="1" x14ac:dyDescent="0.2">
      <c r="A1621" s="3"/>
      <c r="B1621" s="3"/>
      <c r="C1621" s="3"/>
      <c r="D1621" s="3"/>
      <c r="E1621" s="3"/>
      <c r="F1621" s="3"/>
      <c r="G1621" s="3"/>
    </row>
    <row r="1622" spans="1:7" customFormat="1" x14ac:dyDescent="0.2">
      <c r="A1622" s="3"/>
      <c r="B1622" s="3"/>
      <c r="C1622" s="3"/>
      <c r="D1622" s="3"/>
      <c r="E1622" s="3"/>
      <c r="F1622" s="3"/>
      <c r="G1622" s="3"/>
    </row>
    <row r="1623" spans="1:7" customFormat="1" x14ac:dyDescent="0.2">
      <c r="A1623" s="3"/>
      <c r="B1623" s="3"/>
      <c r="C1623" s="3"/>
      <c r="D1623" s="3"/>
      <c r="E1623" s="3"/>
      <c r="F1623" s="3"/>
      <c r="G1623" s="3"/>
    </row>
    <row r="1624" spans="1:7" customFormat="1" x14ac:dyDescent="0.2">
      <c r="A1624" s="3"/>
      <c r="B1624" s="3"/>
      <c r="C1624" s="3"/>
      <c r="D1624" s="3"/>
      <c r="E1624" s="3"/>
      <c r="F1624" s="3"/>
      <c r="G1624" s="3"/>
    </row>
    <row r="1625" spans="1:7" customFormat="1" x14ac:dyDescent="0.2">
      <c r="A1625" s="3"/>
      <c r="B1625" s="3"/>
      <c r="C1625" s="3"/>
      <c r="D1625" s="3"/>
      <c r="E1625" s="3"/>
      <c r="F1625" s="3"/>
      <c r="G1625" s="3"/>
    </row>
    <row r="1626" spans="1:7" customFormat="1" x14ac:dyDescent="0.2">
      <c r="A1626" s="3"/>
      <c r="B1626" s="3"/>
      <c r="C1626" s="3"/>
      <c r="D1626" s="3"/>
      <c r="E1626" s="3"/>
      <c r="F1626" s="3"/>
      <c r="G1626" s="3"/>
    </row>
    <row r="1627" spans="1:7" customFormat="1" x14ac:dyDescent="0.2">
      <c r="A1627" s="3"/>
      <c r="B1627" s="3"/>
      <c r="C1627" s="3"/>
      <c r="D1627" s="3"/>
      <c r="E1627" s="3"/>
      <c r="F1627" s="3"/>
      <c r="G1627" s="3"/>
    </row>
    <row r="1628" spans="1:7" customFormat="1" x14ac:dyDescent="0.2">
      <c r="A1628" s="3"/>
      <c r="B1628" s="3"/>
      <c r="C1628" s="3"/>
      <c r="D1628" s="3"/>
      <c r="E1628" s="3"/>
      <c r="F1628" s="3"/>
      <c r="G1628" s="3"/>
    </row>
    <row r="1629" spans="1:7" customFormat="1" x14ac:dyDescent="0.2">
      <c r="A1629" s="3"/>
      <c r="B1629" s="3"/>
      <c r="C1629" s="3"/>
      <c r="D1629" s="3"/>
      <c r="E1629" s="3"/>
      <c r="F1629" s="3"/>
      <c r="G1629" s="3"/>
    </row>
    <row r="1630" spans="1:7" customFormat="1" x14ac:dyDescent="0.2">
      <c r="A1630" s="3"/>
      <c r="B1630" s="3"/>
      <c r="C1630" s="3"/>
      <c r="D1630" s="3"/>
      <c r="E1630" s="3"/>
      <c r="F1630" s="3"/>
      <c r="G1630" s="3"/>
    </row>
    <row r="1631" spans="1:7" customFormat="1" x14ac:dyDescent="0.2">
      <c r="A1631" s="3"/>
      <c r="B1631" s="3"/>
      <c r="C1631" s="3"/>
      <c r="D1631" s="3"/>
      <c r="E1631" s="3"/>
      <c r="F1631" s="3"/>
      <c r="G1631" s="3"/>
    </row>
    <row r="1632" spans="1:7" customFormat="1" x14ac:dyDescent="0.2">
      <c r="A1632" s="3"/>
      <c r="B1632" s="3"/>
      <c r="C1632" s="3"/>
      <c r="D1632" s="3"/>
      <c r="E1632" s="3"/>
      <c r="F1632" s="3"/>
      <c r="G1632" s="3"/>
    </row>
    <row r="1633" spans="1:7" customFormat="1" x14ac:dyDescent="0.2">
      <c r="A1633" s="3"/>
      <c r="B1633" s="3"/>
      <c r="C1633" s="3"/>
      <c r="D1633" s="3"/>
      <c r="E1633" s="3"/>
      <c r="F1633" s="3"/>
      <c r="G1633" s="3"/>
    </row>
    <row r="1634" spans="1:7" customFormat="1" x14ac:dyDescent="0.2">
      <c r="A1634" s="3"/>
      <c r="B1634" s="3"/>
      <c r="C1634" s="3"/>
      <c r="D1634" s="3"/>
      <c r="E1634" s="3"/>
      <c r="F1634" s="3"/>
      <c r="G1634" s="3"/>
    </row>
    <row r="1635" spans="1:7" customFormat="1" x14ac:dyDescent="0.2">
      <c r="A1635" s="3"/>
      <c r="B1635" s="3"/>
      <c r="C1635" s="3"/>
      <c r="D1635" s="3"/>
      <c r="E1635" s="3"/>
      <c r="F1635" s="3"/>
      <c r="G1635" s="3"/>
    </row>
    <row r="1636" spans="1:7" customFormat="1" x14ac:dyDescent="0.2">
      <c r="A1636" s="3"/>
      <c r="B1636" s="3"/>
      <c r="C1636" s="3"/>
      <c r="D1636" s="3"/>
      <c r="E1636" s="3"/>
      <c r="F1636" s="3"/>
      <c r="G1636" s="3"/>
    </row>
    <row r="1637" spans="1:7" customFormat="1" x14ac:dyDescent="0.2">
      <c r="A1637" s="3"/>
      <c r="B1637" s="3"/>
      <c r="C1637" s="3"/>
      <c r="D1637" s="3"/>
      <c r="E1637" s="3"/>
      <c r="F1637" s="3"/>
      <c r="G1637" s="3"/>
    </row>
    <row r="1638" spans="1:7" customFormat="1" x14ac:dyDescent="0.2">
      <c r="A1638" s="3"/>
      <c r="B1638" s="3"/>
      <c r="C1638" s="3"/>
      <c r="D1638" s="3"/>
      <c r="E1638" s="3"/>
      <c r="F1638" s="3"/>
      <c r="G1638" s="3"/>
    </row>
    <row r="1639" spans="1:7" customFormat="1" x14ac:dyDescent="0.2">
      <c r="A1639" s="3"/>
      <c r="B1639" s="3"/>
      <c r="C1639" s="3"/>
      <c r="D1639" s="3"/>
      <c r="E1639" s="3"/>
      <c r="F1639" s="3"/>
      <c r="G1639" s="3"/>
    </row>
    <row r="1640" spans="1:7" customFormat="1" x14ac:dyDescent="0.2">
      <c r="A1640" s="3"/>
      <c r="B1640" s="3"/>
      <c r="C1640" s="3"/>
      <c r="D1640" s="3"/>
      <c r="E1640" s="3"/>
      <c r="F1640" s="3"/>
      <c r="G1640" s="3"/>
    </row>
    <row r="1641" spans="1:7" customFormat="1" x14ac:dyDescent="0.2">
      <c r="A1641" s="3"/>
      <c r="B1641" s="3"/>
      <c r="C1641" s="3"/>
      <c r="D1641" s="3"/>
      <c r="E1641" s="3"/>
      <c r="F1641" s="3"/>
      <c r="G1641" s="3"/>
    </row>
    <row r="1642" spans="1:7" customFormat="1" x14ac:dyDescent="0.2">
      <c r="A1642" s="3"/>
      <c r="B1642" s="3"/>
      <c r="C1642" s="3"/>
      <c r="D1642" s="3"/>
      <c r="E1642" s="3"/>
      <c r="F1642" s="3"/>
      <c r="G1642" s="3"/>
    </row>
    <row r="1643" spans="1:7" customFormat="1" x14ac:dyDescent="0.2">
      <c r="A1643" s="3"/>
      <c r="B1643" s="3"/>
      <c r="C1643" s="3"/>
      <c r="D1643" s="3"/>
      <c r="E1643" s="3"/>
      <c r="F1643" s="3"/>
      <c r="G1643" s="3"/>
    </row>
    <row r="1644" spans="1:7" customFormat="1" x14ac:dyDescent="0.2">
      <c r="A1644" s="3"/>
      <c r="B1644" s="3"/>
      <c r="C1644" s="3"/>
      <c r="D1644" s="3"/>
      <c r="E1644" s="3"/>
      <c r="F1644" s="3"/>
      <c r="G1644" s="3"/>
    </row>
    <row r="1645" spans="1:7" customFormat="1" x14ac:dyDescent="0.2">
      <c r="A1645" s="3"/>
      <c r="B1645" s="3"/>
      <c r="C1645" s="3"/>
      <c r="D1645" s="3"/>
      <c r="E1645" s="3"/>
      <c r="F1645" s="3"/>
      <c r="G1645" s="3"/>
    </row>
    <row r="1646" spans="1:7" customFormat="1" x14ac:dyDescent="0.2">
      <c r="A1646" s="3"/>
      <c r="B1646" s="3"/>
      <c r="C1646" s="3"/>
      <c r="D1646" s="3"/>
      <c r="E1646" s="3"/>
      <c r="F1646" s="3"/>
      <c r="G1646" s="3"/>
    </row>
    <row r="1647" spans="1:7" customFormat="1" x14ac:dyDescent="0.2">
      <c r="A1647" s="3"/>
      <c r="B1647" s="3"/>
      <c r="C1647" s="3"/>
      <c r="D1647" s="3"/>
      <c r="E1647" s="3"/>
      <c r="F1647" s="3"/>
      <c r="G1647" s="3"/>
    </row>
    <row r="1648" spans="1:7" customFormat="1" x14ac:dyDescent="0.2">
      <c r="A1648" s="3"/>
      <c r="B1648" s="3"/>
      <c r="C1648" s="3"/>
      <c r="D1648" s="3"/>
      <c r="E1648" s="3"/>
      <c r="F1648" s="3"/>
      <c r="G1648" s="3"/>
    </row>
    <row r="1649" spans="1:7" customFormat="1" x14ac:dyDescent="0.2">
      <c r="A1649" s="3"/>
      <c r="B1649" s="3"/>
      <c r="C1649" s="3"/>
      <c r="D1649" s="3"/>
      <c r="E1649" s="3"/>
      <c r="F1649" s="3"/>
      <c r="G1649" s="3"/>
    </row>
    <row r="1650" spans="1:7" customFormat="1" x14ac:dyDescent="0.2">
      <c r="A1650" s="3"/>
      <c r="B1650" s="3"/>
      <c r="C1650" s="3"/>
      <c r="D1650" s="3"/>
      <c r="E1650" s="3"/>
      <c r="F1650" s="3"/>
      <c r="G1650" s="3"/>
    </row>
    <row r="1651" spans="1:7" customFormat="1" x14ac:dyDescent="0.2">
      <c r="A1651" s="3"/>
      <c r="B1651" s="3"/>
      <c r="C1651" s="3"/>
      <c r="D1651" s="3"/>
      <c r="E1651" s="3"/>
      <c r="F1651" s="3"/>
      <c r="G1651" s="3"/>
    </row>
    <row r="1652" spans="1:7" customFormat="1" x14ac:dyDescent="0.2">
      <c r="A1652" s="3"/>
      <c r="B1652" s="3"/>
      <c r="C1652" s="3"/>
      <c r="D1652" s="3"/>
      <c r="E1652" s="3"/>
      <c r="F1652" s="3"/>
      <c r="G1652" s="3"/>
    </row>
    <row r="1653" spans="1:7" customFormat="1" x14ac:dyDescent="0.2">
      <c r="A1653" s="3"/>
      <c r="B1653" s="3"/>
      <c r="C1653" s="3"/>
      <c r="D1653" s="3"/>
      <c r="E1653" s="3"/>
      <c r="F1653" s="3"/>
      <c r="G1653" s="3"/>
    </row>
    <row r="1654" spans="1:7" customFormat="1" x14ac:dyDescent="0.2">
      <c r="A1654" s="3"/>
      <c r="B1654" s="3"/>
      <c r="C1654" s="3"/>
      <c r="D1654" s="3"/>
      <c r="E1654" s="3"/>
      <c r="F1654" s="3"/>
      <c r="G1654" s="3"/>
    </row>
    <row r="1655" spans="1:7" customFormat="1" x14ac:dyDescent="0.2">
      <c r="A1655" s="3"/>
      <c r="B1655" s="3"/>
      <c r="C1655" s="3"/>
      <c r="D1655" s="3"/>
      <c r="E1655" s="3"/>
      <c r="F1655" s="3"/>
      <c r="G1655" s="3"/>
    </row>
    <row r="1656" spans="1:7" customFormat="1" x14ac:dyDescent="0.2">
      <c r="A1656" s="3"/>
      <c r="B1656" s="3"/>
      <c r="C1656" s="3"/>
      <c r="D1656" s="3"/>
      <c r="E1656" s="3"/>
      <c r="F1656" s="3"/>
      <c r="G1656" s="3"/>
    </row>
    <row r="1657" spans="1:7" customFormat="1" x14ac:dyDescent="0.2">
      <c r="A1657" s="3"/>
      <c r="B1657" s="3"/>
      <c r="C1657" s="3"/>
      <c r="D1657" s="3"/>
      <c r="E1657" s="3"/>
      <c r="F1657" s="3"/>
      <c r="G1657" s="3"/>
    </row>
    <row r="1658" spans="1:7" customFormat="1" x14ac:dyDescent="0.2">
      <c r="A1658" s="3"/>
      <c r="B1658" s="3"/>
      <c r="C1658" s="3"/>
      <c r="D1658" s="3"/>
      <c r="E1658" s="3"/>
      <c r="F1658" s="3"/>
      <c r="G1658" s="3"/>
    </row>
    <row r="1659" spans="1:7" customFormat="1" x14ac:dyDescent="0.2">
      <c r="A1659" s="3"/>
      <c r="B1659" s="3"/>
      <c r="C1659" s="3"/>
      <c r="D1659" s="3"/>
      <c r="E1659" s="3"/>
      <c r="F1659" s="3"/>
      <c r="G1659" s="3"/>
    </row>
    <row r="1660" spans="1:7" customFormat="1" x14ac:dyDescent="0.2">
      <c r="A1660" s="3"/>
      <c r="B1660" s="3"/>
      <c r="C1660" s="3"/>
      <c r="D1660" s="3"/>
      <c r="E1660" s="3"/>
      <c r="F1660" s="3"/>
      <c r="G1660" s="3"/>
    </row>
    <row r="1661" spans="1:7" customFormat="1" x14ac:dyDescent="0.2">
      <c r="A1661" s="3"/>
      <c r="B1661" s="3"/>
      <c r="C1661" s="3"/>
      <c r="D1661" s="3"/>
      <c r="E1661" s="3"/>
      <c r="F1661" s="3"/>
      <c r="G1661" s="3"/>
    </row>
    <row r="1662" spans="1:7" customFormat="1" x14ac:dyDescent="0.2">
      <c r="A1662" s="3"/>
      <c r="B1662" s="3"/>
      <c r="C1662" s="3"/>
      <c r="D1662" s="3"/>
      <c r="E1662" s="3"/>
      <c r="F1662" s="3"/>
      <c r="G1662" s="3"/>
    </row>
    <row r="1663" spans="1:7" customFormat="1" x14ac:dyDescent="0.2">
      <c r="A1663" s="3"/>
      <c r="B1663" s="3"/>
      <c r="C1663" s="3"/>
      <c r="D1663" s="3"/>
      <c r="E1663" s="3"/>
      <c r="F1663" s="3"/>
      <c r="G1663" s="3"/>
    </row>
    <row r="1664" spans="1:7" customFormat="1" x14ac:dyDescent="0.2">
      <c r="A1664" s="3"/>
      <c r="B1664" s="3"/>
      <c r="C1664" s="3"/>
      <c r="D1664" s="3"/>
      <c r="E1664" s="3"/>
      <c r="F1664" s="3"/>
      <c r="G1664" s="3"/>
    </row>
    <row r="1665" spans="1:7" customFormat="1" x14ac:dyDescent="0.2">
      <c r="A1665" s="3"/>
      <c r="B1665" s="3"/>
      <c r="C1665" s="3"/>
      <c r="D1665" s="3"/>
      <c r="E1665" s="3"/>
      <c r="F1665" s="3"/>
      <c r="G1665" s="3"/>
    </row>
    <row r="1666" spans="1:7" customFormat="1" x14ac:dyDescent="0.2">
      <c r="A1666" s="3"/>
      <c r="B1666" s="3"/>
      <c r="C1666" s="3"/>
      <c r="D1666" s="3"/>
      <c r="E1666" s="3"/>
      <c r="F1666" s="3"/>
      <c r="G1666" s="3"/>
    </row>
    <row r="1667" spans="1:7" customFormat="1" x14ac:dyDescent="0.2">
      <c r="A1667" s="3"/>
      <c r="B1667" s="3"/>
      <c r="C1667" s="3"/>
      <c r="D1667" s="3"/>
      <c r="E1667" s="3"/>
      <c r="F1667" s="3"/>
      <c r="G1667" s="3"/>
    </row>
    <row r="1668" spans="1:7" customFormat="1" x14ac:dyDescent="0.2">
      <c r="A1668" s="3"/>
      <c r="B1668" s="3"/>
      <c r="C1668" s="3"/>
      <c r="D1668" s="3"/>
      <c r="E1668" s="3"/>
      <c r="F1668" s="3"/>
      <c r="G1668" s="3"/>
    </row>
    <row r="1669" spans="1:7" customFormat="1" x14ac:dyDescent="0.2">
      <c r="A1669" s="3"/>
      <c r="B1669" s="3"/>
      <c r="C1669" s="3"/>
      <c r="D1669" s="3"/>
      <c r="E1669" s="3"/>
      <c r="F1669" s="3"/>
      <c r="G1669" s="3"/>
    </row>
    <row r="1670" spans="1:7" customFormat="1" x14ac:dyDescent="0.2">
      <c r="A1670" s="3"/>
      <c r="B1670" s="3"/>
      <c r="C1670" s="3"/>
      <c r="D1670" s="3"/>
      <c r="E1670" s="3"/>
      <c r="F1670" s="3"/>
      <c r="G1670" s="3"/>
    </row>
    <row r="1671" spans="1:7" customFormat="1" x14ac:dyDescent="0.2">
      <c r="A1671" s="3"/>
      <c r="B1671" s="3"/>
      <c r="C1671" s="3"/>
      <c r="D1671" s="3"/>
      <c r="E1671" s="3"/>
      <c r="F1671" s="3"/>
      <c r="G1671" s="3"/>
    </row>
    <row r="1672" spans="1:7" customFormat="1" x14ac:dyDescent="0.2">
      <c r="A1672" s="3"/>
      <c r="B1672" s="3"/>
      <c r="C1672" s="3"/>
      <c r="D1672" s="3"/>
      <c r="E1672" s="3"/>
      <c r="F1672" s="3"/>
      <c r="G1672" s="3"/>
    </row>
    <row r="1673" spans="1:7" customFormat="1" x14ac:dyDescent="0.2">
      <c r="A1673" s="3"/>
      <c r="B1673" s="3"/>
      <c r="C1673" s="3"/>
      <c r="D1673" s="3"/>
      <c r="E1673" s="3"/>
      <c r="F1673" s="3"/>
      <c r="G1673" s="3"/>
    </row>
    <row r="1674" spans="1:7" customFormat="1" x14ac:dyDescent="0.2">
      <c r="A1674" s="3"/>
      <c r="B1674" s="3"/>
      <c r="C1674" s="3"/>
      <c r="D1674" s="3"/>
      <c r="E1674" s="3"/>
      <c r="F1674" s="3"/>
      <c r="G1674" s="3"/>
    </row>
    <row r="1675" spans="1:7" customFormat="1" x14ac:dyDescent="0.2">
      <c r="A1675" s="3"/>
      <c r="B1675" s="3"/>
      <c r="C1675" s="3"/>
      <c r="D1675" s="3"/>
      <c r="E1675" s="3"/>
      <c r="F1675" s="3"/>
      <c r="G1675" s="3"/>
    </row>
    <row r="1676" spans="1:7" customFormat="1" x14ac:dyDescent="0.2">
      <c r="A1676" s="3"/>
      <c r="B1676" s="3"/>
      <c r="C1676" s="3"/>
      <c r="D1676" s="3"/>
      <c r="E1676" s="3"/>
      <c r="F1676" s="3"/>
      <c r="G1676" s="3"/>
    </row>
    <row r="1677" spans="1:7" customFormat="1" x14ac:dyDescent="0.2">
      <c r="A1677" s="3"/>
      <c r="B1677" s="3"/>
      <c r="C1677" s="3"/>
      <c r="D1677" s="3"/>
      <c r="E1677" s="3"/>
      <c r="F1677" s="3"/>
      <c r="G1677" s="3"/>
    </row>
    <row r="1678" spans="1:7" customFormat="1" x14ac:dyDescent="0.2">
      <c r="A1678" s="3"/>
      <c r="B1678" s="3"/>
      <c r="C1678" s="3"/>
      <c r="D1678" s="3"/>
      <c r="E1678" s="3"/>
      <c r="F1678" s="3"/>
      <c r="G1678" s="3"/>
    </row>
    <row r="1679" spans="1:7" customFormat="1" x14ac:dyDescent="0.2">
      <c r="A1679" s="3"/>
      <c r="B1679" s="3"/>
      <c r="C1679" s="3"/>
      <c r="D1679" s="3"/>
      <c r="E1679" s="3"/>
      <c r="F1679" s="3"/>
      <c r="G1679" s="3"/>
    </row>
    <row r="1680" spans="1:7" customFormat="1" x14ac:dyDescent="0.2">
      <c r="A1680" s="3"/>
      <c r="B1680" s="3"/>
      <c r="C1680" s="3"/>
      <c r="D1680" s="3"/>
      <c r="E1680" s="3"/>
      <c r="F1680" s="3"/>
      <c r="G1680" s="3"/>
    </row>
    <row r="1681" spans="1:7" customFormat="1" x14ac:dyDescent="0.2">
      <c r="A1681" s="3"/>
      <c r="B1681" s="3"/>
      <c r="C1681" s="3"/>
      <c r="D1681" s="3"/>
      <c r="E1681" s="3"/>
      <c r="F1681" s="3"/>
      <c r="G1681" s="3"/>
    </row>
    <row r="1682" spans="1:7" customFormat="1" x14ac:dyDescent="0.2">
      <c r="A1682" s="3"/>
      <c r="B1682" s="3"/>
      <c r="C1682" s="3"/>
      <c r="D1682" s="3"/>
      <c r="E1682" s="3"/>
      <c r="F1682" s="3"/>
      <c r="G1682" s="3"/>
    </row>
    <row r="1683" spans="1:7" customFormat="1" x14ac:dyDescent="0.2">
      <c r="A1683" s="3"/>
      <c r="B1683" s="3"/>
      <c r="C1683" s="3"/>
      <c r="D1683" s="3"/>
      <c r="E1683" s="3"/>
      <c r="F1683" s="3"/>
      <c r="G1683" s="3"/>
    </row>
    <row r="1684" spans="1:7" customFormat="1" x14ac:dyDescent="0.2">
      <c r="A1684" s="3"/>
      <c r="B1684" s="3"/>
      <c r="C1684" s="3"/>
      <c r="D1684" s="3"/>
      <c r="E1684" s="3"/>
      <c r="F1684" s="3"/>
      <c r="G1684" s="3"/>
    </row>
    <row r="1685" spans="1:7" customFormat="1" x14ac:dyDescent="0.2">
      <c r="A1685" s="3"/>
      <c r="B1685" s="3"/>
      <c r="C1685" s="3"/>
      <c r="D1685" s="3"/>
      <c r="E1685" s="3"/>
      <c r="F1685" s="3"/>
      <c r="G1685" s="3"/>
    </row>
    <row r="1686" spans="1:7" customFormat="1" x14ac:dyDescent="0.2">
      <c r="A1686" s="3"/>
      <c r="B1686" s="3"/>
      <c r="C1686" s="3"/>
      <c r="D1686" s="3"/>
      <c r="E1686" s="3"/>
      <c r="F1686" s="3"/>
      <c r="G1686" s="3"/>
    </row>
    <row r="1687" spans="1:7" customFormat="1" x14ac:dyDescent="0.2">
      <c r="A1687" s="3"/>
      <c r="B1687" s="3"/>
      <c r="C1687" s="3"/>
      <c r="D1687" s="3"/>
      <c r="E1687" s="3"/>
      <c r="F1687" s="3"/>
      <c r="G1687" s="3"/>
    </row>
    <row r="1688" spans="1:7" customFormat="1" x14ac:dyDescent="0.2">
      <c r="A1688" s="3"/>
      <c r="B1688" s="3"/>
      <c r="C1688" s="3"/>
      <c r="D1688" s="3"/>
      <c r="E1688" s="3"/>
      <c r="F1688" s="3"/>
      <c r="G1688" s="3"/>
    </row>
    <row r="1689" spans="1:7" customFormat="1" x14ac:dyDescent="0.2">
      <c r="A1689" s="3"/>
      <c r="B1689" s="3"/>
      <c r="C1689" s="3"/>
      <c r="D1689" s="3"/>
      <c r="E1689" s="3"/>
      <c r="F1689" s="3"/>
      <c r="G1689" s="3"/>
    </row>
    <row r="1690" spans="1:7" customFormat="1" x14ac:dyDescent="0.2">
      <c r="A1690" s="3"/>
      <c r="B1690" s="3"/>
      <c r="C1690" s="3"/>
      <c r="D1690" s="3"/>
      <c r="E1690" s="3"/>
      <c r="F1690" s="3"/>
      <c r="G1690" s="3"/>
    </row>
    <row r="1691" spans="1:7" customFormat="1" x14ac:dyDescent="0.2">
      <c r="A1691" s="3"/>
      <c r="B1691" s="3"/>
      <c r="C1691" s="3"/>
      <c r="D1691" s="3"/>
      <c r="E1691" s="3"/>
      <c r="F1691" s="3"/>
      <c r="G1691" s="3"/>
    </row>
    <row r="1692" spans="1:7" customFormat="1" x14ac:dyDescent="0.2">
      <c r="A1692" s="3"/>
      <c r="B1692" s="3"/>
      <c r="C1692" s="3"/>
      <c r="D1692" s="3"/>
      <c r="E1692" s="3"/>
      <c r="F1692" s="3"/>
      <c r="G1692" s="3"/>
    </row>
    <row r="1693" spans="1:7" customFormat="1" x14ac:dyDescent="0.2">
      <c r="A1693" s="3"/>
      <c r="B1693" s="3"/>
      <c r="C1693" s="3"/>
      <c r="D1693" s="3"/>
      <c r="E1693" s="3"/>
      <c r="F1693" s="3"/>
      <c r="G1693" s="3"/>
    </row>
    <row r="1694" spans="1:7" customFormat="1" x14ac:dyDescent="0.2">
      <c r="A1694" s="3"/>
      <c r="B1694" s="3"/>
      <c r="C1694" s="3"/>
      <c r="D1694" s="3"/>
      <c r="E1694" s="3"/>
      <c r="F1694" s="3"/>
      <c r="G1694" s="3"/>
    </row>
    <row r="1695" spans="1:7" customFormat="1" x14ac:dyDescent="0.2">
      <c r="A1695" s="3"/>
      <c r="B1695" s="3"/>
      <c r="C1695" s="3"/>
      <c r="D1695" s="3"/>
      <c r="E1695" s="3"/>
      <c r="F1695" s="3"/>
      <c r="G1695" s="3"/>
    </row>
    <row r="1696" spans="1:7" customFormat="1" x14ac:dyDescent="0.2">
      <c r="A1696" s="3"/>
      <c r="B1696" s="3"/>
      <c r="C1696" s="3"/>
      <c r="D1696" s="3"/>
      <c r="E1696" s="3"/>
      <c r="F1696" s="3"/>
      <c r="G1696" s="3"/>
    </row>
    <row r="1697" spans="1:7" customFormat="1" x14ac:dyDescent="0.2">
      <c r="A1697" s="3"/>
      <c r="B1697" s="3"/>
      <c r="C1697" s="3"/>
      <c r="D1697" s="3"/>
      <c r="E1697" s="3"/>
      <c r="F1697" s="3"/>
      <c r="G1697" s="3"/>
    </row>
    <row r="1698" spans="1:7" customFormat="1" x14ac:dyDescent="0.2">
      <c r="A1698" s="3"/>
      <c r="B1698" s="3"/>
      <c r="C1698" s="3"/>
      <c r="D1698" s="3"/>
      <c r="E1698" s="3"/>
      <c r="F1698" s="3"/>
      <c r="G1698" s="3"/>
    </row>
    <row r="1699" spans="1:7" customFormat="1" x14ac:dyDescent="0.2">
      <c r="A1699" s="3"/>
      <c r="B1699" s="3"/>
      <c r="C1699" s="3"/>
      <c r="D1699" s="3"/>
      <c r="E1699" s="3"/>
      <c r="F1699" s="3"/>
      <c r="G1699" s="3"/>
    </row>
    <row r="1700" spans="1:7" customFormat="1" x14ac:dyDescent="0.2">
      <c r="A1700" s="3"/>
      <c r="B1700" s="3"/>
      <c r="C1700" s="3"/>
      <c r="D1700" s="3"/>
      <c r="E1700" s="3"/>
      <c r="F1700" s="3"/>
      <c r="G1700" s="3"/>
    </row>
    <row r="1701" spans="1:7" customFormat="1" x14ac:dyDescent="0.2">
      <c r="A1701" s="3"/>
      <c r="B1701" s="3"/>
      <c r="C1701" s="3"/>
      <c r="D1701" s="3"/>
      <c r="E1701" s="3"/>
      <c r="F1701" s="3"/>
      <c r="G1701" s="3"/>
    </row>
    <row r="1702" spans="1:7" customFormat="1" x14ac:dyDescent="0.2">
      <c r="A1702" s="3"/>
      <c r="B1702" s="3"/>
      <c r="C1702" s="3"/>
      <c r="D1702" s="3"/>
      <c r="E1702" s="3"/>
      <c r="F1702" s="3"/>
      <c r="G1702" s="3"/>
    </row>
    <row r="1703" spans="1:7" customFormat="1" x14ac:dyDescent="0.2">
      <c r="A1703" s="3"/>
      <c r="B1703" s="3"/>
      <c r="C1703" s="3"/>
      <c r="D1703" s="3"/>
      <c r="E1703" s="3"/>
      <c r="F1703" s="3"/>
      <c r="G1703" s="3"/>
    </row>
    <row r="1704" spans="1:7" customFormat="1" x14ac:dyDescent="0.2">
      <c r="A1704" s="3"/>
      <c r="B1704" s="3"/>
      <c r="C1704" s="3"/>
      <c r="D1704" s="3"/>
      <c r="E1704" s="3"/>
      <c r="F1704" s="3"/>
      <c r="G1704" s="3"/>
    </row>
    <row r="1705" spans="1:7" customFormat="1" x14ac:dyDescent="0.2">
      <c r="A1705" s="3"/>
      <c r="B1705" s="3"/>
      <c r="C1705" s="3"/>
      <c r="D1705" s="3"/>
      <c r="E1705" s="3"/>
      <c r="F1705" s="3"/>
      <c r="G1705" s="3"/>
    </row>
    <row r="1706" spans="1:7" customFormat="1" x14ac:dyDescent="0.2">
      <c r="A1706" s="3"/>
      <c r="B1706" s="3"/>
      <c r="C1706" s="3"/>
      <c r="D1706" s="3"/>
      <c r="E1706" s="3"/>
      <c r="F1706" s="3"/>
      <c r="G1706" s="3"/>
    </row>
    <row r="1707" spans="1:7" customFormat="1" x14ac:dyDescent="0.2">
      <c r="A1707" s="3"/>
      <c r="B1707" s="3"/>
      <c r="C1707" s="3"/>
      <c r="D1707" s="3"/>
      <c r="E1707" s="3"/>
      <c r="F1707" s="3"/>
      <c r="G1707" s="3"/>
    </row>
    <row r="1708" spans="1:7" customFormat="1" x14ac:dyDescent="0.2">
      <c r="A1708" s="3"/>
      <c r="B1708" s="3"/>
      <c r="C1708" s="3"/>
      <c r="D1708" s="3"/>
      <c r="E1708" s="3"/>
      <c r="F1708" s="3"/>
      <c r="G1708" s="3"/>
    </row>
    <row r="1709" spans="1:7" customFormat="1" x14ac:dyDescent="0.2">
      <c r="A1709" s="3"/>
      <c r="B1709" s="3"/>
      <c r="C1709" s="3"/>
      <c r="D1709" s="3"/>
      <c r="E1709" s="3"/>
      <c r="F1709" s="3"/>
      <c r="G1709" s="3"/>
    </row>
    <row r="1710" spans="1:7" customFormat="1" x14ac:dyDescent="0.2">
      <c r="A1710" s="3"/>
      <c r="B1710" s="3"/>
      <c r="C1710" s="3"/>
      <c r="D1710" s="3"/>
      <c r="E1710" s="3"/>
      <c r="F1710" s="3"/>
      <c r="G1710" s="3"/>
    </row>
    <row r="1711" spans="1:7" customFormat="1" x14ac:dyDescent="0.2">
      <c r="A1711" s="3"/>
      <c r="B1711" s="3"/>
      <c r="C1711" s="3"/>
      <c r="D1711" s="3"/>
      <c r="E1711" s="3"/>
      <c r="F1711" s="3"/>
      <c r="G1711" s="3"/>
    </row>
    <row r="1712" spans="1:7" customFormat="1" x14ac:dyDescent="0.2">
      <c r="A1712" s="3"/>
      <c r="B1712" s="3"/>
      <c r="C1712" s="3"/>
      <c r="D1712" s="3"/>
      <c r="E1712" s="3"/>
      <c r="F1712" s="3"/>
      <c r="G1712" s="3"/>
    </row>
    <row r="1713" spans="1:7" customFormat="1" x14ac:dyDescent="0.2">
      <c r="A1713" s="3"/>
      <c r="B1713" s="3"/>
      <c r="C1713" s="3"/>
      <c r="D1713" s="3"/>
      <c r="E1713" s="3"/>
      <c r="F1713" s="3"/>
      <c r="G1713" s="3"/>
    </row>
    <row r="1714" spans="1:7" customFormat="1" x14ac:dyDescent="0.2">
      <c r="A1714" s="3"/>
      <c r="B1714" s="3"/>
      <c r="C1714" s="3"/>
      <c r="D1714" s="3"/>
      <c r="E1714" s="3"/>
      <c r="F1714" s="3"/>
      <c r="G1714" s="3"/>
    </row>
    <row r="1715" spans="1:7" customFormat="1" x14ac:dyDescent="0.2">
      <c r="A1715" s="3"/>
      <c r="B1715" s="3"/>
      <c r="C1715" s="3"/>
      <c r="D1715" s="3"/>
      <c r="E1715" s="3"/>
      <c r="F1715" s="3"/>
      <c r="G1715" s="3"/>
    </row>
    <row r="1716" spans="1:7" customFormat="1" x14ac:dyDescent="0.2">
      <c r="A1716" s="3"/>
      <c r="B1716" s="3"/>
      <c r="C1716" s="3"/>
      <c r="D1716" s="3"/>
      <c r="E1716" s="3"/>
      <c r="F1716" s="3"/>
      <c r="G1716" s="3"/>
    </row>
    <row r="1717" spans="1:7" customFormat="1" x14ac:dyDescent="0.2">
      <c r="A1717" s="3"/>
      <c r="B1717" s="3"/>
      <c r="C1717" s="3"/>
      <c r="D1717" s="3"/>
      <c r="E1717" s="3"/>
      <c r="F1717" s="3"/>
      <c r="G1717" s="3"/>
    </row>
    <row r="1718" spans="1:7" customFormat="1" x14ac:dyDescent="0.2">
      <c r="A1718" s="3"/>
      <c r="B1718" s="3"/>
      <c r="C1718" s="3"/>
      <c r="D1718" s="3"/>
      <c r="E1718" s="3"/>
      <c r="F1718" s="3"/>
      <c r="G1718" s="3"/>
    </row>
    <row r="1719" spans="1:7" customFormat="1" x14ac:dyDescent="0.2">
      <c r="A1719" s="3"/>
      <c r="B1719" s="3"/>
      <c r="C1719" s="3"/>
      <c r="D1719" s="3"/>
      <c r="E1719" s="3"/>
      <c r="F1719" s="3"/>
      <c r="G1719" s="3"/>
    </row>
    <row r="1720" spans="1:7" customFormat="1" x14ac:dyDescent="0.2">
      <c r="A1720" s="3"/>
      <c r="B1720" s="3"/>
      <c r="C1720" s="3"/>
      <c r="D1720" s="3"/>
      <c r="E1720" s="3"/>
      <c r="F1720" s="3"/>
      <c r="G1720" s="3"/>
    </row>
    <row r="1721" spans="1:7" customFormat="1" x14ac:dyDescent="0.2">
      <c r="A1721" s="3"/>
      <c r="B1721" s="3"/>
      <c r="C1721" s="3"/>
      <c r="D1721" s="3"/>
      <c r="E1721" s="3"/>
      <c r="F1721" s="3"/>
      <c r="G1721" s="3"/>
    </row>
    <row r="1722" spans="1:7" customFormat="1" x14ac:dyDescent="0.2">
      <c r="A1722" s="3"/>
      <c r="B1722" s="3"/>
      <c r="C1722" s="3"/>
      <c r="D1722" s="3"/>
      <c r="E1722" s="3"/>
      <c r="F1722" s="3"/>
      <c r="G1722" s="3"/>
    </row>
    <row r="1723" spans="1:7" customFormat="1" x14ac:dyDescent="0.2">
      <c r="A1723" s="3"/>
      <c r="B1723" s="3"/>
      <c r="C1723" s="3"/>
      <c r="D1723" s="3"/>
      <c r="E1723" s="3"/>
      <c r="F1723" s="3"/>
      <c r="G1723" s="3"/>
    </row>
    <row r="1724" spans="1:7" customFormat="1" x14ac:dyDescent="0.2">
      <c r="A1724" s="3"/>
      <c r="B1724" s="3"/>
      <c r="C1724" s="3"/>
      <c r="D1724" s="3"/>
      <c r="E1724" s="3"/>
      <c r="F1724" s="3"/>
      <c r="G1724" s="3"/>
    </row>
    <row r="1725" spans="1:7" customFormat="1" x14ac:dyDescent="0.2">
      <c r="A1725" s="3"/>
      <c r="B1725" s="3"/>
      <c r="C1725" s="3"/>
      <c r="D1725" s="3"/>
      <c r="E1725" s="3"/>
      <c r="F1725" s="3"/>
      <c r="G1725" s="3"/>
    </row>
    <row r="1726" spans="1:7" customFormat="1" x14ac:dyDescent="0.2">
      <c r="A1726" s="3"/>
      <c r="B1726" s="3"/>
      <c r="C1726" s="3"/>
      <c r="D1726" s="3"/>
      <c r="E1726" s="3"/>
      <c r="F1726" s="3"/>
      <c r="G1726" s="3"/>
    </row>
    <row r="1727" spans="1:7" customFormat="1" x14ac:dyDescent="0.2">
      <c r="A1727" s="3"/>
      <c r="B1727" s="3"/>
      <c r="C1727" s="3"/>
      <c r="D1727" s="3"/>
      <c r="E1727" s="3"/>
      <c r="F1727" s="3"/>
      <c r="G1727" s="3"/>
    </row>
    <row r="1728" spans="1:7" customFormat="1" x14ac:dyDescent="0.2">
      <c r="A1728" s="3"/>
      <c r="B1728" s="3"/>
      <c r="C1728" s="3"/>
      <c r="D1728" s="3"/>
      <c r="E1728" s="3"/>
      <c r="F1728" s="3"/>
      <c r="G1728" s="3"/>
    </row>
    <row r="1729" spans="1:7" customFormat="1" x14ac:dyDescent="0.2">
      <c r="A1729" s="3"/>
      <c r="B1729" s="3"/>
      <c r="C1729" s="3"/>
      <c r="D1729" s="3"/>
      <c r="E1729" s="3"/>
      <c r="F1729" s="3"/>
      <c r="G1729" s="3"/>
    </row>
    <row r="1730" spans="1:7" customFormat="1" x14ac:dyDescent="0.2">
      <c r="A1730" s="3"/>
      <c r="B1730" s="3"/>
      <c r="C1730" s="3"/>
      <c r="D1730" s="3"/>
      <c r="E1730" s="3"/>
      <c r="F1730" s="3"/>
      <c r="G1730" s="3"/>
    </row>
    <row r="1731" spans="1:7" customFormat="1" x14ac:dyDescent="0.2">
      <c r="A1731" s="3"/>
      <c r="B1731" s="3"/>
      <c r="C1731" s="3"/>
      <c r="D1731" s="3"/>
      <c r="E1731" s="3"/>
      <c r="F1731" s="3"/>
      <c r="G1731" s="3"/>
    </row>
    <row r="1732" spans="1:7" customFormat="1" x14ac:dyDescent="0.2">
      <c r="A1732" s="3"/>
      <c r="B1732" s="3"/>
      <c r="C1732" s="3"/>
      <c r="D1732" s="3"/>
      <c r="E1732" s="3"/>
      <c r="F1732" s="3"/>
      <c r="G1732" s="3"/>
    </row>
    <row r="1733" spans="1:7" customFormat="1" x14ac:dyDescent="0.2">
      <c r="A1733" s="3"/>
      <c r="B1733" s="3"/>
      <c r="C1733" s="3"/>
      <c r="D1733" s="3"/>
      <c r="E1733" s="3"/>
      <c r="F1733" s="3"/>
      <c r="G1733" s="3"/>
    </row>
    <row r="1734" spans="1:7" customFormat="1" x14ac:dyDescent="0.2">
      <c r="A1734" s="3"/>
      <c r="B1734" s="3"/>
      <c r="C1734" s="3"/>
      <c r="D1734" s="3"/>
      <c r="E1734" s="3"/>
      <c r="F1734" s="3"/>
      <c r="G1734" s="3"/>
    </row>
    <row r="1735" spans="1:7" customFormat="1" x14ac:dyDescent="0.2">
      <c r="A1735" s="3"/>
      <c r="B1735" s="3"/>
      <c r="C1735" s="3"/>
      <c r="D1735" s="3"/>
      <c r="E1735" s="3"/>
      <c r="F1735" s="3"/>
      <c r="G1735" s="3"/>
    </row>
    <row r="1736" spans="1:7" customFormat="1" x14ac:dyDescent="0.2">
      <c r="A1736" s="3"/>
      <c r="B1736" s="3"/>
      <c r="C1736" s="3"/>
      <c r="D1736" s="3"/>
      <c r="E1736" s="3"/>
      <c r="F1736" s="3"/>
      <c r="G1736" s="3"/>
    </row>
    <row r="1737" spans="1:7" customFormat="1" x14ac:dyDescent="0.2">
      <c r="A1737" s="3"/>
      <c r="B1737" s="3"/>
      <c r="C1737" s="3"/>
      <c r="D1737" s="3"/>
      <c r="E1737" s="3"/>
      <c r="F1737" s="3"/>
      <c r="G1737" s="3"/>
    </row>
    <row r="1738" spans="1:7" customFormat="1" x14ac:dyDescent="0.2">
      <c r="A1738" s="3"/>
      <c r="B1738" s="3"/>
      <c r="C1738" s="3"/>
      <c r="D1738" s="3"/>
      <c r="E1738" s="3"/>
      <c r="F1738" s="3"/>
      <c r="G1738" s="3"/>
    </row>
    <row r="1739" spans="1:7" customFormat="1" x14ac:dyDescent="0.2">
      <c r="A1739" s="3"/>
      <c r="B1739" s="3"/>
      <c r="C1739" s="3"/>
      <c r="D1739" s="3"/>
      <c r="E1739" s="3"/>
      <c r="F1739" s="3"/>
      <c r="G1739" s="3"/>
    </row>
    <row r="1740" spans="1:7" customFormat="1" x14ac:dyDescent="0.2">
      <c r="A1740" s="3"/>
      <c r="B1740" s="3"/>
      <c r="C1740" s="3"/>
      <c r="D1740" s="3"/>
      <c r="E1740" s="3"/>
      <c r="F1740" s="3"/>
      <c r="G1740" s="3"/>
    </row>
    <row r="1741" spans="1:7" customFormat="1" x14ac:dyDescent="0.2">
      <c r="A1741" s="3"/>
      <c r="B1741" s="3"/>
      <c r="C1741" s="3"/>
      <c r="D1741" s="3"/>
      <c r="E1741" s="3"/>
      <c r="F1741" s="3"/>
      <c r="G1741" s="3"/>
    </row>
    <row r="1742" spans="1:7" customFormat="1" x14ac:dyDescent="0.2">
      <c r="A1742" s="3"/>
      <c r="B1742" s="3"/>
      <c r="C1742" s="3"/>
      <c r="D1742" s="3"/>
      <c r="E1742" s="3"/>
      <c r="F1742" s="3"/>
      <c r="G1742" s="3"/>
    </row>
    <row r="1743" spans="1:7" customFormat="1" x14ac:dyDescent="0.2">
      <c r="A1743" s="3"/>
      <c r="B1743" s="3"/>
      <c r="C1743" s="3"/>
      <c r="D1743" s="3"/>
      <c r="E1743" s="3"/>
      <c r="F1743" s="3"/>
      <c r="G1743" s="3"/>
    </row>
    <row r="1744" spans="1:7" customFormat="1" x14ac:dyDescent="0.2">
      <c r="A1744" s="3"/>
      <c r="B1744" s="3"/>
      <c r="C1744" s="3"/>
      <c r="D1744" s="3"/>
      <c r="E1744" s="3"/>
      <c r="F1744" s="3"/>
      <c r="G1744" s="3"/>
    </row>
    <row r="1745" spans="1:7" customFormat="1" x14ac:dyDescent="0.2">
      <c r="A1745" s="3"/>
      <c r="B1745" s="3"/>
      <c r="C1745" s="3"/>
      <c r="D1745" s="3"/>
      <c r="E1745" s="3"/>
      <c r="F1745" s="3"/>
      <c r="G1745" s="3"/>
    </row>
    <row r="1746" spans="1:7" customFormat="1" x14ac:dyDescent="0.2">
      <c r="A1746" s="3"/>
      <c r="B1746" s="3"/>
      <c r="C1746" s="3"/>
      <c r="D1746" s="3"/>
      <c r="E1746" s="3"/>
      <c r="F1746" s="3"/>
      <c r="G1746" s="3"/>
    </row>
    <row r="1747" spans="1:7" customFormat="1" x14ac:dyDescent="0.2">
      <c r="A1747" s="3"/>
      <c r="B1747" s="3"/>
      <c r="C1747" s="3"/>
      <c r="D1747" s="3"/>
      <c r="E1747" s="3"/>
      <c r="F1747" s="3"/>
      <c r="G1747" s="3"/>
    </row>
    <row r="1748" spans="1:7" customFormat="1" x14ac:dyDescent="0.2">
      <c r="A1748" s="3"/>
      <c r="B1748" s="3"/>
      <c r="C1748" s="3"/>
      <c r="D1748" s="3"/>
      <c r="E1748" s="3"/>
      <c r="F1748" s="3"/>
      <c r="G1748" s="3"/>
    </row>
    <row r="1749" spans="1:7" customFormat="1" x14ac:dyDescent="0.2">
      <c r="A1749" s="3"/>
      <c r="B1749" s="3"/>
      <c r="C1749" s="3"/>
      <c r="D1749" s="3"/>
      <c r="E1749" s="3"/>
      <c r="F1749" s="3"/>
      <c r="G1749" s="3"/>
    </row>
    <row r="1750" spans="1:7" customFormat="1" x14ac:dyDescent="0.2">
      <c r="A1750" s="3"/>
      <c r="B1750" s="3"/>
      <c r="C1750" s="3"/>
      <c r="D1750" s="3"/>
      <c r="E1750" s="3"/>
      <c r="F1750" s="3"/>
      <c r="G1750" s="3"/>
    </row>
    <row r="1751" spans="1:7" customFormat="1" x14ac:dyDescent="0.2">
      <c r="A1751" s="3"/>
      <c r="B1751" s="3"/>
      <c r="C1751" s="3"/>
      <c r="D1751" s="3"/>
      <c r="E1751" s="3"/>
      <c r="F1751" s="3"/>
      <c r="G1751" s="3"/>
    </row>
    <row r="1752" spans="1:7" customFormat="1" x14ac:dyDescent="0.2">
      <c r="A1752" s="3"/>
      <c r="B1752" s="3"/>
      <c r="C1752" s="3"/>
      <c r="D1752" s="3"/>
      <c r="E1752" s="3"/>
      <c r="F1752" s="3"/>
      <c r="G1752" s="3"/>
    </row>
    <row r="1753" spans="1:7" customFormat="1" x14ac:dyDescent="0.2">
      <c r="A1753" s="3"/>
      <c r="B1753" s="3"/>
      <c r="C1753" s="3"/>
      <c r="D1753" s="3"/>
      <c r="E1753" s="3"/>
      <c r="F1753" s="3"/>
      <c r="G1753" s="3"/>
    </row>
    <row r="1754" spans="1:7" customFormat="1" x14ac:dyDescent="0.2">
      <c r="A1754" s="3"/>
      <c r="B1754" s="3"/>
      <c r="C1754" s="3"/>
      <c r="D1754" s="3"/>
      <c r="E1754" s="3"/>
      <c r="F1754" s="3"/>
      <c r="G1754" s="3"/>
    </row>
    <row r="1755" spans="1:7" customFormat="1" x14ac:dyDescent="0.2">
      <c r="A1755" s="3"/>
      <c r="B1755" s="3"/>
      <c r="C1755" s="3"/>
      <c r="D1755" s="3"/>
      <c r="E1755" s="3"/>
      <c r="F1755" s="3"/>
      <c r="G1755" s="3"/>
    </row>
    <row r="1756" spans="1:7" customFormat="1" x14ac:dyDescent="0.2">
      <c r="A1756" s="3"/>
      <c r="B1756" s="3"/>
      <c r="C1756" s="3"/>
      <c r="D1756" s="3"/>
      <c r="E1756" s="3"/>
      <c r="F1756" s="3"/>
      <c r="G1756" s="3"/>
    </row>
    <row r="1757" spans="1:7" customFormat="1" x14ac:dyDescent="0.2">
      <c r="A1757" s="3"/>
      <c r="B1757" s="3"/>
      <c r="C1757" s="3"/>
      <c r="D1757" s="3"/>
      <c r="E1757" s="3"/>
      <c r="F1757" s="3"/>
      <c r="G1757" s="3"/>
    </row>
    <row r="1758" spans="1:7" customFormat="1" x14ac:dyDescent="0.2">
      <c r="A1758" s="3"/>
      <c r="B1758" s="3"/>
      <c r="C1758" s="3"/>
      <c r="D1758" s="3"/>
      <c r="E1758" s="3"/>
      <c r="F1758" s="3"/>
      <c r="G1758" s="3"/>
    </row>
    <row r="1759" spans="1:7" customFormat="1" x14ac:dyDescent="0.2">
      <c r="A1759" s="3"/>
      <c r="B1759" s="3"/>
      <c r="C1759" s="3"/>
      <c r="D1759" s="3"/>
      <c r="E1759" s="3"/>
      <c r="F1759" s="3"/>
      <c r="G1759" s="3"/>
    </row>
    <row r="1760" spans="1:7" customFormat="1" x14ac:dyDescent="0.2">
      <c r="A1760" s="3"/>
      <c r="B1760" s="3"/>
      <c r="C1760" s="3"/>
      <c r="D1760" s="3"/>
      <c r="E1760" s="3"/>
      <c r="F1760" s="3"/>
      <c r="G1760" s="3"/>
    </row>
    <row r="1761" spans="1:7" customFormat="1" x14ac:dyDescent="0.2">
      <c r="A1761" s="3"/>
      <c r="B1761" s="3"/>
      <c r="C1761" s="3"/>
      <c r="D1761" s="3"/>
      <c r="E1761" s="3"/>
      <c r="F1761" s="3"/>
      <c r="G1761" s="3"/>
    </row>
    <row r="1762" spans="1:7" customFormat="1" x14ac:dyDescent="0.2">
      <c r="A1762" s="3"/>
      <c r="B1762" s="3"/>
      <c r="C1762" s="3"/>
      <c r="D1762" s="3"/>
      <c r="E1762" s="3"/>
      <c r="F1762" s="3"/>
      <c r="G1762" s="3"/>
    </row>
    <row r="1763" spans="1:7" customFormat="1" x14ac:dyDescent="0.2">
      <c r="A1763" s="3"/>
      <c r="B1763" s="3"/>
      <c r="C1763" s="3"/>
      <c r="D1763" s="3"/>
      <c r="E1763" s="3"/>
      <c r="F1763" s="3"/>
      <c r="G1763" s="3"/>
    </row>
    <row r="1764" spans="1:7" customFormat="1" x14ac:dyDescent="0.2">
      <c r="A1764" s="3"/>
      <c r="B1764" s="3"/>
      <c r="C1764" s="3"/>
      <c r="D1764" s="3"/>
      <c r="E1764" s="3"/>
      <c r="F1764" s="3"/>
      <c r="G1764" s="3"/>
    </row>
    <row r="1765" spans="1:7" customFormat="1" x14ac:dyDescent="0.2">
      <c r="A1765" s="3"/>
      <c r="B1765" s="3"/>
      <c r="C1765" s="3"/>
      <c r="D1765" s="3"/>
      <c r="E1765" s="3"/>
      <c r="F1765" s="3"/>
      <c r="G1765" s="3"/>
    </row>
    <row r="1766" spans="1:7" customFormat="1" x14ac:dyDescent="0.2">
      <c r="A1766" s="3"/>
      <c r="B1766" s="3"/>
      <c r="C1766" s="3"/>
      <c r="D1766" s="3"/>
      <c r="E1766" s="3"/>
      <c r="F1766" s="3"/>
      <c r="G1766" s="3"/>
    </row>
    <row r="1767" spans="1:7" customFormat="1" x14ac:dyDescent="0.2">
      <c r="A1767" s="3"/>
      <c r="B1767" s="3"/>
      <c r="C1767" s="3"/>
      <c r="D1767" s="3"/>
      <c r="E1767" s="3"/>
      <c r="F1767" s="3"/>
      <c r="G1767" s="3"/>
    </row>
    <row r="1768" spans="1:7" customFormat="1" x14ac:dyDescent="0.2">
      <c r="A1768" s="3"/>
      <c r="B1768" s="3"/>
      <c r="C1768" s="3"/>
      <c r="D1768" s="3"/>
      <c r="E1768" s="3"/>
      <c r="F1768" s="3"/>
      <c r="G1768" s="3"/>
    </row>
    <row r="1769" spans="1:7" customFormat="1" x14ac:dyDescent="0.2">
      <c r="A1769" s="3"/>
      <c r="B1769" s="3"/>
      <c r="C1769" s="3"/>
      <c r="D1769" s="3"/>
      <c r="E1769" s="3"/>
      <c r="F1769" s="3"/>
      <c r="G1769" s="3"/>
    </row>
    <row r="1770" spans="1:7" customFormat="1" x14ac:dyDescent="0.2">
      <c r="A1770" s="3"/>
      <c r="B1770" s="3"/>
      <c r="C1770" s="3"/>
      <c r="D1770" s="3"/>
      <c r="E1770" s="3"/>
      <c r="F1770" s="3"/>
      <c r="G1770" s="3"/>
    </row>
    <row r="1771" spans="1:7" customFormat="1" x14ac:dyDescent="0.2">
      <c r="A1771" s="3"/>
      <c r="B1771" s="3"/>
      <c r="C1771" s="3"/>
      <c r="D1771" s="3"/>
      <c r="E1771" s="3"/>
      <c r="F1771" s="3"/>
      <c r="G1771" s="3"/>
    </row>
    <row r="1772" spans="1:7" customFormat="1" x14ac:dyDescent="0.2">
      <c r="A1772" s="3"/>
      <c r="B1772" s="3"/>
      <c r="C1772" s="3"/>
      <c r="D1772" s="3"/>
      <c r="E1772" s="3"/>
      <c r="F1772" s="3"/>
      <c r="G1772" s="3"/>
    </row>
    <row r="1773" spans="1:7" customFormat="1" x14ac:dyDescent="0.2">
      <c r="A1773" s="3"/>
      <c r="B1773" s="3"/>
      <c r="C1773" s="3"/>
      <c r="D1773" s="3"/>
      <c r="E1773" s="3"/>
      <c r="F1773" s="3"/>
      <c r="G1773" s="3"/>
    </row>
    <row r="1774" spans="1:7" customFormat="1" x14ac:dyDescent="0.2">
      <c r="A1774" s="3"/>
      <c r="B1774" s="3"/>
      <c r="C1774" s="3"/>
      <c r="D1774" s="3"/>
      <c r="E1774" s="3"/>
      <c r="F1774" s="3"/>
      <c r="G1774" s="3"/>
    </row>
    <row r="1775" spans="1:7" customFormat="1" x14ac:dyDescent="0.2">
      <c r="A1775" s="3"/>
      <c r="B1775" s="3"/>
      <c r="C1775" s="3"/>
      <c r="D1775" s="3"/>
      <c r="E1775" s="3"/>
      <c r="F1775" s="3"/>
      <c r="G1775" s="3"/>
    </row>
    <row r="1776" spans="1:7" customFormat="1" x14ac:dyDescent="0.2">
      <c r="A1776" s="3"/>
      <c r="B1776" s="3"/>
      <c r="C1776" s="3"/>
      <c r="D1776" s="3"/>
      <c r="E1776" s="3"/>
      <c r="F1776" s="3"/>
      <c r="G1776" s="3"/>
    </row>
    <row r="1777" spans="1:7" customFormat="1" x14ac:dyDescent="0.2">
      <c r="A1777" s="3"/>
      <c r="B1777" s="3"/>
      <c r="C1777" s="3"/>
      <c r="D1777" s="3"/>
      <c r="E1777" s="3"/>
      <c r="F1777" s="3"/>
      <c r="G1777" s="3"/>
    </row>
    <row r="1778" spans="1:7" customFormat="1" x14ac:dyDescent="0.2">
      <c r="A1778" s="3"/>
      <c r="B1778" s="3"/>
      <c r="C1778" s="3"/>
      <c r="D1778" s="3"/>
      <c r="E1778" s="3"/>
      <c r="F1778" s="3"/>
      <c r="G1778" s="3"/>
    </row>
    <row r="1779" spans="1:7" customFormat="1" x14ac:dyDescent="0.2">
      <c r="A1779" s="3"/>
      <c r="B1779" s="3"/>
      <c r="C1779" s="3"/>
      <c r="D1779" s="3"/>
      <c r="E1779" s="3"/>
      <c r="F1779" s="3"/>
      <c r="G1779" s="3"/>
    </row>
    <row r="1780" spans="1:7" customFormat="1" x14ac:dyDescent="0.2">
      <c r="A1780" s="3"/>
      <c r="B1780" s="3"/>
      <c r="C1780" s="3"/>
      <c r="D1780" s="3"/>
      <c r="E1780" s="3"/>
      <c r="F1780" s="3"/>
      <c r="G1780" s="3"/>
    </row>
    <row r="1781" spans="1:7" customFormat="1" x14ac:dyDescent="0.2">
      <c r="A1781" s="3"/>
      <c r="B1781" s="3"/>
      <c r="C1781" s="3"/>
      <c r="D1781" s="3"/>
      <c r="E1781" s="3"/>
      <c r="F1781" s="3"/>
      <c r="G1781" s="3"/>
    </row>
    <row r="1782" spans="1:7" customFormat="1" x14ac:dyDescent="0.2">
      <c r="A1782" s="3"/>
      <c r="B1782" s="3"/>
      <c r="C1782" s="3"/>
      <c r="D1782" s="3"/>
      <c r="E1782" s="3"/>
      <c r="F1782" s="3"/>
      <c r="G1782" s="3"/>
    </row>
    <row r="1783" spans="1:7" customFormat="1" x14ac:dyDescent="0.2">
      <c r="A1783" s="3"/>
      <c r="B1783" s="3"/>
      <c r="C1783" s="3"/>
      <c r="D1783" s="3"/>
      <c r="E1783" s="3"/>
      <c r="F1783" s="3"/>
      <c r="G1783" s="3"/>
    </row>
    <row r="1784" spans="1:7" customFormat="1" x14ac:dyDescent="0.2">
      <c r="A1784" s="3"/>
      <c r="B1784" s="3"/>
      <c r="C1784" s="3"/>
      <c r="D1784" s="3"/>
      <c r="E1784" s="3"/>
      <c r="F1784" s="3"/>
      <c r="G1784" s="3"/>
    </row>
    <row r="1785" spans="1:7" customFormat="1" x14ac:dyDescent="0.2">
      <c r="A1785" s="3"/>
      <c r="B1785" s="3"/>
      <c r="C1785" s="3"/>
      <c r="D1785" s="3"/>
      <c r="E1785" s="3"/>
      <c r="F1785" s="3"/>
      <c r="G1785" s="3"/>
    </row>
    <row r="1786" spans="1:7" customFormat="1" x14ac:dyDescent="0.2">
      <c r="A1786" s="3"/>
      <c r="B1786" s="3"/>
      <c r="C1786" s="3"/>
      <c r="D1786" s="3"/>
      <c r="E1786" s="3"/>
      <c r="F1786" s="3"/>
      <c r="G1786" s="3"/>
    </row>
    <row r="1787" spans="1:7" customFormat="1" x14ac:dyDescent="0.2">
      <c r="A1787" s="3"/>
      <c r="B1787" s="3"/>
      <c r="C1787" s="3"/>
      <c r="D1787" s="3"/>
      <c r="E1787" s="3"/>
      <c r="F1787" s="3"/>
      <c r="G1787" s="3"/>
    </row>
    <row r="1788" spans="1:7" customFormat="1" x14ac:dyDescent="0.2">
      <c r="A1788" s="3"/>
      <c r="B1788" s="3"/>
      <c r="C1788" s="3"/>
      <c r="D1788" s="3"/>
      <c r="E1788" s="3"/>
      <c r="F1788" s="3"/>
      <c r="G1788" s="3"/>
    </row>
    <row r="1789" spans="1:7" customFormat="1" x14ac:dyDescent="0.2">
      <c r="A1789" s="3"/>
      <c r="B1789" s="3"/>
      <c r="C1789" s="3"/>
      <c r="D1789" s="3"/>
      <c r="E1789" s="3"/>
      <c r="F1789" s="3"/>
      <c r="G1789" s="3"/>
    </row>
    <row r="1790" spans="1:7" customFormat="1" x14ac:dyDescent="0.2">
      <c r="A1790" s="3"/>
      <c r="B1790" s="3"/>
      <c r="C1790" s="3"/>
      <c r="D1790" s="3"/>
      <c r="E1790" s="3"/>
      <c r="F1790" s="3"/>
      <c r="G1790" s="3"/>
    </row>
    <row r="1791" spans="1:7" customFormat="1" x14ac:dyDescent="0.2">
      <c r="A1791" s="3"/>
      <c r="B1791" s="3"/>
      <c r="C1791" s="3"/>
      <c r="D1791" s="3"/>
      <c r="E1791" s="3"/>
      <c r="F1791" s="3"/>
      <c r="G1791" s="3"/>
    </row>
    <row r="1792" spans="1:7" customFormat="1" x14ac:dyDescent="0.2">
      <c r="A1792" s="3"/>
      <c r="B1792" s="3"/>
      <c r="C1792" s="3"/>
      <c r="D1792" s="3"/>
      <c r="E1792" s="3"/>
      <c r="F1792" s="3"/>
      <c r="G1792" s="3"/>
    </row>
    <row r="1793" spans="1:7" customFormat="1" x14ac:dyDescent="0.2">
      <c r="A1793" s="3"/>
      <c r="B1793" s="3"/>
      <c r="C1793" s="3"/>
      <c r="D1793" s="3"/>
      <c r="E1793" s="3"/>
      <c r="F1793" s="3"/>
      <c r="G1793" s="3"/>
    </row>
    <row r="1794" spans="1:7" customFormat="1" x14ac:dyDescent="0.2">
      <c r="A1794" s="3"/>
      <c r="B1794" s="3"/>
      <c r="C1794" s="3"/>
      <c r="D1794" s="3"/>
      <c r="E1794" s="3"/>
      <c r="F1794" s="3"/>
      <c r="G1794" s="3"/>
    </row>
    <row r="1795" spans="1:7" customFormat="1" x14ac:dyDescent="0.2">
      <c r="A1795" s="3"/>
      <c r="B1795" s="3"/>
      <c r="C1795" s="3"/>
      <c r="D1795" s="3"/>
      <c r="E1795" s="3"/>
      <c r="F1795" s="3"/>
      <c r="G1795" s="3"/>
    </row>
    <row r="1796" spans="1:7" customFormat="1" x14ac:dyDescent="0.2">
      <c r="A1796" s="3"/>
      <c r="B1796" s="3"/>
      <c r="C1796" s="3"/>
      <c r="D1796" s="3"/>
      <c r="E1796" s="3"/>
      <c r="F1796" s="3"/>
      <c r="G1796" s="3"/>
    </row>
    <row r="1797" spans="1:7" customFormat="1" x14ac:dyDescent="0.2">
      <c r="A1797" s="3"/>
      <c r="B1797" s="3"/>
      <c r="C1797" s="3"/>
      <c r="D1797" s="3"/>
      <c r="E1797" s="3"/>
      <c r="F1797" s="3"/>
      <c r="G1797" s="3"/>
    </row>
    <row r="1798" spans="1:7" customFormat="1" x14ac:dyDescent="0.2">
      <c r="A1798" s="3"/>
      <c r="B1798" s="3"/>
      <c r="C1798" s="3"/>
      <c r="D1798" s="3"/>
      <c r="E1798" s="3"/>
      <c r="F1798" s="3"/>
      <c r="G1798" s="3"/>
    </row>
    <row r="1799" spans="1:7" customFormat="1" x14ac:dyDescent="0.2">
      <c r="A1799" s="3"/>
      <c r="B1799" s="3"/>
      <c r="C1799" s="3"/>
      <c r="D1799" s="3"/>
      <c r="E1799" s="3"/>
      <c r="F1799" s="3"/>
      <c r="G1799" s="3"/>
    </row>
    <row r="1800" spans="1:7" customFormat="1" x14ac:dyDescent="0.2">
      <c r="A1800" s="3"/>
      <c r="B1800" s="3"/>
      <c r="C1800" s="3"/>
      <c r="D1800" s="3"/>
      <c r="E1800" s="3"/>
      <c r="F1800" s="3"/>
      <c r="G1800" s="3"/>
    </row>
    <row r="1801" spans="1:7" customFormat="1" x14ac:dyDescent="0.2">
      <c r="A1801" s="3"/>
      <c r="B1801" s="3"/>
      <c r="C1801" s="3"/>
      <c r="D1801" s="3"/>
      <c r="E1801" s="3"/>
      <c r="F1801" s="3"/>
      <c r="G1801" s="3"/>
    </row>
    <row r="1802" spans="1:7" customFormat="1" x14ac:dyDescent="0.2">
      <c r="A1802" s="3"/>
      <c r="B1802" s="3"/>
      <c r="C1802" s="3"/>
      <c r="D1802" s="3"/>
      <c r="E1802" s="3"/>
      <c r="F1802" s="3"/>
      <c r="G1802" s="3"/>
    </row>
    <row r="1803" spans="1:7" customFormat="1" x14ac:dyDescent="0.2">
      <c r="A1803" s="3"/>
      <c r="B1803" s="3"/>
      <c r="C1803" s="3"/>
      <c r="D1803" s="3"/>
      <c r="E1803" s="3"/>
      <c r="F1803" s="3"/>
      <c r="G1803" s="3"/>
    </row>
    <row r="1804" spans="1:7" customFormat="1" x14ac:dyDescent="0.2">
      <c r="A1804" s="3"/>
      <c r="B1804" s="3"/>
      <c r="C1804" s="3"/>
      <c r="D1804" s="3"/>
      <c r="E1804" s="3"/>
      <c r="F1804" s="3"/>
      <c r="G1804" s="3"/>
    </row>
    <row r="1805" spans="1:7" customFormat="1" x14ac:dyDescent="0.2">
      <c r="A1805" s="3"/>
      <c r="B1805" s="3"/>
      <c r="C1805" s="3"/>
      <c r="D1805" s="3"/>
      <c r="E1805" s="3"/>
      <c r="F1805" s="3"/>
      <c r="G1805" s="3"/>
    </row>
    <row r="1806" spans="1:7" customFormat="1" x14ac:dyDescent="0.2">
      <c r="A1806" s="3"/>
      <c r="B1806" s="3"/>
      <c r="C1806" s="3"/>
      <c r="D1806" s="3"/>
      <c r="E1806" s="3"/>
      <c r="F1806" s="3"/>
      <c r="G1806" s="3"/>
    </row>
    <row r="1807" spans="1:7" customFormat="1" x14ac:dyDescent="0.2">
      <c r="A1807" s="3"/>
      <c r="B1807" s="3"/>
      <c r="C1807" s="3"/>
      <c r="D1807" s="3"/>
      <c r="E1807" s="3"/>
      <c r="F1807" s="3"/>
      <c r="G1807" s="3"/>
    </row>
    <row r="1808" spans="1:7" customFormat="1" x14ac:dyDescent="0.2">
      <c r="A1808" s="3"/>
      <c r="B1808" s="3"/>
      <c r="C1808" s="3"/>
      <c r="D1808" s="3"/>
      <c r="E1808" s="3"/>
      <c r="F1808" s="3"/>
      <c r="G1808" s="3"/>
    </row>
    <row r="1809" spans="1:7" customFormat="1" x14ac:dyDescent="0.2">
      <c r="A1809" s="3"/>
      <c r="B1809" s="3"/>
      <c r="C1809" s="3"/>
      <c r="D1809" s="3"/>
      <c r="E1809" s="3"/>
      <c r="F1809" s="3"/>
      <c r="G1809" s="3"/>
    </row>
    <row r="1810" spans="1:7" customFormat="1" x14ac:dyDescent="0.2">
      <c r="A1810" s="3"/>
      <c r="B1810" s="3"/>
      <c r="C1810" s="3"/>
      <c r="D1810" s="3"/>
      <c r="E1810" s="3"/>
      <c r="F1810" s="3"/>
      <c r="G1810" s="3"/>
    </row>
    <row r="1811" spans="1:7" customFormat="1" x14ac:dyDescent="0.2">
      <c r="A1811" s="3"/>
      <c r="B1811" s="3"/>
      <c r="C1811" s="3"/>
      <c r="D1811" s="3"/>
      <c r="E1811" s="3"/>
      <c r="F1811" s="3"/>
      <c r="G1811" s="3"/>
    </row>
    <row r="1812" spans="1:7" customFormat="1" x14ac:dyDescent="0.2">
      <c r="A1812" s="3"/>
      <c r="B1812" s="3"/>
      <c r="C1812" s="3"/>
      <c r="D1812" s="3"/>
      <c r="E1812" s="3"/>
      <c r="F1812" s="3"/>
      <c r="G1812" s="3"/>
    </row>
    <row r="1813" spans="1:7" customFormat="1" x14ac:dyDescent="0.2">
      <c r="A1813" s="3"/>
      <c r="B1813" s="3"/>
      <c r="C1813" s="3"/>
      <c r="D1813" s="3"/>
      <c r="E1813" s="3"/>
      <c r="F1813" s="3"/>
      <c r="G1813" s="3"/>
    </row>
    <row r="1814" spans="1:7" customFormat="1" x14ac:dyDescent="0.2">
      <c r="A1814" s="3"/>
      <c r="B1814" s="3"/>
      <c r="C1814" s="3"/>
      <c r="D1814" s="3"/>
      <c r="E1814" s="3"/>
      <c r="F1814" s="3"/>
      <c r="G1814" s="3"/>
    </row>
    <row r="1815" spans="1:7" customFormat="1" x14ac:dyDescent="0.2">
      <c r="A1815" s="3"/>
      <c r="B1815" s="3"/>
      <c r="C1815" s="3"/>
      <c r="D1815" s="3"/>
      <c r="E1815" s="3"/>
      <c r="F1815" s="3"/>
      <c r="G1815" s="3"/>
    </row>
    <row r="1816" spans="1:7" customFormat="1" x14ac:dyDescent="0.2">
      <c r="A1816" s="3"/>
      <c r="B1816" s="3"/>
      <c r="C1816" s="3"/>
      <c r="D1816" s="3"/>
      <c r="E1816" s="3"/>
      <c r="F1816" s="3"/>
      <c r="G1816" s="3"/>
    </row>
    <row r="1817" spans="1:7" customFormat="1" x14ac:dyDescent="0.2">
      <c r="A1817" s="3"/>
      <c r="B1817" s="3"/>
      <c r="C1817" s="3"/>
      <c r="D1817" s="3"/>
      <c r="E1817" s="3"/>
      <c r="F1817" s="3"/>
      <c r="G1817" s="3"/>
    </row>
    <row r="1818" spans="1:7" customFormat="1" x14ac:dyDescent="0.2">
      <c r="A1818" s="3"/>
      <c r="B1818" s="3"/>
      <c r="C1818" s="3"/>
      <c r="D1818" s="3"/>
      <c r="E1818" s="3"/>
      <c r="F1818" s="3"/>
      <c r="G1818" s="3"/>
    </row>
    <row r="1819" spans="1:7" customFormat="1" x14ac:dyDescent="0.2">
      <c r="A1819" s="3"/>
      <c r="B1819" s="3"/>
      <c r="C1819" s="3"/>
      <c r="D1819" s="3"/>
      <c r="E1819" s="3"/>
      <c r="F1819" s="3"/>
      <c r="G1819" s="3"/>
    </row>
    <row r="1820" spans="1:7" customFormat="1" x14ac:dyDescent="0.2">
      <c r="A1820" s="3"/>
      <c r="B1820" s="3"/>
      <c r="C1820" s="3"/>
      <c r="D1820" s="3"/>
      <c r="E1820" s="3"/>
      <c r="F1820" s="3"/>
      <c r="G1820" s="3"/>
    </row>
    <row r="1821" spans="1:7" customFormat="1" x14ac:dyDescent="0.2">
      <c r="A1821" s="3"/>
      <c r="B1821" s="3"/>
      <c r="C1821" s="3"/>
      <c r="D1821" s="3"/>
      <c r="E1821" s="3"/>
      <c r="F1821" s="3"/>
      <c r="G1821" s="3"/>
    </row>
    <row r="1822" spans="1:7" customFormat="1" x14ac:dyDescent="0.2">
      <c r="A1822" s="3"/>
      <c r="B1822" s="3"/>
      <c r="C1822" s="3"/>
      <c r="D1822" s="3"/>
      <c r="E1822" s="3"/>
      <c r="F1822" s="3"/>
      <c r="G1822" s="3"/>
    </row>
    <row r="1823" spans="1:7" customFormat="1" x14ac:dyDescent="0.2">
      <c r="A1823" s="3"/>
      <c r="B1823" s="3"/>
      <c r="C1823" s="3"/>
      <c r="D1823" s="3"/>
      <c r="E1823" s="3"/>
      <c r="F1823" s="3"/>
      <c r="G1823" s="3"/>
    </row>
    <row r="1824" spans="1:7" customFormat="1" x14ac:dyDescent="0.2">
      <c r="A1824" s="3"/>
      <c r="B1824" s="3"/>
      <c r="C1824" s="3"/>
      <c r="D1824" s="3"/>
      <c r="E1824" s="3"/>
      <c r="F1824" s="3"/>
      <c r="G1824" s="3"/>
    </row>
    <row r="1825" spans="1:7" customFormat="1" x14ac:dyDescent="0.2">
      <c r="A1825" s="3"/>
      <c r="B1825" s="3"/>
      <c r="C1825" s="3"/>
      <c r="D1825" s="3"/>
      <c r="E1825" s="3"/>
      <c r="F1825" s="3"/>
      <c r="G1825" s="3"/>
    </row>
    <row r="1826" spans="1:7" customFormat="1" x14ac:dyDescent="0.2">
      <c r="A1826" s="3"/>
      <c r="B1826" s="3"/>
      <c r="C1826" s="3"/>
      <c r="D1826" s="3"/>
      <c r="E1826" s="3"/>
      <c r="F1826" s="3"/>
      <c r="G1826" s="3"/>
    </row>
    <row r="1827" spans="1:7" customFormat="1" x14ac:dyDescent="0.2">
      <c r="A1827" s="3"/>
      <c r="B1827" s="3"/>
      <c r="C1827" s="3"/>
      <c r="D1827" s="3"/>
      <c r="E1827" s="3"/>
      <c r="F1827" s="3"/>
      <c r="G1827" s="3"/>
    </row>
    <row r="1828" spans="1:7" customFormat="1" x14ac:dyDescent="0.2">
      <c r="A1828" s="3"/>
      <c r="B1828" s="3"/>
      <c r="C1828" s="3"/>
      <c r="D1828" s="3"/>
      <c r="E1828" s="3"/>
      <c r="F1828" s="3"/>
      <c r="G1828" s="3"/>
    </row>
    <row r="1829" spans="1:7" customFormat="1" x14ac:dyDescent="0.2">
      <c r="A1829" s="3"/>
      <c r="B1829" s="3"/>
      <c r="C1829" s="3"/>
      <c r="D1829" s="3"/>
      <c r="E1829" s="3"/>
      <c r="F1829" s="3"/>
      <c r="G1829" s="3"/>
    </row>
    <row r="1830" spans="1:7" customFormat="1" x14ac:dyDescent="0.2">
      <c r="A1830" s="3"/>
      <c r="B1830" s="3"/>
      <c r="C1830" s="3"/>
      <c r="D1830" s="3"/>
      <c r="E1830" s="3"/>
      <c r="F1830" s="3"/>
      <c r="G1830" s="3"/>
    </row>
    <row r="1831" spans="1:7" customFormat="1" x14ac:dyDescent="0.2">
      <c r="A1831" s="3"/>
      <c r="B1831" s="3"/>
      <c r="C1831" s="3"/>
      <c r="D1831" s="3"/>
      <c r="E1831" s="3"/>
      <c r="F1831" s="3"/>
      <c r="G1831" s="3"/>
    </row>
    <row r="1832" spans="1:7" customFormat="1" x14ac:dyDescent="0.2">
      <c r="A1832" s="3"/>
      <c r="B1832" s="3"/>
      <c r="C1832" s="3"/>
      <c r="D1832" s="3"/>
      <c r="E1832" s="3"/>
      <c r="F1832" s="3"/>
      <c r="G1832" s="3"/>
    </row>
    <row r="1833" spans="1:7" customFormat="1" x14ac:dyDescent="0.2">
      <c r="A1833" s="3"/>
      <c r="B1833" s="3"/>
      <c r="C1833" s="3"/>
      <c r="D1833" s="3"/>
      <c r="E1833" s="3"/>
      <c r="F1833" s="3"/>
      <c r="G1833" s="3"/>
    </row>
    <row r="1834" spans="1:7" customFormat="1" x14ac:dyDescent="0.2">
      <c r="A1834" s="3"/>
      <c r="B1834" s="3"/>
      <c r="C1834" s="3"/>
      <c r="D1834" s="3"/>
      <c r="E1834" s="3"/>
      <c r="F1834" s="3"/>
      <c r="G1834" s="3"/>
    </row>
    <row r="1835" spans="1:7" customFormat="1" x14ac:dyDescent="0.2">
      <c r="A1835" s="3"/>
      <c r="B1835" s="3"/>
      <c r="C1835" s="3"/>
      <c r="D1835" s="3"/>
      <c r="E1835" s="3"/>
      <c r="F1835" s="3"/>
      <c r="G1835" s="3"/>
    </row>
    <row r="1836" spans="1:7" customFormat="1" x14ac:dyDescent="0.2">
      <c r="A1836" s="3"/>
      <c r="B1836" s="3"/>
      <c r="C1836" s="3"/>
      <c r="D1836" s="3"/>
      <c r="E1836" s="3"/>
      <c r="F1836" s="3"/>
      <c r="G1836" s="3"/>
    </row>
    <row r="1837" spans="1:7" customFormat="1" x14ac:dyDescent="0.2">
      <c r="A1837" s="3"/>
      <c r="B1837" s="3"/>
      <c r="C1837" s="3"/>
      <c r="D1837" s="3"/>
      <c r="E1837" s="3"/>
      <c r="F1837" s="3"/>
      <c r="G1837" s="3"/>
    </row>
    <row r="1838" spans="1:7" customFormat="1" x14ac:dyDescent="0.2">
      <c r="A1838" s="3"/>
      <c r="B1838" s="3"/>
      <c r="C1838" s="3"/>
      <c r="D1838" s="3"/>
      <c r="E1838" s="3"/>
      <c r="F1838" s="3"/>
      <c r="G1838" s="3"/>
    </row>
    <row r="1839" spans="1:7" customFormat="1" x14ac:dyDescent="0.2">
      <c r="A1839" s="3"/>
      <c r="B1839" s="3"/>
      <c r="C1839" s="3"/>
      <c r="D1839" s="3"/>
      <c r="E1839" s="3"/>
      <c r="F1839" s="3"/>
      <c r="G1839" s="3"/>
    </row>
    <row r="1840" spans="1:7" customFormat="1" x14ac:dyDescent="0.2">
      <c r="A1840" s="3"/>
      <c r="B1840" s="3"/>
      <c r="C1840" s="3"/>
      <c r="D1840" s="3"/>
      <c r="E1840" s="3"/>
      <c r="F1840" s="3"/>
      <c r="G1840" s="3"/>
    </row>
    <row r="1841" spans="1:7" customFormat="1" x14ac:dyDescent="0.2">
      <c r="A1841" s="3"/>
      <c r="B1841" s="3"/>
      <c r="C1841" s="3"/>
      <c r="D1841" s="3"/>
      <c r="E1841" s="3"/>
      <c r="F1841" s="3"/>
      <c r="G1841" s="3"/>
    </row>
    <row r="1842" spans="1:7" customFormat="1" x14ac:dyDescent="0.2">
      <c r="A1842" s="3"/>
      <c r="B1842" s="3"/>
      <c r="C1842" s="3"/>
      <c r="D1842" s="3"/>
      <c r="E1842" s="3"/>
      <c r="F1842" s="3"/>
      <c r="G1842" s="3"/>
    </row>
    <row r="1843" spans="1:7" customFormat="1" x14ac:dyDescent="0.2">
      <c r="A1843" s="3"/>
      <c r="B1843" s="3"/>
      <c r="C1843" s="3"/>
      <c r="D1843" s="3"/>
      <c r="E1843" s="3"/>
      <c r="F1843" s="3"/>
      <c r="G1843" s="3"/>
    </row>
    <row r="1844" spans="1:7" customFormat="1" x14ac:dyDescent="0.2">
      <c r="A1844" s="3"/>
      <c r="B1844" s="3"/>
      <c r="C1844" s="3"/>
      <c r="D1844" s="3"/>
      <c r="E1844" s="3"/>
      <c r="F1844" s="3"/>
      <c r="G1844" s="3"/>
    </row>
    <row r="1845" spans="1:7" customFormat="1" x14ac:dyDescent="0.2">
      <c r="A1845" s="3"/>
      <c r="B1845" s="3"/>
      <c r="C1845" s="3"/>
      <c r="D1845" s="3"/>
      <c r="E1845" s="3"/>
      <c r="F1845" s="3"/>
      <c r="G1845" s="3"/>
    </row>
    <row r="1846" spans="1:7" customFormat="1" x14ac:dyDescent="0.2">
      <c r="A1846" s="3"/>
      <c r="B1846" s="3"/>
      <c r="C1846" s="3"/>
      <c r="D1846" s="3"/>
      <c r="E1846" s="3"/>
      <c r="F1846" s="3"/>
      <c r="G1846" s="3"/>
    </row>
    <row r="1847" spans="1:7" customFormat="1" x14ac:dyDescent="0.2">
      <c r="A1847" s="3"/>
      <c r="B1847" s="3"/>
      <c r="C1847" s="3"/>
      <c r="D1847" s="3"/>
      <c r="E1847" s="3"/>
      <c r="F1847" s="3"/>
      <c r="G1847" s="3"/>
    </row>
    <row r="1848" spans="1:7" customFormat="1" x14ac:dyDescent="0.2">
      <c r="A1848" s="3"/>
      <c r="B1848" s="3"/>
      <c r="C1848" s="3"/>
      <c r="D1848" s="3"/>
      <c r="E1848" s="3"/>
      <c r="F1848" s="3"/>
      <c r="G1848" s="3"/>
    </row>
    <row r="1849" spans="1:7" customFormat="1" x14ac:dyDescent="0.2">
      <c r="A1849" s="3"/>
      <c r="B1849" s="3"/>
      <c r="C1849" s="3"/>
      <c r="D1849" s="3"/>
      <c r="E1849" s="3"/>
      <c r="F1849" s="3"/>
      <c r="G1849" s="3"/>
    </row>
    <row r="1850" spans="1:7" customFormat="1" x14ac:dyDescent="0.2">
      <c r="A1850" s="3"/>
      <c r="B1850" s="3"/>
      <c r="C1850" s="3"/>
      <c r="D1850" s="3"/>
      <c r="E1850" s="3"/>
      <c r="F1850" s="3"/>
      <c r="G1850" s="3"/>
    </row>
    <row r="1851" spans="1:7" customFormat="1" x14ac:dyDescent="0.2">
      <c r="A1851" s="3"/>
      <c r="B1851" s="3"/>
      <c r="C1851" s="3"/>
      <c r="D1851" s="3"/>
      <c r="E1851" s="3"/>
      <c r="F1851" s="3"/>
      <c r="G1851" s="3"/>
    </row>
    <row r="1852" spans="1:7" customFormat="1" x14ac:dyDescent="0.2">
      <c r="A1852" s="3"/>
      <c r="B1852" s="3"/>
      <c r="C1852" s="3"/>
      <c r="D1852" s="3"/>
      <c r="E1852" s="3"/>
      <c r="F1852" s="3"/>
      <c r="G1852" s="3"/>
    </row>
    <row r="1853" spans="1:7" customFormat="1" x14ac:dyDescent="0.2">
      <c r="A1853" s="3"/>
      <c r="B1853" s="3"/>
      <c r="C1853" s="3"/>
      <c r="D1853" s="3"/>
      <c r="E1853" s="3"/>
      <c r="F1853" s="3"/>
      <c r="G1853" s="3"/>
    </row>
    <row r="1854" spans="1:7" customFormat="1" x14ac:dyDescent="0.2">
      <c r="A1854" s="3"/>
      <c r="B1854" s="3"/>
      <c r="C1854" s="3"/>
      <c r="D1854" s="3"/>
      <c r="E1854" s="3"/>
      <c r="F1854" s="3"/>
      <c r="G1854" s="3"/>
    </row>
    <row r="1855" spans="1:7" customFormat="1" x14ac:dyDescent="0.2">
      <c r="A1855" s="3"/>
      <c r="B1855" s="3"/>
      <c r="C1855" s="3"/>
      <c r="D1855" s="3"/>
      <c r="E1855" s="3"/>
      <c r="F1855" s="3"/>
      <c r="G1855" s="3"/>
    </row>
    <row r="1856" spans="1:7" customFormat="1" x14ac:dyDescent="0.2">
      <c r="A1856" s="3"/>
      <c r="B1856" s="3"/>
      <c r="C1856" s="3"/>
      <c r="D1856" s="3"/>
      <c r="E1856" s="3"/>
      <c r="F1856" s="3"/>
      <c r="G1856" s="3"/>
    </row>
    <row r="1857" spans="1:7" customFormat="1" x14ac:dyDescent="0.2">
      <c r="A1857" s="3"/>
      <c r="B1857" s="3"/>
      <c r="C1857" s="3"/>
      <c r="D1857" s="3"/>
      <c r="E1857" s="3"/>
      <c r="F1857" s="3"/>
      <c r="G1857" s="3"/>
    </row>
    <row r="1858" spans="1:7" customFormat="1" x14ac:dyDescent="0.2">
      <c r="A1858" s="3"/>
      <c r="B1858" s="3"/>
      <c r="C1858" s="3"/>
      <c r="D1858" s="3"/>
      <c r="E1858" s="3"/>
      <c r="F1858" s="3"/>
      <c r="G1858" s="3"/>
    </row>
    <row r="1859" spans="1:7" customFormat="1" x14ac:dyDescent="0.2">
      <c r="A1859" s="3"/>
      <c r="B1859" s="3"/>
      <c r="C1859" s="3"/>
      <c r="D1859" s="3"/>
      <c r="E1859" s="3"/>
      <c r="F1859" s="3"/>
      <c r="G1859" s="3"/>
    </row>
    <row r="1860" spans="1:7" customFormat="1" x14ac:dyDescent="0.2">
      <c r="A1860" s="3"/>
      <c r="B1860" s="3"/>
      <c r="C1860" s="3"/>
      <c r="D1860" s="3"/>
      <c r="E1860" s="3"/>
      <c r="F1860" s="3"/>
      <c r="G1860" s="3"/>
    </row>
    <row r="1861" spans="1:7" customFormat="1" x14ac:dyDescent="0.2">
      <c r="A1861" s="3"/>
      <c r="B1861" s="3"/>
      <c r="C1861" s="3"/>
      <c r="D1861" s="3"/>
      <c r="E1861" s="3"/>
      <c r="F1861" s="3"/>
      <c r="G1861" s="3"/>
    </row>
    <row r="1862" spans="1:7" customFormat="1" x14ac:dyDescent="0.2">
      <c r="A1862" s="3"/>
      <c r="B1862" s="3"/>
      <c r="C1862" s="3"/>
      <c r="D1862" s="3"/>
      <c r="E1862" s="3"/>
      <c r="F1862" s="3"/>
      <c r="G1862" s="3"/>
    </row>
    <row r="1863" spans="1:7" customFormat="1" x14ac:dyDescent="0.2">
      <c r="A1863" s="3"/>
      <c r="B1863" s="3"/>
      <c r="C1863" s="3"/>
      <c r="D1863" s="3"/>
      <c r="E1863" s="3"/>
      <c r="F1863" s="3"/>
      <c r="G1863" s="3"/>
    </row>
    <row r="1864" spans="1:7" customFormat="1" x14ac:dyDescent="0.2">
      <c r="A1864" s="3"/>
      <c r="B1864" s="3"/>
      <c r="C1864" s="3"/>
      <c r="D1864" s="3"/>
      <c r="E1864" s="3"/>
      <c r="F1864" s="3"/>
      <c r="G1864" s="3"/>
    </row>
    <row r="1865" spans="1:7" customFormat="1" x14ac:dyDescent="0.2">
      <c r="A1865" s="3"/>
      <c r="B1865" s="3"/>
      <c r="C1865" s="3"/>
      <c r="D1865" s="3"/>
      <c r="E1865" s="3"/>
      <c r="F1865" s="3"/>
      <c r="G1865" s="3"/>
    </row>
    <row r="1866" spans="1:7" customFormat="1" x14ac:dyDescent="0.2">
      <c r="A1866" s="3"/>
      <c r="B1866" s="3"/>
      <c r="C1866" s="3"/>
      <c r="D1866" s="3"/>
      <c r="E1866" s="3"/>
      <c r="F1866" s="3"/>
      <c r="G1866" s="3"/>
    </row>
    <row r="1867" spans="1:7" customFormat="1" x14ac:dyDescent="0.2">
      <c r="A1867" s="3"/>
      <c r="B1867" s="3"/>
      <c r="C1867" s="3"/>
      <c r="D1867" s="3"/>
      <c r="E1867" s="3"/>
      <c r="F1867" s="3"/>
      <c r="G1867" s="3"/>
    </row>
    <row r="1868" spans="1:7" customFormat="1" x14ac:dyDescent="0.2">
      <c r="A1868" s="3"/>
      <c r="B1868" s="3"/>
      <c r="C1868" s="3"/>
      <c r="D1868" s="3"/>
      <c r="E1868" s="3"/>
      <c r="F1868" s="3"/>
      <c r="G1868" s="3"/>
    </row>
    <row r="1869" spans="1:7" customFormat="1" x14ac:dyDescent="0.2">
      <c r="A1869" s="3"/>
      <c r="B1869" s="3"/>
      <c r="C1869" s="3"/>
      <c r="D1869" s="3"/>
      <c r="E1869" s="3"/>
      <c r="F1869" s="3"/>
      <c r="G1869" s="3"/>
    </row>
    <row r="1870" spans="1:7" customFormat="1" x14ac:dyDescent="0.2">
      <c r="A1870" s="3"/>
      <c r="B1870" s="3"/>
      <c r="C1870" s="3"/>
      <c r="D1870" s="3"/>
      <c r="E1870" s="3"/>
      <c r="F1870" s="3"/>
      <c r="G1870" s="3"/>
    </row>
    <row r="1871" spans="1:7" customFormat="1" x14ac:dyDescent="0.2">
      <c r="A1871" s="3"/>
      <c r="B1871" s="3"/>
      <c r="C1871" s="3"/>
      <c r="D1871" s="3"/>
      <c r="E1871" s="3"/>
      <c r="F1871" s="3"/>
      <c r="G1871" s="3"/>
    </row>
    <row r="1872" spans="1:7" customFormat="1" x14ac:dyDescent="0.2">
      <c r="A1872" s="3"/>
      <c r="B1872" s="3"/>
      <c r="C1872" s="3"/>
      <c r="D1872" s="3"/>
      <c r="E1872" s="3"/>
      <c r="F1872" s="3"/>
      <c r="G1872" s="3"/>
    </row>
    <row r="1873" spans="1:7" customFormat="1" x14ac:dyDescent="0.2">
      <c r="A1873" s="3"/>
      <c r="B1873" s="3"/>
      <c r="C1873" s="3"/>
      <c r="D1873" s="3"/>
      <c r="E1873" s="3"/>
      <c r="F1873" s="3"/>
      <c r="G1873" s="3"/>
    </row>
    <row r="1874" spans="1:7" customFormat="1" x14ac:dyDescent="0.2">
      <c r="A1874" s="3"/>
      <c r="B1874" s="3"/>
      <c r="C1874" s="3"/>
      <c r="D1874" s="3"/>
      <c r="E1874" s="3"/>
      <c r="F1874" s="3"/>
      <c r="G1874" s="3"/>
    </row>
    <row r="1875" spans="1:7" customFormat="1" x14ac:dyDescent="0.2">
      <c r="A1875" s="3"/>
      <c r="B1875" s="3"/>
      <c r="C1875" s="3"/>
      <c r="D1875" s="3"/>
      <c r="E1875" s="3"/>
      <c r="F1875" s="3"/>
      <c r="G1875" s="3"/>
    </row>
    <row r="1876" spans="1:7" customFormat="1" x14ac:dyDescent="0.2">
      <c r="A1876" s="3"/>
      <c r="B1876" s="3"/>
      <c r="C1876" s="3"/>
      <c r="D1876" s="3"/>
      <c r="E1876" s="3"/>
      <c r="F1876" s="3"/>
      <c r="G1876" s="3"/>
    </row>
    <row r="1877" spans="1:7" customFormat="1" x14ac:dyDescent="0.2">
      <c r="A1877" s="3"/>
      <c r="B1877" s="3"/>
      <c r="C1877" s="3"/>
      <c r="D1877" s="3"/>
      <c r="E1877" s="3"/>
      <c r="F1877" s="3"/>
      <c r="G1877" s="3"/>
    </row>
    <row r="1878" spans="1:7" customFormat="1" x14ac:dyDescent="0.2">
      <c r="A1878" s="3"/>
      <c r="B1878" s="3"/>
      <c r="C1878" s="3"/>
      <c r="D1878" s="3"/>
      <c r="E1878" s="3"/>
      <c r="F1878" s="3"/>
      <c r="G1878" s="3"/>
    </row>
    <row r="1879" spans="1:7" customFormat="1" x14ac:dyDescent="0.2">
      <c r="A1879" s="3"/>
      <c r="B1879" s="3"/>
      <c r="C1879" s="3"/>
      <c r="D1879" s="3"/>
      <c r="E1879" s="3"/>
      <c r="F1879" s="3"/>
      <c r="G1879" s="3"/>
    </row>
    <row r="1880" spans="1:7" customFormat="1" x14ac:dyDescent="0.2">
      <c r="A1880" s="3"/>
      <c r="B1880" s="3"/>
      <c r="C1880" s="3"/>
      <c r="D1880" s="3"/>
      <c r="E1880" s="3"/>
      <c r="F1880" s="3"/>
      <c r="G1880" s="3"/>
    </row>
    <row r="1881" spans="1:7" customFormat="1" x14ac:dyDescent="0.2">
      <c r="A1881" s="3"/>
      <c r="B1881" s="3"/>
      <c r="C1881" s="3"/>
      <c r="D1881" s="3"/>
      <c r="E1881" s="3"/>
      <c r="F1881" s="3"/>
      <c r="G1881" s="3"/>
    </row>
    <row r="1882" spans="1:7" customFormat="1" x14ac:dyDescent="0.2">
      <c r="A1882" s="3"/>
      <c r="B1882" s="3"/>
      <c r="C1882" s="3"/>
      <c r="D1882" s="3"/>
      <c r="E1882" s="3"/>
      <c r="F1882" s="3"/>
      <c r="G1882" s="3"/>
    </row>
    <row r="1883" spans="1:7" customFormat="1" x14ac:dyDescent="0.2">
      <c r="A1883" s="3"/>
      <c r="B1883" s="3"/>
      <c r="C1883" s="3"/>
      <c r="D1883" s="3"/>
      <c r="E1883" s="3"/>
      <c r="F1883" s="3"/>
      <c r="G1883" s="3"/>
    </row>
    <row r="1884" spans="1:7" customFormat="1" x14ac:dyDescent="0.2">
      <c r="A1884" s="3"/>
      <c r="B1884" s="3"/>
      <c r="C1884" s="3"/>
      <c r="D1884" s="3"/>
      <c r="E1884" s="3"/>
      <c r="F1884" s="3"/>
      <c r="G1884" s="3"/>
    </row>
    <row r="1885" spans="1:7" customFormat="1" x14ac:dyDescent="0.2">
      <c r="A1885" s="3"/>
      <c r="B1885" s="3"/>
      <c r="C1885" s="3"/>
      <c r="D1885" s="3"/>
      <c r="E1885" s="3"/>
      <c r="F1885" s="3"/>
      <c r="G1885" s="3"/>
    </row>
    <row r="1886" spans="1:7" customFormat="1" x14ac:dyDescent="0.2">
      <c r="A1886" s="3"/>
      <c r="B1886" s="3"/>
      <c r="C1886" s="3"/>
      <c r="D1886" s="3"/>
      <c r="E1886" s="3"/>
      <c r="F1886" s="3"/>
      <c r="G1886" s="3"/>
    </row>
    <row r="1887" spans="1:7" customFormat="1" x14ac:dyDescent="0.2">
      <c r="A1887" s="3"/>
      <c r="B1887" s="3"/>
      <c r="C1887" s="3"/>
      <c r="D1887" s="3"/>
      <c r="E1887" s="3"/>
      <c r="F1887" s="3"/>
      <c r="G1887" s="3"/>
    </row>
    <row r="1888" spans="1:7" customFormat="1" x14ac:dyDescent="0.2">
      <c r="A1888" s="3"/>
      <c r="B1888" s="3"/>
      <c r="C1888" s="3"/>
      <c r="D1888" s="3"/>
      <c r="E1888" s="3"/>
      <c r="F1888" s="3"/>
      <c r="G1888" s="3"/>
    </row>
    <row r="1889" spans="1:7" customFormat="1" x14ac:dyDescent="0.2">
      <c r="A1889" s="3"/>
      <c r="B1889" s="3"/>
      <c r="C1889" s="3"/>
      <c r="D1889" s="3"/>
      <c r="E1889" s="3"/>
      <c r="F1889" s="3"/>
      <c r="G1889" s="3"/>
    </row>
    <row r="1890" spans="1:7" customFormat="1" x14ac:dyDescent="0.2">
      <c r="A1890" s="3"/>
      <c r="B1890" s="3"/>
      <c r="C1890" s="3"/>
      <c r="D1890" s="3"/>
      <c r="E1890" s="3"/>
      <c r="F1890" s="3"/>
      <c r="G1890" s="3"/>
    </row>
    <row r="1891" spans="1:7" customFormat="1" x14ac:dyDescent="0.2">
      <c r="A1891" s="3"/>
      <c r="B1891" s="3"/>
      <c r="C1891" s="3"/>
      <c r="D1891" s="3"/>
      <c r="E1891" s="3"/>
      <c r="F1891" s="3"/>
      <c r="G1891" s="3"/>
    </row>
    <row r="1892" spans="1:7" customFormat="1" x14ac:dyDescent="0.2">
      <c r="A1892" s="3"/>
      <c r="B1892" s="3"/>
      <c r="C1892" s="3"/>
      <c r="D1892" s="3"/>
      <c r="E1892" s="3"/>
      <c r="F1892" s="3"/>
      <c r="G1892" s="3"/>
    </row>
    <row r="1893" spans="1:7" customFormat="1" x14ac:dyDescent="0.2">
      <c r="A1893" s="3"/>
      <c r="B1893" s="3"/>
      <c r="C1893" s="3"/>
      <c r="D1893" s="3"/>
      <c r="E1893" s="3"/>
      <c r="F1893" s="3"/>
      <c r="G1893" s="3"/>
    </row>
    <row r="1894" spans="1:7" customFormat="1" x14ac:dyDescent="0.2">
      <c r="A1894" s="3"/>
      <c r="B1894" s="3"/>
      <c r="C1894" s="3"/>
      <c r="D1894" s="3"/>
      <c r="E1894" s="3"/>
      <c r="F1894" s="3"/>
      <c r="G1894" s="3"/>
    </row>
    <row r="1895" spans="1:7" customFormat="1" x14ac:dyDescent="0.2">
      <c r="A1895" s="3"/>
      <c r="B1895" s="3"/>
      <c r="C1895" s="3"/>
      <c r="D1895" s="3"/>
      <c r="E1895" s="3"/>
      <c r="F1895" s="3"/>
      <c r="G1895" s="3"/>
    </row>
    <row r="1896" spans="1:7" customFormat="1" x14ac:dyDescent="0.2">
      <c r="A1896" s="3"/>
      <c r="B1896" s="3"/>
      <c r="C1896" s="3"/>
      <c r="D1896" s="3"/>
      <c r="E1896" s="3"/>
      <c r="F1896" s="3"/>
      <c r="G1896" s="3"/>
    </row>
    <row r="1897" spans="1:7" customFormat="1" x14ac:dyDescent="0.2">
      <c r="A1897" s="3"/>
      <c r="B1897" s="3"/>
      <c r="C1897" s="3"/>
      <c r="D1897" s="3"/>
      <c r="E1897" s="3"/>
      <c r="F1897" s="3"/>
      <c r="G1897" s="3"/>
    </row>
    <row r="1898" spans="1:7" customFormat="1" x14ac:dyDescent="0.2">
      <c r="A1898" s="3"/>
      <c r="B1898" s="3"/>
      <c r="C1898" s="3"/>
      <c r="D1898" s="3"/>
      <c r="E1898" s="3"/>
      <c r="F1898" s="3"/>
      <c r="G1898" s="3"/>
    </row>
    <row r="1899" spans="1:7" customFormat="1" x14ac:dyDescent="0.2">
      <c r="A1899" s="3"/>
      <c r="B1899" s="3"/>
      <c r="C1899" s="3"/>
      <c r="D1899" s="3"/>
      <c r="E1899" s="3"/>
      <c r="F1899" s="3"/>
      <c r="G1899" s="3"/>
    </row>
    <row r="1900" spans="1:7" customFormat="1" x14ac:dyDescent="0.2">
      <c r="A1900" s="3"/>
      <c r="B1900" s="3"/>
      <c r="C1900" s="3"/>
      <c r="D1900" s="3"/>
      <c r="E1900" s="3"/>
      <c r="F1900" s="3"/>
      <c r="G1900" s="3"/>
    </row>
    <row r="1901" spans="1:7" customFormat="1" x14ac:dyDescent="0.2">
      <c r="A1901" s="3"/>
      <c r="B1901" s="3"/>
      <c r="C1901" s="3"/>
      <c r="D1901" s="3"/>
      <c r="E1901" s="3"/>
      <c r="F1901" s="3"/>
      <c r="G1901" s="3"/>
    </row>
    <row r="1902" spans="1:7" customFormat="1" x14ac:dyDescent="0.2">
      <c r="A1902" s="3"/>
      <c r="B1902" s="3"/>
      <c r="C1902" s="3"/>
      <c r="D1902" s="3"/>
      <c r="E1902" s="3"/>
      <c r="F1902" s="3"/>
      <c r="G1902" s="3"/>
    </row>
    <row r="1903" spans="1:7" customFormat="1" x14ac:dyDescent="0.2">
      <c r="A1903" s="3"/>
      <c r="B1903" s="3"/>
      <c r="C1903" s="3"/>
      <c r="D1903" s="3"/>
      <c r="E1903" s="3"/>
      <c r="F1903" s="3"/>
      <c r="G1903" s="3"/>
    </row>
    <row r="1904" spans="1:7" customFormat="1" x14ac:dyDescent="0.2">
      <c r="A1904" s="3"/>
      <c r="B1904" s="3"/>
      <c r="C1904" s="3"/>
      <c r="D1904" s="3"/>
      <c r="E1904" s="3"/>
      <c r="F1904" s="3"/>
      <c r="G1904" s="3"/>
    </row>
    <row r="1905" spans="1:7" customFormat="1" x14ac:dyDescent="0.2">
      <c r="A1905" s="3"/>
      <c r="B1905" s="3"/>
      <c r="C1905" s="3"/>
      <c r="D1905" s="3"/>
      <c r="E1905" s="3"/>
      <c r="F1905" s="3"/>
      <c r="G1905" s="3"/>
    </row>
    <row r="1906" spans="1:7" customFormat="1" x14ac:dyDescent="0.2">
      <c r="A1906" s="3"/>
      <c r="B1906" s="3"/>
      <c r="C1906" s="3"/>
      <c r="D1906" s="3"/>
      <c r="E1906" s="3"/>
      <c r="F1906" s="3"/>
      <c r="G1906" s="3"/>
    </row>
    <row r="1907" spans="1:7" customFormat="1" x14ac:dyDescent="0.2">
      <c r="A1907" s="3"/>
      <c r="B1907" s="3"/>
      <c r="C1907" s="3"/>
      <c r="D1907" s="3"/>
      <c r="E1907" s="3"/>
      <c r="F1907" s="3"/>
      <c r="G1907" s="3"/>
    </row>
    <row r="1908" spans="1:7" customFormat="1" x14ac:dyDescent="0.2">
      <c r="A1908" s="3"/>
      <c r="B1908" s="3"/>
      <c r="C1908" s="3"/>
      <c r="D1908" s="3"/>
      <c r="E1908" s="3"/>
      <c r="F1908" s="3"/>
      <c r="G1908" s="3"/>
    </row>
    <row r="1909" spans="1:7" customFormat="1" x14ac:dyDescent="0.2">
      <c r="A1909" s="3"/>
      <c r="B1909" s="3"/>
      <c r="C1909" s="3"/>
      <c r="D1909" s="3"/>
      <c r="E1909" s="3"/>
      <c r="F1909" s="3"/>
      <c r="G1909" s="3"/>
    </row>
    <row r="1910" spans="1:7" customFormat="1" x14ac:dyDescent="0.2">
      <c r="A1910" s="3"/>
      <c r="B1910" s="3"/>
      <c r="C1910" s="3"/>
      <c r="D1910" s="3"/>
      <c r="E1910" s="3"/>
      <c r="F1910" s="3"/>
      <c r="G1910" s="3"/>
    </row>
    <row r="1911" spans="1:7" customFormat="1" x14ac:dyDescent="0.2">
      <c r="A1911" s="3"/>
      <c r="B1911" s="3"/>
      <c r="C1911" s="3"/>
      <c r="D1911" s="3"/>
      <c r="E1911" s="3"/>
      <c r="F1911" s="3"/>
      <c r="G1911" s="3"/>
    </row>
    <row r="1912" spans="1:7" customFormat="1" x14ac:dyDescent="0.2">
      <c r="A1912" s="3"/>
      <c r="B1912" s="3"/>
      <c r="C1912" s="3"/>
      <c r="D1912" s="3"/>
      <c r="E1912" s="3"/>
      <c r="F1912" s="3"/>
      <c r="G1912" s="3"/>
    </row>
    <row r="1913" spans="1:7" customFormat="1" x14ac:dyDescent="0.2">
      <c r="A1913" s="3"/>
      <c r="B1913" s="3"/>
      <c r="C1913" s="3"/>
      <c r="D1913" s="3"/>
      <c r="E1913" s="3"/>
      <c r="F1913" s="3"/>
      <c r="G1913" s="3"/>
    </row>
    <row r="1914" spans="1:7" customFormat="1" x14ac:dyDescent="0.2">
      <c r="A1914" s="3"/>
      <c r="B1914" s="3"/>
      <c r="C1914" s="3"/>
      <c r="D1914" s="3"/>
      <c r="E1914" s="3"/>
      <c r="F1914" s="3"/>
      <c r="G1914" s="3"/>
    </row>
    <row r="1915" spans="1:7" customFormat="1" x14ac:dyDescent="0.2">
      <c r="A1915" s="3"/>
      <c r="B1915" s="3"/>
      <c r="C1915" s="3"/>
      <c r="D1915" s="3"/>
      <c r="E1915" s="3"/>
      <c r="F1915" s="3"/>
      <c r="G1915" s="3"/>
    </row>
    <row r="1916" spans="1:7" customFormat="1" x14ac:dyDescent="0.2">
      <c r="A1916" s="3"/>
      <c r="B1916" s="3"/>
      <c r="C1916" s="3"/>
      <c r="D1916" s="3"/>
      <c r="E1916" s="3"/>
      <c r="F1916" s="3"/>
      <c r="G1916" s="3"/>
    </row>
    <row r="1917" spans="1:7" customFormat="1" x14ac:dyDescent="0.2">
      <c r="A1917" s="3"/>
      <c r="B1917" s="3"/>
      <c r="C1917" s="3"/>
      <c r="D1917" s="3"/>
      <c r="E1917" s="3"/>
      <c r="F1917" s="3"/>
      <c r="G1917" s="3"/>
    </row>
    <row r="1918" spans="1:7" customFormat="1" x14ac:dyDescent="0.2">
      <c r="A1918" s="3"/>
      <c r="B1918" s="3"/>
      <c r="C1918" s="3"/>
      <c r="D1918" s="3"/>
      <c r="E1918" s="3"/>
      <c r="F1918" s="3"/>
      <c r="G1918" s="3"/>
    </row>
    <row r="1919" spans="1:7" customFormat="1" x14ac:dyDescent="0.2">
      <c r="A1919" s="3"/>
      <c r="B1919" s="3"/>
      <c r="C1919" s="3"/>
      <c r="D1919" s="3"/>
      <c r="E1919" s="3"/>
      <c r="F1919" s="3"/>
      <c r="G1919" s="3"/>
    </row>
    <row r="1920" spans="1:7" customFormat="1" x14ac:dyDescent="0.2">
      <c r="A1920" s="3"/>
      <c r="B1920" s="3"/>
      <c r="C1920" s="3"/>
      <c r="D1920" s="3"/>
      <c r="E1920" s="3"/>
      <c r="F1920" s="3"/>
      <c r="G1920" s="3"/>
    </row>
    <row r="1921" spans="1:7" customFormat="1" x14ac:dyDescent="0.2">
      <c r="A1921" s="3"/>
      <c r="B1921" s="3"/>
      <c r="C1921" s="3"/>
      <c r="D1921" s="3"/>
      <c r="E1921" s="3"/>
      <c r="F1921" s="3"/>
      <c r="G1921" s="3"/>
    </row>
    <row r="1922" spans="1:7" customFormat="1" x14ac:dyDescent="0.2">
      <c r="A1922" s="3"/>
      <c r="B1922" s="3"/>
      <c r="C1922" s="3"/>
      <c r="D1922" s="3"/>
      <c r="E1922" s="3"/>
      <c r="F1922" s="3"/>
      <c r="G1922" s="3"/>
    </row>
    <row r="1923" spans="1:7" customFormat="1" x14ac:dyDescent="0.2">
      <c r="A1923" s="3"/>
      <c r="B1923" s="3"/>
      <c r="C1923" s="3"/>
      <c r="D1923" s="3"/>
      <c r="E1923" s="3"/>
      <c r="F1923" s="3"/>
      <c r="G1923" s="3"/>
    </row>
    <row r="1924" spans="1:7" customFormat="1" x14ac:dyDescent="0.2">
      <c r="A1924" s="3"/>
      <c r="B1924" s="3"/>
      <c r="C1924" s="3"/>
      <c r="D1924" s="3"/>
      <c r="E1924" s="3"/>
      <c r="F1924" s="3"/>
      <c r="G1924" s="3"/>
    </row>
    <row r="1925" spans="1:7" customFormat="1" x14ac:dyDescent="0.2">
      <c r="A1925" s="3"/>
      <c r="B1925" s="3"/>
      <c r="C1925" s="3"/>
      <c r="D1925" s="3"/>
      <c r="E1925" s="3"/>
      <c r="F1925" s="3"/>
      <c r="G1925" s="3"/>
    </row>
    <row r="1926" spans="1:7" customFormat="1" x14ac:dyDescent="0.2">
      <c r="A1926" s="3"/>
      <c r="B1926" s="3"/>
      <c r="C1926" s="3"/>
      <c r="D1926" s="3"/>
      <c r="E1926" s="3"/>
      <c r="F1926" s="3"/>
      <c r="G1926" s="3"/>
    </row>
    <row r="1927" spans="1:7" customFormat="1" x14ac:dyDescent="0.2">
      <c r="A1927" s="3"/>
      <c r="B1927" s="3"/>
      <c r="C1927" s="3"/>
      <c r="D1927" s="3"/>
      <c r="E1927" s="3"/>
      <c r="F1927" s="3"/>
      <c r="G1927" s="3"/>
    </row>
    <row r="1928" spans="1:7" customFormat="1" x14ac:dyDescent="0.2">
      <c r="A1928" s="3"/>
      <c r="B1928" s="3"/>
      <c r="C1928" s="3"/>
      <c r="D1928" s="3"/>
      <c r="E1928" s="3"/>
      <c r="F1928" s="3"/>
      <c r="G1928" s="3"/>
    </row>
    <row r="1929" spans="1:7" customFormat="1" x14ac:dyDescent="0.2">
      <c r="A1929" s="3"/>
      <c r="B1929" s="3"/>
      <c r="C1929" s="3"/>
      <c r="D1929" s="3"/>
      <c r="E1929" s="3"/>
      <c r="F1929" s="3"/>
      <c r="G1929" s="3"/>
    </row>
    <row r="1930" spans="1:7" customFormat="1" x14ac:dyDescent="0.2">
      <c r="A1930" s="3"/>
      <c r="B1930" s="3"/>
      <c r="C1930" s="3"/>
      <c r="D1930" s="3"/>
      <c r="E1930" s="3"/>
      <c r="F1930" s="3"/>
      <c r="G1930" s="3"/>
    </row>
    <row r="1931" spans="1:7" customFormat="1" x14ac:dyDescent="0.2">
      <c r="A1931" s="3"/>
      <c r="B1931" s="3"/>
      <c r="C1931" s="3"/>
      <c r="D1931" s="3"/>
      <c r="E1931" s="3"/>
      <c r="F1931" s="3"/>
      <c r="G1931" s="3"/>
    </row>
    <row r="1932" spans="1:7" customFormat="1" x14ac:dyDescent="0.2">
      <c r="A1932" s="3"/>
      <c r="B1932" s="3"/>
      <c r="C1932" s="3"/>
      <c r="D1932" s="3"/>
      <c r="E1932" s="3"/>
      <c r="F1932" s="3"/>
      <c r="G1932" s="3"/>
    </row>
    <row r="1933" spans="1:7" customFormat="1" x14ac:dyDescent="0.2">
      <c r="A1933" s="3"/>
      <c r="B1933" s="3"/>
      <c r="C1933" s="3"/>
      <c r="D1933" s="3"/>
      <c r="E1933" s="3"/>
      <c r="F1933" s="3"/>
      <c r="G1933" s="3"/>
    </row>
    <row r="1934" spans="1:7" customFormat="1" x14ac:dyDescent="0.2">
      <c r="A1934" s="3"/>
      <c r="B1934" s="3"/>
      <c r="C1934" s="3"/>
      <c r="D1934" s="3"/>
      <c r="E1934" s="3"/>
      <c r="F1934" s="3"/>
      <c r="G1934" s="3"/>
    </row>
    <row r="1935" spans="1:7" customFormat="1" x14ac:dyDescent="0.2">
      <c r="A1935" s="3"/>
      <c r="B1935" s="3"/>
      <c r="C1935" s="3"/>
      <c r="D1935" s="3"/>
      <c r="E1935" s="3"/>
      <c r="F1935" s="3"/>
      <c r="G1935" s="3"/>
    </row>
    <row r="1936" spans="1:7" customFormat="1" x14ac:dyDescent="0.2">
      <c r="A1936" s="3"/>
      <c r="B1936" s="3"/>
      <c r="C1936" s="3"/>
      <c r="D1936" s="3"/>
      <c r="E1936" s="3"/>
      <c r="F1936" s="3"/>
      <c r="G1936" s="3"/>
    </row>
    <row r="1937" spans="1:7" customFormat="1" x14ac:dyDescent="0.2">
      <c r="A1937" s="3"/>
      <c r="B1937" s="3"/>
      <c r="C1937" s="3"/>
      <c r="D1937" s="3"/>
      <c r="E1937" s="3"/>
      <c r="F1937" s="3"/>
      <c r="G1937" s="3"/>
    </row>
    <row r="1938" spans="1:7" customFormat="1" x14ac:dyDescent="0.2">
      <c r="A1938" s="3"/>
      <c r="B1938" s="3"/>
      <c r="C1938" s="3"/>
      <c r="D1938" s="3"/>
      <c r="E1938" s="3"/>
      <c r="F1938" s="3"/>
      <c r="G1938" s="3"/>
    </row>
    <row r="1939" spans="1:7" customFormat="1" x14ac:dyDescent="0.2">
      <c r="A1939" s="3"/>
      <c r="B1939" s="3"/>
      <c r="C1939" s="3"/>
      <c r="D1939" s="3"/>
      <c r="E1939" s="3"/>
      <c r="F1939" s="3"/>
      <c r="G1939" s="3"/>
    </row>
    <row r="1940" spans="1:7" customFormat="1" x14ac:dyDescent="0.2">
      <c r="A1940" s="3"/>
      <c r="B1940" s="3"/>
      <c r="C1940" s="3"/>
      <c r="D1940" s="3"/>
      <c r="E1940" s="3"/>
      <c r="F1940" s="3"/>
      <c r="G1940" s="3"/>
    </row>
    <row r="1941" spans="1:7" customFormat="1" x14ac:dyDescent="0.2">
      <c r="A1941" s="3"/>
      <c r="B1941" s="3"/>
      <c r="C1941" s="3"/>
      <c r="D1941" s="3"/>
      <c r="E1941" s="3"/>
      <c r="F1941" s="3"/>
      <c r="G1941" s="3"/>
    </row>
    <row r="1942" spans="1:7" customFormat="1" x14ac:dyDescent="0.2">
      <c r="A1942" s="3"/>
      <c r="B1942" s="3"/>
      <c r="C1942" s="3"/>
      <c r="D1942" s="3"/>
      <c r="E1942" s="3"/>
      <c r="F1942" s="3"/>
      <c r="G1942" s="3"/>
    </row>
    <row r="1943" spans="1:7" customFormat="1" x14ac:dyDescent="0.2">
      <c r="A1943" s="3"/>
      <c r="B1943" s="3"/>
      <c r="C1943" s="3"/>
      <c r="D1943" s="3"/>
      <c r="E1943" s="3"/>
      <c r="F1943" s="3"/>
      <c r="G1943" s="3"/>
    </row>
    <row r="1944" spans="1:7" customFormat="1" x14ac:dyDescent="0.2">
      <c r="A1944" s="3"/>
      <c r="B1944" s="3"/>
      <c r="C1944" s="3"/>
      <c r="D1944" s="3"/>
      <c r="E1944" s="3"/>
      <c r="F1944" s="3"/>
      <c r="G1944" s="3"/>
    </row>
    <row r="1945" spans="1:7" customFormat="1" x14ac:dyDescent="0.2">
      <c r="A1945" s="3"/>
      <c r="B1945" s="3"/>
      <c r="C1945" s="3"/>
      <c r="D1945" s="3"/>
      <c r="E1945" s="3"/>
      <c r="F1945" s="3"/>
      <c r="G1945" s="3"/>
    </row>
    <row r="1946" spans="1:7" customFormat="1" x14ac:dyDescent="0.2">
      <c r="A1946" s="3"/>
      <c r="B1946" s="3"/>
      <c r="C1946" s="3"/>
      <c r="D1946" s="3"/>
      <c r="E1946" s="3"/>
      <c r="F1946" s="3"/>
      <c r="G1946" s="3"/>
    </row>
    <row r="1947" spans="1:7" customFormat="1" x14ac:dyDescent="0.2">
      <c r="A1947" s="3"/>
      <c r="B1947" s="3"/>
      <c r="C1947" s="3"/>
      <c r="D1947" s="3"/>
      <c r="E1947" s="3"/>
      <c r="F1947" s="3"/>
      <c r="G1947" s="3"/>
    </row>
    <row r="1948" spans="1:7" customFormat="1" x14ac:dyDescent="0.2">
      <c r="A1948" s="3"/>
      <c r="B1948" s="3"/>
      <c r="C1948" s="3"/>
      <c r="D1948" s="3"/>
      <c r="E1948" s="3"/>
      <c r="F1948" s="3"/>
      <c r="G1948" s="3"/>
    </row>
    <row r="1949" spans="1:7" customFormat="1" x14ac:dyDescent="0.2">
      <c r="A1949" s="3"/>
      <c r="B1949" s="3"/>
      <c r="C1949" s="3"/>
      <c r="D1949" s="3"/>
      <c r="E1949" s="3"/>
      <c r="F1949" s="3"/>
      <c r="G1949" s="3"/>
    </row>
    <row r="1950" spans="1:7" customFormat="1" x14ac:dyDescent="0.2">
      <c r="A1950" s="3"/>
      <c r="B1950" s="3"/>
      <c r="C1950" s="3"/>
      <c r="D1950" s="3"/>
      <c r="E1950" s="3"/>
      <c r="F1950" s="3"/>
      <c r="G1950" s="3"/>
    </row>
    <row r="1951" spans="1:7" customFormat="1" x14ac:dyDescent="0.2">
      <c r="A1951" s="3"/>
      <c r="B1951" s="3"/>
      <c r="C1951" s="3"/>
      <c r="D1951" s="3"/>
      <c r="E1951" s="3"/>
      <c r="F1951" s="3"/>
      <c r="G1951" s="3"/>
    </row>
    <row r="1952" spans="1:7" customFormat="1" x14ac:dyDescent="0.2">
      <c r="A1952" s="3"/>
      <c r="B1952" s="3"/>
      <c r="C1952" s="3"/>
      <c r="D1952" s="3"/>
      <c r="E1952" s="3"/>
      <c r="F1952" s="3"/>
      <c r="G1952" s="3"/>
    </row>
    <row r="1953" spans="1:7" customFormat="1" x14ac:dyDescent="0.2">
      <c r="A1953" s="3"/>
      <c r="B1953" s="3"/>
      <c r="C1953" s="3"/>
      <c r="D1953" s="3"/>
      <c r="E1953" s="3"/>
      <c r="F1953" s="3"/>
      <c r="G1953" s="3"/>
    </row>
    <row r="1954" spans="1:7" customFormat="1" x14ac:dyDescent="0.2">
      <c r="A1954" s="3"/>
      <c r="B1954" s="3"/>
      <c r="C1954" s="3"/>
      <c r="D1954" s="3"/>
      <c r="E1954" s="3"/>
      <c r="F1954" s="3"/>
      <c r="G1954" s="3"/>
    </row>
    <row r="1955" spans="1:7" customFormat="1" x14ac:dyDescent="0.2">
      <c r="A1955" s="3"/>
      <c r="B1955" s="3"/>
      <c r="C1955" s="3"/>
      <c r="D1955" s="3"/>
      <c r="E1955" s="3"/>
      <c r="F1955" s="3"/>
      <c r="G1955" s="3"/>
    </row>
    <row r="1956" spans="1:7" customFormat="1" x14ac:dyDescent="0.2">
      <c r="A1956" s="3"/>
      <c r="B1956" s="3"/>
      <c r="C1956" s="3"/>
      <c r="D1956" s="3"/>
      <c r="E1956" s="3"/>
      <c r="F1956" s="3"/>
      <c r="G1956" s="3"/>
    </row>
    <row r="1957" spans="1:7" customFormat="1" x14ac:dyDescent="0.2">
      <c r="A1957" s="3"/>
      <c r="B1957" s="3"/>
      <c r="C1957" s="3"/>
      <c r="D1957" s="3"/>
      <c r="E1957" s="3"/>
      <c r="F1957" s="3"/>
      <c r="G1957" s="3"/>
    </row>
    <row r="1958" spans="1:7" customFormat="1" x14ac:dyDescent="0.2">
      <c r="A1958" s="3"/>
      <c r="B1958" s="3"/>
      <c r="C1958" s="3"/>
      <c r="D1958" s="3"/>
      <c r="E1958" s="3"/>
      <c r="F1958" s="3"/>
      <c r="G1958" s="3"/>
    </row>
    <row r="1959" spans="1:7" customFormat="1" x14ac:dyDescent="0.2">
      <c r="A1959" s="3"/>
      <c r="B1959" s="3"/>
      <c r="C1959" s="3"/>
      <c r="D1959" s="3"/>
      <c r="E1959" s="3"/>
      <c r="F1959" s="3"/>
      <c r="G1959" s="3"/>
    </row>
    <row r="1960" spans="1:7" customFormat="1" x14ac:dyDescent="0.2">
      <c r="A1960" s="3"/>
      <c r="B1960" s="3"/>
      <c r="C1960" s="3"/>
      <c r="D1960" s="3"/>
      <c r="E1960" s="3"/>
      <c r="F1960" s="3"/>
      <c r="G1960" s="3"/>
    </row>
    <row r="1961" spans="1:7" customFormat="1" x14ac:dyDescent="0.2">
      <c r="A1961" s="3"/>
      <c r="B1961" s="3"/>
      <c r="C1961" s="3"/>
      <c r="D1961" s="3"/>
      <c r="E1961" s="3"/>
      <c r="F1961" s="3"/>
      <c r="G1961" s="3"/>
    </row>
    <row r="1962" spans="1:7" customFormat="1" x14ac:dyDescent="0.2">
      <c r="A1962" s="3"/>
      <c r="B1962" s="3"/>
      <c r="C1962" s="3"/>
      <c r="D1962" s="3"/>
      <c r="E1962" s="3"/>
      <c r="F1962" s="3"/>
      <c r="G1962" s="3"/>
    </row>
    <row r="1963" spans="1:7" customFormat="1" x14ac:dyDescent="0.2">
      <c r="A1963" s="3"/>
      <c r="B1963" s="3"/>
      <c r="C1963" s="3"/>
      <c r="D1963" s="3"/>
      <c r="E1963" s="3"/>
      <c r="F1963" s="3"/>
      <c r="G1963" s="3"/>
    </row>
    <row r="1964" spans="1:7" customFormat="1" x14ac:dyDescent="0.2">
      <c r="A1964" s="3"/>
      <c r="B1964" s="3"/>
      <c r="C1964" s="3"/>
      <c r="D1964" s="3"/>
      <c r="E1964" s="3"/>
      <c r="F1964" s="3"/>
      <c r="G1964" s="3"/>
    </row>
    <row r="1965" spans="1:7" customFormat="1" x14ac:dyDescent="0.2">
      <c r="A1965" s="3"/>
      <c r="B1965" s="3"/>
      <c r="C1965" s="3"/>
      <c r="D1965" s="3"/>
      <c r="E1965" s="3"/>
      <c r="F1965" s="3"/>
      <c r="G1965" s="3"/>
    </row>
    <row r="1966" spans="1:7" customFormat="1" x14ac:dyDescent="0.2">
      <c r="A1966" s="3"/>
      <c r="B1966" s="3"/>
      <c r="C1966" s="3"/>
      <c r="D1966" s="3"/>
      <c r="E1966" s="3"/>
      <c r="F1966" s="3"/>
      <c r="G1966" s="3"/>
    </row>
    <row r="1967" spans="1:7" customFormat="1" x14ac:dyDescent="0.2">
      <c r="A1967" s="3"/>
      <c r="B1967" s="3"/>
      <c r="C1967" s="3"/>
      <c r="D1967" s="3"/>
      <c r="E1967" s="3"/>
      <c r="F1967" s="3"/>
      <c r="G1967" s="3"/>
    </row>
    <row r="1968" spans="1:7" customFormat="1" x14ac:dyDescent="0.2">
      <c r="A1968" s="3"/>
      <c r="B1968" s="3"/>
      <c r="C1968" s="3"/>
      <c r="D1968" s="3"/>
      <c r="E1968" s="3"/>
      <c r="F1968" s="3"/>
      <c r="G1968" s="3"/>
    </row>
    <row r="1969" spans="1:7" customFormat="1" x14ac:dyDescent="0.2">
      <c r="A1969" s="3"/>
      <c r="B1969" s="3"/>
      <c r="C1969" s="3"/>
      <c r="D1969" s="3"/>
      <c r="E1969" s="3"/>
      <c r="F1969" s="3"/>
      <c r="G1969" s="3"/>
    </row>
    <row r="1970" spans="1:7" customFormat="1" x14ac:dyDescent="0.2">
      <c r="A1970" s="3"/>
      <c r="B1970" s="3"/>
      <c r="C1970" s="3"/>
      <c r="D1970" s="3"/>
      <c r="E1970" s="3"/>
      <c r="F1970" s="3"/>
      <c r="G1970" s="3"/>
    </row>
    <row r="1971" spans="1:7" customFormat="1" x14ac:dyDescent="0.2">
      <c r="A1971" s="3"/>
      <c r="B1971" s="3"/>
      <c r="C1971" s="3"/>
      <c r="D1971" s="3"/>
      <c r="E1971" s="3"/>
      <c r="F1971" s="3"/>
      <c r="G1971" s="3"/>
    </row>
    <row r="1972" spans="1:7" customFormat="1" x14ac:dyDescent="0.2">
      <c r="A1972" s="3"/>
      <c r="B1972" s="3"/>
      <c r="C1972" s="3"/>
      <c r="D1972" s="3"/>
      <c r="E1972" s="3"/>
      <c r="F1972" s="3"/>
      <c r="G1972" s="3"/>
    </row>
    <row r="1973" spans="1:7" customFormat="1" x14ac:dyDescent="0.2">
      <c r="A1973" s="3"/>
      <c r="B1973" s="3"/>
      <c r="C1973" s="3"/>
      <c r="D1973" s="3"/>
      <c r="E1973" s="3"/>
      <c r="F1973" s="3"/>
      <c r="G1973" s="3"/>
    </row>
    <row r="1974" spans="1:7" customFormat="1" x14ac:dyDescent="0.2">
      <c r="A1974" s="3"/>
      <c r="B1974" s="3"/>
      <c r="C1974" s="3"/>
      <c r="D1974" s="3"/>
      <c r="E1974" s="3"/>
      <c r="F1974" s="3"/>
      <c r="G1974" s="3"/>
    </row>
    <row r="1975" spans="1:7" customFormat="1" x14ac:dyDescent="0.2">
      <c r="A1975" s="3"/>
      <c r="B1975" s="3"/>
      <c r="C1975" s="3"/>
      <c r="D1975" s="3"/>
      <c r="E1975" s="3"/>
      <c r="F1975" s="3"/>
      <c r="G1975" s="3"/>
    </row>
    <row r="1976" spans="1:7" customFormat="1" x14ac:dyDescent="0.2">
      <c r="A1976" s="3"/>
      <c r="B1976" s="3"/>
      <c r="C1976" s="3"/>
      <c r="D1976" s="3"/>
      <c r="E1976" s="3"/>
      <c r="F1976" s="3"/>
      <c r="G1976" s="3"/>
    </row>
    <row r="1977" spans="1:7" customFormat="1" x14ac:dyDescent="0.2">
      <c r="A1977" s="3"/>
      <c r="B1977" s="3"/>
      <c r="C1977" s="3"/>
      <c r="D1977" s="3"/>
      <c r="E1977" s="3"/>
      <c r="F1977" s="3"/>
      <c r="G1977" s="3"/>
    </row>
    <row r="1978" spans="1:7" customFormat="1" x14ac:dyDescent="0.2">
      <c r="A1978" s="3"/>
      <c r="B1978" s="3"/>
      <c r="C1978" s="3"/>
      <c r="D1978" s="3"/>
      <c r="E1978" s="3"/>
      <c r="F1978" s="3"/>
      <c r="G1978" s="3"/>
    </row>
    <row r="1979" spans="1:7" customFormat="1" x14ac:dyDescent="0.2">
      <c r="A1979" s="3"/>
      <c r="B1979" s="3"/>
      <c r="C1979" s="3"/>
      <c r="D1979" s="3"/>
      <c r="E1979" s="3"/>
      <c r="F1979" s="3"/>
      <c r="G1979" s="3"/>
    </row>
    <row r="1980" spans="1:7" customFormat="1" x14ac:dyDescent="0.2">
      <c r="A1980" s="3"/>
      <c r="B1980" s="3"/>
      <c r="C1980" s="3"/>
      <c r="D1980" s="3"/>
      <c r="E1980" s="3"/>
      <c r="F1980" s="3"/>
      <c r="G1980" s="3"/>
    </row>
    <row r="1981" spans="1:7" customFormat="1" x14ac:dyDescent="0.2">
      <c r="A1981" s="3"/>
      <c r="B1981" s="3"/>
      <c r="C1981" s="3"/>
      <c r="D1981" s="3"/>
      <c r="E1981" s="3"/>
      <c r="F1981" s="3"/>
      <c r="G1981" s="3"/>
    </row>
    <row r="1982" spans="1:7" customFormat="1" x14ac:dyDescent="0.2">
      <c r="A1982" s="3"/>
      <c r="B1982" s="3"/>
      <c r="C1982" s="3"/>
      <c r="D1982" s="3"/>
      <c r="E1982" s="3"/>
      <c r="F1982" s="3"/>
      <c r="G1982" s="3"/>
    </row>
    <row r="1983" spans="1:7" customFormat="1" x14ac:dyDescent="0.2">
      <c r="A1983" s="3"/>
      <c r="B1983" s="3"/>
      <c r="C1983" s="3"/>
      <c r="D1983" s="3"/>
      <c r="E1983" s="3"/>
      <c r="F1983" s="3"/>
      <c r="G1983" s="3"/>
    </row>
    <row r="1984" spans="1:7" customFormat="1" x14ac:dyDescent="0.2">
      <c r="A1984" s="3"/>
      <c r="B1984" s="3"/>
      <c r="C1984" s="3"/>
      <c r="D1984" s="3"/>
      <c r="E1984" s="3"/>
      <c r="F1984" s="3"/>
      <c r="G1984" s="3"/>
    </row>
    <row r="1985" spans="1:7" customFormat="1" x14ac:dyDescent="0.2">
      <c r="A1985" s="3"/>
      <c r="B1985" s="3"/>
      <c r="C1985" s="3"/>
      <c r="D1985" s="3"/>
      <c r="E1985" s="3"/>
      <c r="F1985" s="3"/>
      <c r="G1985" s="3"/>
    </row>
    <row r="1986" spans="1:7" customFormat="1" x14ac:dyDescent="0.2">
      <c r="A1986" s="3"/>
      <c r="B1986" s="3"/>
      <c r="C1986" s="3"/>
      <c r="D1986" s="3"/>
      <c r="E1986" s="3"/>
      <c r="F1986" s="3"/>
      <c r="G1986" s="3"/>
    </row>
    <row r="1987" spans="1:7" customFormat="1" x14ac:dyDescent="0.2">
      <c r="A1987" s="3"/>
      <c r="B1987" s="3"/>
      <c r="C1987" s="3"/>
      <c r="D1987" s="3"/>
      <c r="E1987" s="3"/>
      <c r="F1987" s="3"/>
      <c r="G1987" s="3"/>
    </row>
    <row r="1988" spans="1:7" customFormat="1" x14ac:dyDescent="0.2">
      <c r="A1988" s="3"/>
      <c r="B1988" s="3"/>
      <c r="C1988" s="3"/>
      <c r="D1988" s="3"/>
      <c r="E1988" s="3"/>
      <c r="F1988" s="3"/>
      <c r="G1988" s="3"/>
    </row>
    <row r="1989" spans="1:7" customFormat="1" x14ac:dyDescent="0.2">
      <c r="A1989" s="3"/>
      <c r="B1989" s="3"/>
      <c r="C1989" s="3"/>
      <c r="D1989" s="3"/>
      <c r="E1989" s="3"/>
      <c r="F1989" s="3"/>
      <c r="G1989" s="3"/>
    </row>
    <row r="1990" spans="1:7" customFormat="1" x14ac:dyDescent="0.2">
      <c r="A1990" s="3"/>
      <c r="B1990" s="3"/>
      <c r="C1990" s="3"/>
      <c r="D1990" s="3"/>
      <c r="E1990" s="3"/>
      <c r="F1990" s="3"/>
      <c r="G1990" s="3"/>
    </row>
    <row r="1991" spans="1:7" customFormat="1" x14ac:dyDescent="0.2">
      <c r="A1991" s="3"/>
      <c r="B1991" s="3"/>
      <c r="C1991" s="3"/>
      <c r="D1991" s="3"/>
      <c r="E1991" s="3"/>
      <c r="F1991" s="3"/>
      <c r="G1991" s="3"/>
    </row>
    <row r="1992" spans="1:7" customFormat="1" x14ac:dyDescent="0.2">
      <c r="A1992" s="3"/>
      <c r="B1992" s="3"/>
      <c r="C1992" s="3"/>
      <c r="D1992" s="3"/>
      <c r="E1992" s="3"/>
      <c r="F1992" s="3"/>
      <c r="G1992" s="3"/>
    </row>
    <row r="1993" spans="1:7" customFormat="1" x14ac:dyDescent="0.2">
      <c r="A1993" s="3"/>
      <c r="B1993" s="3"/>
      <c r="C1993" s="3"/>
      <c r="D1993" s="3"/>
      <c r="E1993" s="3"/>
      <c r="F1993" s="3"/>
      <c r="G1993" s="3"/>
    </row>
    <row r="1994" spans="1:7" customFormat="1" x14ac:dyDescent="0.2">
      <c r="A1994" s="3"/>
      <c r="B1994" s="3"/>
      <c r="C1994" s="3"/>
      <c r="D1994" s="3"/>
      <c r="E1994" s="3"/>
      <c r="F1994" s="3"/>
      <c r="G1994" s="3"/>
    </row>
    <row r="1995" spans="1:7" customFormat="1" x14ac:dyDescent="0.2">
      <c r="A1995" s="3"/>
      <c r="B1995" s="3"/>
      <c r="C1995" s="3"/>
      <c r="D1995" s="3"/>
      <c r="E1995" s="3"/>
      <c r="F1995" s="3"/>
      <c r="G1995" s="3"/>
    </row>
    <row r="1996" spans="1:7" customFormat="1" x14ac:dyDescent="0.2">
      <c r="A1996" s="3"/>
      <c r="B1996" s="3"/>
      <c r="C1996" s="3"/>
      <c r="D1996" s="3"/>
      <c r="E1996" s="3"/>
      <c r="F1996" s="3"/>
      <c r="G1996" s="3"/>
    </row>
    <row r="1997" spans="1:7" customFormat="1" x14ac:dyDescent="0.2">
      <c r="A1997" s="3"/>
      <c r="B1997" s="3"/>
      <c r="C1997" s="3"/>
      <c r="D1997" s="3"/>
      <c r="E1997" s="3"/>
      <c r="F1997" s="3"/>
      <c r="G1997" s="3"/>
    </row>
    <row r="1998" spans="1:7" customFormat="1" x14ac:dyDescent="0.2">
      <c r="A1998" s="3"/>
      <c r="B1998" s="3"/>
      <c r="C1998" s="3"/>
      <c r="D1998" s="3"/>
      <c r="E1998" s="3"/>
      <c r="F1998" s="3"/>
      <c r="G1998" s="3"/>
    </row>
    <row r="1999" spans="1:7" customFormat="1" x14ac:dyDescent="0.2">
      <c r="A1999" s="3"/>
      <c r="B1999" s="3"/>
      <c r="C1999" s="3"/>
      <c r="D1999" s="3"/>
      <c r="E1999" s="3"/>
      <c r="F1999" s="3"/>
      <c r="G1999" s="3"/>
    </row>
    <row r="2000" spans="1:7" customFormat="1" x14ac:dyDescent="0.2">
      <c r="A2000" s="3"/>
      <c r="B2000" s="3"/>
      <c r="C2000" s="3"/>
      <c r="D2000" s="3"/>
      <c r="E2000" s="3"/>
      <c r="F2000" s="3"/>
      <c r="G2000" s="3"/>
    </row>
    <row r="2001" spans="1:7" customFormat="1" x14ac:dyDescent="0.2">
      <c r="A2001" s="3"/>
      <c r="B2001" s="3"/>
      <c r="C2001" s="3"/>
      <c r="D2001" s="3"/>
      <c r="E2001" s="3"/>
      <c r="F2001" s="3"/>
      <c r="G2001" s="3"/>
    </row>
    <row r="2002" spans="1:7" customFormat="1" x14ac:dyDescent="0.2">
      <c r="A2002" s="3"/>
      <c r="B2002" s="3"/>
      <c r="C2002" s="3"/>
      <c r="D2002" s="3"/>
      <c r="E2002" s="3"/>
      <c r="F2002" s="3"/>
      <c r="G2002" s="3"/>
    </row>
    <row r="2003" spans="1:7" customFormat="1" x14ac:dyDescent="0.2">
      <c r="A2003" s="3"/>
      <c r="B2003" s="3"/>
      <c r="C2003" s="3"/>
      <c r="D2003" s="3"/>
      <c r="E2003" s="3"/>
      <c r="F2003" s="3"/>
      <c r="G2003" s="3"/>
    </row>
    <row r="2004" spans="1:7" customFormat="1" x14ac:dyDescent="0.2">
      <c r="A2004" s="3"/>
      <c r="B2004" s="3"/>
      <c r="C2004" s="3"/>
      <c r="D2004" s="3"/>
      <c r="E2004" s="3"/>
      <c r="F2004" s="3"/>
      <c r="G2004" s="3"/>
    </row>
    <row r="2005" spans="1:7" customFormat="1" x14ac:dyDescent="0.2">
      <c r="A2005" s="3"/>
      <c r="B2005" s="3"/>
      <c r="C2005" s="3"/>
      <c r="D2005" s="3"/>
      <c r="E2005" s="3"/>
      <c r="F2005" s="3"/>
      <c r="G2005" s="3"/>
    </row>
    <row r="2006" spans="1:7" customFormat="1" x14ac:dyDescent="0.2">
      <c r="A2006" s="3"/>
      <c r="B2006" s="3"/>
      <c r="C2006" s="3"/>
      <c r="D2006" s="3"/>
      <c r="E2006" s="3"/>
      <c r="F2006" s="3"/>
      <c r="G2006" s="3"/>
    </row>
    <row r="2007" spans="1:7" customFormat="1" x14ac:dyDescent="0.2">
      <c r="A2007" s="3"/>
      <c r="B2007" s="3"/>
      <c r="C2007" s="3"/>
      <c r="D2007" s="3"/>
      <c r="E2007" s="3"/>
      <c r="F2007" s="3"/>
      <c r="G2007" s="3"/>
    </row>
    <row r="2008" spans="1:7" customFormat="1" x14ac:dyDescent="0.2">
      <c r="A2008" s="3"/>
      <c r="B2008" s="3"/>
      <c r="C2008" s="3"/>
      <c r="D2008" s="3"/>
      <c r="E2008" s="3"/>
      <c r="F2008" s="3"/>
      <c r="G2008" s="3"/>
    </row>
    <row r="2009" spans="1:7" customFormat="1" x14ac:dyDescent="0.2">
      <c r="A2009" s="3"/>
      <c r="B2009" s="3"/>
      <c r="C2009" s="3"/>
      <c r="D2009" s="3"/>
      <c r="E2009" s="3"/>
      <c r="F2009" s="3"/>
      <c r="G2009" s="3"/>
    </row>
    <row r="2010" spans="1:7" customFormat="1" x14ac:dyDescent="0.2">
      <c r="A2010" s="3"/>
      <c r="B2010" s="3"/>
      <c r="C2010" s="3"/>
      <c r="D2010" s="3"/>
      <c r="E2010" s="3"/>
      <c r="F2010" s="3"/>
      <c r="G2010" s="3"/>
    </row>
    <row r="2011" spans="1:7" customFormat="1" x14ac:dyDescent="0.2">
      <c r="A2011" s="3"/>
      <c r="B2011" s="3"/>
      <c r="C2011" s="3"/>
      <c r="D2011" s="3"/>
      <c r="E2011" s="3"/>
      <c r="F2011" s="3"/>
      <c r="G2011" s="3"/>
    </row>
    <row r="2012" spans="1:7" customFormat="1" x14ac:dyDescent="0.2">
      <c r="A2012" s="3"/>
      <c r="B2012" s="3"/>
      <c r="C2012" s="3"/>
      <c r="D2012" s="3"/>
      <c r="E2012" s="3"/>
      <c r="F2012" s="3"/>
      <c r="G2012" s="3"/>
    </row>
    <row r="2013" spans="1:7" customFormat="1" x14ac:dyDescent="0.2">
      <c r="A2013" s="3"/>
      <c r="B2013" s="3"/>
      <c r="C2013" s="3"/>
      <c r="D2013" s="3"/>
      <c r="E2013" s="3"/>
      <c r="F2013" s="3"/>
      <c r="G2013" s="3"/>
    </row>
    <row r="2014" spans="1:7" customFormat="1" x14ac:dyDescent="0.2">
      <c r="A2014" s="3"/>
      <c r="B2014" s="3"/>
      <c r="C2014" s="3"/>
      <c r="D2014" s="3"/>
      <c r="E2014" s="3"/>
      <c r="F2014" s="3"/>
      <c r="G2014" s="3"/>
    </row>
    <row r="2015" spans="1:7" customFormat="1" x14ac:dyDescent="0.2">
      <c r="A2015" s="3"/>
      <c r="B2015" s="3"/>
      <c r="C2015" s="3"/>
      <c r="D2015" s="3"/>
      <c r="E2015" s="3"/>
      <c r="F2015" s="3"/>
      <c r="G2015" s="3"/>
    </row>
    <row r="2016" spans="1:7" customFormat="1" x14ac:dyDescent="0.2">
      <c r="A2016" s="3"/>
      <c r="B2016" s="3"/>
      <c r="C2016" s="3"/>
      <c r="D2016" s="3"/>
      <c r="E2016" s="3"/>
      <c r="F2016" s="3"/>
      <c r="G2016" s="3"/>
    </row>
    <row r="2017" spans="1:7" customFormat="1" x14ac:dyDescent="0.2">
      <c r="A2017" s="3"/>
      <c r="B2017" s="3"/>
      <c r="C2017" s="3"/>
      <c r="D2017" s="3"/>
      <c r="E2017" s="3"/>
      <c r="F2017" s="3"/>
      <c r="G2017" s="3"/>
    </row>
    <row r="2018" spans="1:7" customFormat="1" x14ac:dyDescent="0.2">
      <c r="A2018" s="3"/>
      <c r="B2018" s="3"/>
      <c r="C2018" s="3"/>
      <c r="D2018" s="3"/>
      <c r="E2018" s="3"/>
      <c r="F2018" s="3"/>
      <c r="G2018" s="3"/>
    </row>
    <row r="2019" spans="1:7" customFormat="1" x14ac:dyDescent="0.2">
      <c r="A2019" s="3"/>
      <c r="B2019" s="3"/>
      <c r="C2019" s="3"/>
      <c r="D2019" s="3"/>
      <c r="E2019" s="3"/>
      <c r="F2019" s="3"/>
      <c r="G2019" s="3"/>
    </row>
    <row r="2020" spans="1:7" customFormat="1" x14ac:dyDescent="0.2">
      <c r="A2020" s="3"/>
      <c r="B2020" s="3"/>
      <c r="C2020" s="3"/>
      <c r="D2020" s="3"/>
      <c r="E2020" s="3"/>
      <c r="F2020" s="3"/>
      <c r="G2020" s="3"/>
    </row>
    <row r="2021" spans="1:7" customFormat="1" x14ac:dyDescent="0.2">
      <c r="A2021" s="3"/>
      <c r="B2021" s="3"/>
      <c r="C2021" s="3"/>
      <c r="D2021" s="3"/>
      <c r="E2021" s="3"/>
      <c r="F2021" s="3"/>
      <c r="G2021" s="3"/>
    </row>
    <row r="2022" spans="1:7" customFormat="1" x14ac:dyDescent="0.2">
      <c r="A2022" s="3"/>
      <c r="B2022" s="3"/>
      <c r="C2022" s="3"/>
      <c r="D2022" s="3"/>
      <c r="E2022" s="3"/>
      <c r="F2022" s="3"/>
      <c r="G2022" s="3"/>
    </row>
    <row r="2023" spans="1:7" customFormat="1" x14ac:dyDescent="0.2">
      <c r="A2023" s="3"/>
      <c r="B2023" s="3"/>
      <c r="C2023" s="3"/>
      <c r="D2023" s="3"/>
      <c r="E2023" s="3"/>
      <c r="F2023" s="3"/>
      <c r="G2023" s="3"/>
    </row>
    <row r="2024" spans="1:7" customFormat="1" x14ac:dyDescent="0.2">
      <c r="A2024" s="3"/>
      <c r="B2024" s="3"/>
      <c r="C2024" s="3"/>
      <c r="D2024" s="3"/>
      <c r="E2024" s="3"/>
      <c r="F2024" s="3"/>
      <c r="G2024" s="3"/>
    </row>
    <row r="2025" spans="1:7" customFormat="1" x14ac:dyDescent="0.2">
      <c r="A2025" s="3"/>
      <c r="B2025" s="3"/>
      <c r="C2025" s="3"/>
      <c r="D2025" s="3"/>
      <c r="E2025" s="3"/>
      <c r="F2025" s="3"/>
      <c r="G2025" s="3"/>
    </row>
    <row r="2026" spans="1:7" customFormat="1" x14ac:dyDescent="0.2">
      <c r="A2026" s="3"/>
      <c r="B2026" s="3"/>
      <c r="C2026" s="3"/>
      <c r="D2026" s="3"/>
      <c r="E2026" s="3"/>
      <c r="F2026" s="3"/>
      <c r="G2026" s="3"/>
    </row>
    <row r="2027" spans="1:7" customFormat="1" x14ac:dyDescent="0.2">
      <c r="A2027" s="3"/>
      <c r="B2027" s="3"/>
      <c r="C2027" s="3"/>
      <c r="D2027" s="3"/>
      <c r="E2027" s="3"/>
      <c r="F2027" s="3"/>
      <c r="G2027" s="3"/>
    </row>
    <row r="2028" spans="1:7" customFormat="1" x14ac:dyDescent="0.2">
      <c r="A2028" s="3"/>
      <c r="B2028" s="3"/>
      <c r="C2028" s="3"/>
      <c r="D2028" s="3"/>
      <c r="E2028" s="3"/>
      <c r="F2028" s="3"/>
      <c r="G2028" s="3"/>
    </row>
    <row r="2029" spans="1:7" customFormat="1" x14ac:dyDescent="0.2">
      <c r="A2029" s="3"/>
      <c r="B2029" s="3"/>
      <c r="C2029" s="3"/>
      <c r="D2029" s="3"/>
      <c r="E2029" s="3"/>
      <c r="F2029" s="3"/>
      <c r="G2029" s="3"/>
    </row>
    <row r="2030" spans="1:7" customFormat="1" x14ac:dyDescent="0.2">
      <c r="A2030" s="3"/>
      <c r="B2030" s="3"/>
      <c r="C2030" s="3"/>
      <c r="D2030" s="3"/>
      <c r="E2030" s="3"/>
      <c r="F2030" s="3"/>
      <c r="G2030" s="3"/>
    </row>
    <row r="2031" spans="1:7" customFormat="1" x14ac:dyDescent="0.2">
      <c r="A2031" s="3"/>
      <c r="B2031" s="3"/>
      <c r="C2031" s="3"/>
      <c r="D2031" s="3"/>
      <c r="E2031" s="3"/>
      <c r="F2031" s="3"/>
      <c r="G2031" s="3"/>
    </row>
    <row r="2032" spans="1:7" customFormat="1" x14ac:dyDescent="0.2">
      <c r="A2032" s="3"/>
      <c r="B2032" s="3"/>
      <c r="C2032" s="3"/>
      <c r="D2032" s="3"/>
      <c r="E2032" s="3"/>
      <c r="F2032" s="3"/>
      <c r="G2032" s="3"/>
    </row>
    <row r="2033" spans="1:7" customFormat="1" x14ac:dyDescent="0.2">
      <c r="A2033" s="3"/>
      <c r="B2033" s="3"/>
      <c r="C2033" s="3"/>
      <c r="D2033" s="3"/>
      <c r="E2033" s="3"/>
      <c r="F2033" s="3"/>
      <c r="G2033" s="3"/>
    </row>
    <row r="2034" spans="1:7" customFormat="1" x14ac:dyDescent="0.2">
      <c r="A2034" s="3"/>
      <c r="B2034" s="3"/>
      <c r="C2034" s="3"/>
      <c r="D2034" s="3"/>
      <c r="E2034" s="3"/>
      <c r="F2034" s="3"/>
      <c r="G2034" s="3"/>
    </row>
    <row r="2035" spans="1:7" customFormat="1" x14ac:dyDescent="0.2">
      <c r="A2035" s="3"/>
      <c r="B2035" s="3"/>
      <c r="C2035" s="3"/>
      <c r="D2035" s="3"/>
      <c r="E2035" s="3"/>
      <c r="F2035" s="3"/>
      <c r="G2035" s="3"/>
    </row>
    <row r="2036" spans="1:7" customFormat="1" x14ac:dyDescent="0.2">
      <c r="A2036" s="3"/>
      <c r="B2036" s="3"/>
      <c r="C2036" s="3"/>
      <c r="D2036" s="3"/>
      <c r="E2036" s="3"/>
      <c r="F2036" s="3"/>
      <c r="G2036" s="3"/>
    </row>
    <row r="2037" spans="1:7" customFormat="1" x14ac:dyDescent="0.2">
      <c r="A2037" s="3"/>
      <c r="B2037" s="3"/>
      <c r="C2037" s="3"/>
      <c r="D2037" s="3"/>
      <c r="E2037" s="3"/>
      <c r="F2037" s="3"/>
      <c r="G2037" s="3"/>
    </row>
    <row r="2038" spans="1:7" customFormat="1" x14ac:dyDescent="0.2">
      <c r="A2038" s="3"/>
      <c r="B2038" s="3"/>
      <c r="C2038" s="3"/>
      <c r="D2038" s="3"/>
      <c r="E2038" s="3"/>
      <c r="F2038" s="3"/>
      <c r="G2038" s="3"/>
    </row>
    <row r="2039" spans="1:7" customFormat="1" x14ac:dyDescent="0.2">
      <c r="A2039" s="3"/>
      <c r="B2039" s="3"/>
      <c r="C2039" s="3"/>
      <c r="D2039" s="3"/>
      <c r="E2039" s="3"/>
      <c r="F2039" s="3"/>
      <c r="G2039" s="3"/>
    </row>
    <row r="2040" spans="1:7" customFormat="1" x14ac:dyDescent="0.2">
      <c r="A2040" s="3"/>
      <c r="B2040" s="3"/>
      <c r="C2040" s="3"/>
      <c r="D2040" s="3"/>
      <c r="E2040" s="3"/>
      <c r="F2040" s="3"/>
      <c r="G2040" s="3"/>
    </row>
    <row r="2041" spans="1:7" customFormat="1" x14ac:dyDescent="0.2">
      <c r="A2041" s="3"/>
      <c r="B2041" s="3"/>
      <c r="C2041" s="3"/>
      <c r="D2041" s="3"/>
      <c r="E2041" s="3"/>
      <c r="F2041" s="3"/>
      <c r="G2041" s="3"/>
    </row>
    <row r="2042" spans="1:7" customFormat="1" x14ac:dyDescent="0.2">
      <c r="A2042" s="3"/>
      <c r="B2042" s="3"/>
      <c r="C2042" s="3"/>
      <c r="D2042" s="3"/>
      <c r="E2042" s="3"/>
      <c r="F2042" s="3"/>
      <c r="G2042" s="3"/>
    </row>
    <row r="2043" spans="1:7" customFormat="1" x14ac:dyDescent="0.2">
      <c r="A2043" s="3"/>
      <c r="B2043" s="3"/>
      <c r="C2043" s="3"/>
      <c r="D2043" s="3"/>
      <c r="E2043" s="3"/>
      <c r="F2043" s="3"/>
      <c r="G2043" s="3"/>
    </row>
    <row r="2044" spans="1:7" customFormat="1" x14ac:dyDescent="0.2">
      <c r="A2044" s="3"/>
      <c r="B2044" s="3"/>
      <c r="C2044" s="3"/>
      <c r="D2044" s="3"/>
      <c r="E2044" s="3"/>
      <c r="F2044" s="3"/>
      <c r="G2044" s="3"/>
    </row>
    <row r="2045" spans="1:7" customFormat="1" x14ac:dyDescent="0.2">
      <c r="A2045" s="3"/>
      <c r="B2045" s="3"/>
      <c r="C2045" s="3"/>
      <c r="D2045" s="3"/>
      <c r="E2045" s="3"/>
      <c r="F2045" s="3"/>
      <c r="G2045" s="3"/>
    </row>
    <row r="2046" spans="1:7" customFormat="1" x14ac:dyDescent="0.2">
      <c r="A2046" s="3"/>
      <c r="B2046" s="3"/>
      <c r="C2046" s="3"/>
      <c r="D2046" s="3"/>
      <c r="E2046" s="3"/>
      <c r="F2046" s="3"/>
      <c r="G2046" s="3"/>
    </row>
    <row r="2047" spans="1:7" customFormat="1" x14ac:dyDescent="0.2">
      <c r="A2047" s="3"/>
      <c r="B2047" s="3"/>
      <c r="C2047" s="3"/>
      <c r="D2047" s="3"/>
      <c r="E2047" s="3"/>
      <c r="F2047" s="3"/>
      <c r="G2047" s="3"/>
    </row>
    <row r="2048" spans="1:7" customFormat="1" x14ac:dyDescent="0.2">
      <c r="A2048" s="3"/>
      <c r="B2048" s="3"/>
      <c r="C2048" s="3"/>
      <c r="D2048" s="3"/>
      <c r="E2048" s="3"/>
      <c r="F2048" s="3"/>
      <c r="G2048" s="3"/>
    </row>
    <row r="2049" spans="1:7" customFormat="1" x14ac:dyDescent="0.2">
      <c r="A2049" s="3"/>
      <c r="B2049" s="3"/>
      <c r="C2049" s="3"/>
      <c r="D2049" s="3"/>
      <c r="E2049" s="3"/>
      <c r="F2049" s="3"/>
      <c r="G2049" s="3"/>
    </row>
    <row r="2050" spans="1:7" customFormat="1" x14ac:dyDescent="0.2">
      <c r="A2050" s="3"/>
      <c r="B2050" s="3"/>
      <c r="C2050" s="3"/>
      <c r="D2050" s="3"/>
      <c r="E2050" s="3"/>
      <c r="F2050" s="3"/>
      <c r="G2050" s="3"/>
    </row>
    <row r="2051" spans="1:7" customFormat="1" x14ac:dyDescent="0.2">
      <c r="A2051" s="3"/>
      <c r="B2051" s="3"/>
      <c r="C2051" s="3"/>
      <c r="D2051" s="3"/>
      <c r="E2051" s="3"/>
      <c r="F2051" s="3"/>
      <c r="G2051" s="3"/>
    </row>
    <row r="2052" spans="1:7" customFormat="1" x14ac:dyDescent="0.2">
      <c r="A2052" s="3"/>
      <c r="B2052" s="3"/>
      <c r="C2052" s="3"/>
      <c r="D2052" s="3"/>
      <c r="E2052" s="3"/>
      <c r="F2052" s="3"/>
      <c r="G2052" s="3"/>
    </row>
    <row r="2053" spans="1:7" customFormat="1" x14ac:dyDescent="0.2">
      <c r="A2053" s="3"/>
      <c r="B2053" s="3"/>
      <c r="C2053" s="3"/>
      <c r="D2053" s="3"/>
      <c r="E2053" s="3"/>
      <c r="F2053" s="3"/>
      <c r="G2053" s="3"/>
    </row>
    <row r="2054" spans="1:7" customFormat="1" x14ac:dyDescent="0.2">
      <c r="A2054" s="3"/>
      <c r="B2054" s="3"/>
      <c r="C2054" s="3"/>
      <c r="D2054" s="3"/>
      <c r="E2054" s="3"/>
      <c r="F2054" s="3"/>
      <c r="G2054" s="3"/>
    </row>
    <row r="2055" spans="1:7" customFormat="1" x14ac:dyDescent="0.2">
      <c r="A2055" s="3"/>
      <c r="B2055" s="3"/>
      <c r="C2055" s="3"/>
      <c r="D2055" s="3"/>
      <c r="E2055" s="3"/>
      <c r="F2055" s="3"/>
      <c r="G2055" s="3"/>
    </row>
    <row r="2056" spans="1:7" customFormat="1" x14ac:dyDescent="0.2">
      <c r="A2056" s="3"/>
      <c r="B2056" s="3"/>
      <c r="C2056" s="3"/>
      <c r="D2056" s="3"/>
      <c r="E2056" s="3"/>
      <c r="F2056" s="3"/>
      <c r="G2056" s="3"/>
    </row>
    <row r="2057" spans="1:7" customFormat="1" x14ac:dyDescent="0.2">
      <c r="A2057" s="3"/>
      <c r="B2057" s="3"/>
      <c r="C2057" s="3"/>
      <c r="D2057" s="3"/>
      <c r="E2057" s="3"/>
      <c r="F2057" s="3"/>
      <c r="G2057" s="3"/>
    </row>
    <row r="2058" spans="1:7" customFormat="1" x14ac:dyDescent="0.2">
      <c r="A2058" s="3"/>
      <c r="B2058" s="3"/>
      <c r="C2058" s="3"/>
      <c r="D2058" s="3"/>
      <c r="E2058" s="3"/>
      <c r="F2058" s="3"/>
      <c r="G2058" s="3"/>
    </row>
    <row r="2059" spans="1:7" customFormat="1" x14ac:dyDescent="0.2">
      <c r="A2059" s="3"/>
      <c r="B2059" s="3"/>
      <c r="C2059" s="3"/>
      <c r="D2059" s="3"/>
      <c r="E2059" s="3"/>
      <c r="F2059" s="3"/>
      <c r="G2059" s="3"/>
    </row>
    <row r="2060" spans="1:7" customFormat="1" x14ac:dyDescent="0.2">
      <c r="A2060" s="3"/>
      <c r="B2060" s="3"/>
      <c r="C2060" s="3"/>
      <c r="D2060" s="3"/>
      <c r="E2060" s="3"/>
      <c r="F2060" s="3"/>
      <c r="G2060" s="3"/>
    </row>
    <row r="2061" spans="1:7" customFormat="1" x14ac:dyDescent="0.2">
      <c r="A2061" s="3"/>
      <c r="B2061" s="3"/>
      <c r="C2061" s="3"/>
      <c r="D2061" s="3"/>
      <c r="E2061" s="3"/>
      <c r="F2061" s="3"/>
      <c r="G2061" s="3"/>
    </row>
    <row r="2062" spans="1:7" customFormat="1" x14ac:dyDescent="0.2">
      <c r="A2062" s="3"/>
      <c r="B2062" s="3"/>
      <c r="C2062" s="3"/>
      <c r="D2062" s="3"/>
      <c r="E2062" s="3"/>
      <c r="F2062" s="3"/>
      <c r="G2062" s="3"/>
    </row>
    <row r="2063" spans="1:7" customFormat="1" x14ac:dyDescent="0.2">
      <c r="A2063" s="3"/>
      <c r="B2063" s="3"/>
      <c r="C2063" s="3"/>
      <c r="D2063" s="3"/>
      <c r="E2063" s="3"/>
      <c r="F2063" s="3"/>
      <c r="G2063" s="3"/>
    </row>
    <row r="2064" spans="1:7" customFormat="1" x14ac:dyDescent="0.2">
      <c r="A2064" s="3"/>
      <c r="B2064" s="3"/>
      <c r="C2064" s="3"/>
      <c r="D2064" s="3"/>
      <c r="E2064" s="3"/>
      <c r="F2064" s="3"/>
      <c r="G2064" s="3"/>
    </row>
    <row r="2065" spans="1:7" customFormat="1" x14ac:dyDescent="0.2">
      <c r="A2065" s="3"/>
      <c r="B2065" s="3"/>
      <c r="C2065" s="3"/>
      <c r="D2065" s="3"/>
      <c r="E2065" s="3"/>
      <c r="F2065" s="3"/>
      <c r="G2065" s="3"/>
    </row>
    <row r="2066" spans="1:7" customFormat="1" x14ac:dyDescent="0.2">
      <c r="A2066" s="3"/>
      <c r="B2066" s="3"/>
      <c r="C2066" s="3"/>
      <c r="D2066" s="3"/>
      <c r="E2066" s="3"/>
      <c r="F2066" s="3"/>
      <c r="G2066" s="3"/>
    </row>
    <row r="2067" spans="1:7" customFormat="1" x14ac:dyDescent="0.2">
      <c r="A2067" s="3"/>
      <c r="B2067" s="3"/>
      <c r="C2067" s="3"/>
      <c r="D2067" s="3"/>
      <c r="E2067" s="3"/>
      <c r="F2067" s="3"/>
      <c r="G2067" s="3"/>
    </row>
    <row r="2068" spans="1:7" customFormat="1" x14ac:dyDescent="0.2">
      <c r="A2068" s="3"/>
      <c r="B2068" s="3"/>
      <c r="C2068" s="3"/>
      <c r="D2068" s="3"/>
      <c r="E2068" s="3"/>
      <c r="F2068" s="3"/>
      <c r="G2068" s="3"/>
    </row>
    <row r="2069" spans="1:7" customFormat="1" x14ac:dyDescent="0.2"/>
    <row r="2070" spans="1:7" customFormat="1" x14ac:dyDescent="0.2"/>
    <row r="2071" spans="1:7" customFormat="1" x14ac:dyDescent="0.2"/>
    <row r="2072" spans="1:7" customFormat="1" x14ac:dyDescent="0.2"/>
    <row r="2073" spans="1:7" customFormat="1" x14ac:dyDescent="0.2"/>
    <row r="2074" spans="1:7" customFormat="1" x14ac:dyDescent="0.2"/>
    <row r="2075" spans="1:7" customFormat="1" x14ac:dyDescent="0.2"/>
    <row r="2076" spans="1:7" customFormat="1" x14ac:dyDescent="0.2"/>
    <row r="2077" spans="1:7" customFormat="1" x14ac:dyDescent="0.2"/>
    <row r="2078" spans="1:7" customFormat="1" x14ac:dyDescent="0.2"/>
    <row r="2079" spans="1:7" customFormat="1" x14ac:dyDescent="0.2"/>
    <row r="2080" spans="1:7" customFormat="1" x14ac:dyDescent="0.2"/>
    <row r="2081" customFormat="1" x14ac:dyDescent="0.2"/>
    <row r="2082" customFormat="1" x14ac:dyDescent="0.2"/>
    <row r="2083" customFormat="1" x14ac:dyDescent="0.2"/>
    <row r="2084" customFormat="1" x14ac:dyDescent="0.2"/>
    <row r="2085" customFormat="1" x14ac:dyDescent="0.2"/>
    <row r="2086" customFormat="1" x14ac:dyDescent="0.2"/>
    <row r="2087" customFormat="1" x14ac:dyDescent="0.2"/>
    <row r="2088" customFormat="1" x14ac:dyDescent="0.2"/>
    <row r="2089" customFormat="1" x14ac:dyDescent="0.2"/>
    <row r="2090" customFormat="1" x14ac:dyDescent="0.2"/>
    <row r="2091" customFormat="1" x14ac:dyDescent="0.2"/>
    <row r="2092" customFormat="1" x14ac:dyDescent="0.2"/>
    <row r="2093" customFormat="1" x14ac:dyDescent="0.2"/>
    <row r="2094" customFormat="1" x14ac:dyDescent="0.2"/>
    <row r="2095" customFormat="1" x14ac:dyDescent="0.2"/>
    <row r="2096" customFormat="1" x14ac:dyDescent="0.2"/>
    <row r="2097" customFormat="1" x14ac:dyDescent="0.2"/>
    <row r="2098" customFormat="1" x14ac:dyDescent="0.2"/>
    <row r="2099" customFormat="1" x14ac:dyDescent="0.2"/>
    <row r="2100" customFormat="1" x14ac:dyDescent="0.2"/>
    <row r="2101" customFormat="1" x14ac:dyDescent="0.2"/>
    <row r="2102" customFormat="1" x14ac:dyDescent="0.2"/>
    <row r="2103" customFormat="1" x14ac:dyDescent="0.2"/>
    <row r="2104" customFormat="1" x14ac:dyDescent="0.2"/>
    <row r="2105" customFormat="1" x14ac:dyDescent="0.2"/>
    <row r="2106" customFormat="1" x14ac:dyDescent="0.2"/>
    <row r="2107" customFormat="1" x14ac:dyDescent="0.2"/>
    <row r="2108" customFormat="1" x14ac:dyDescent="0.2"/>
    <row r="2109" customFormat="1" x14ac:dyDescent="0.2"/>
    <row r="2110" customFormat="1" x14ac:dyDescent="0.2"/>
    <row r="2111" customFormat="1" x14ac:dyDescent="0.2"/>
    <row r="2112" customFormat="1" x14ac:dyDescent="0.2"/>
    <row r="2113" customFormat="1" x14ac:dyDescent="0.2"/>
    <row r="2114" customFormat="1" x14ac:dyDescent="0.2"/>
    <row r="2115" customFormat="1" x14ac:dyDescent="0.2"/>
    <row r="2116" customFormat="1" x14ac:dyDescent="0.2"/>
    <row r="2117" customFormat="1" x14ac:dyDescent="0.2"/>
    <row r="2118" customFormat="1" x14ac:dyDescent="0.2"/>
    <row r="2119" customFormat="1" x14ac:dyDescent="0.2"/>
    <row r="2120" customFormat="1" x14ac:dyDescent="0.2"/>
    <row r="2121" customFormat="1" x14ac:dyDescent="0.2"/>
    <row r="2122" customFormat="1" x14ac:dyDescent="0.2"/>
    <row r="2123" customFormat="1" x14ac:dyDescent="0.2"/>
    <row r="2124" customFormat="1" x14ac:dyDescent="0.2"/>
    <row r="2125" customFormat="1" x14ac:dyDescent="0.2"/>
    <row r="2126" customFormat="1" x14ac:dyDescent="0.2"/>
    <row r="2127" customFormat="1" x14ac:dyDescent="0.2"/>
    <row r="2128" customFormat="1" x14ac:dyDescent="0.2"/>
    <row r="2129" customFormat="1" x14ac:dyDescent="0.2"/>
    <row r="2130" customFormat="1" x14ac:dyDescent="0.2"/>
    <row r="2131" customFormat="1" x14ac:dyDescent="0.2"/>
    <row r="2132" customFormat="1" x14ac:dyDescent="0.2"/>
    <row r="2133" customFormat="1" x14ac:dyDescent="0.2"/>
    <row r="2134" customFormat="1" x14ac:dyDescent="0.2"/>
    <row r="2135" customFormat="1" x14ac:dyDescent="0.2"/>
    <row r="2136" customFormat="1" x14ac:dyDescent="0.2"/>
    <row r="2137" customFormat="1" x14ac:dyDescent="0.2"/>
    <row r="2138" customFormat="1" x14ac:dyDescent="0.2"/>
    <row r="2139" customFormat="1" x14ac:dyDescent="0.2"/>
    <row r="2140" customFormat="1" x14ac:dyDescent="0.2"/>
    <row r="2141" customFormat="1" x14ac:dyDescent="0.2"/>
    <row r="2142" customFormat="1" x14ac:dyDescent="0.2"/>
    <row r="2143" customFormat="1" x14ac:dyDescent="0.2"/>
    <row r="2144" customFormat="1" x14ac:dyDescent="0.2"/>
    <row r="2145" customFormat="1" x14ac:dyDescent="0.2"/>
    <row r="2146" customFormat="1" x14ac:dyDescent="0.2"/>
    <row r="2147" customFormat="1" x14ac:dyDescent="0.2"/>
    <row r="2148" customFormat="1" x14ac:dyDescent="0.2"/>
    <row r="2149" customFormat="1" x14ac:dyDescent="0.2"/>
    <row r="2150" customFormat="1" x14ac:dyDescent="0.2"/>
    <row r="2151" customFormat="1" x14ac:dyDescent="0.2"/>
    <row r="2152" customFormat="1" x14ac:dyDescent="0.2"/>
    <row r="2153" customFormat="1" x14ac:dyDescent="0.2"/>
    <row r="2154" customFormat="1" x14ac:dyDescent="0.2"/>
    <row r="2155" customFormat="1" x14ac:dyDescent="0.2"/>
    <row r="2156" customFormat="1" x14ac:dyDescent="0.2"/>
    <row r="2157" customFormat="1" x14ac:dyDescent="0.2"/>
    <row r="2158" customFormat="1" x14ac:dyDescent="0.2"/>
    <row r="2159" customFormat="1" x14ac:dyDescent="0.2"/>
    <row r="2160" customFormat="1" x14ac:dyDescent="0.2"/>
    <row r="2161" customFormat="1" x14ac:dyDescent="0.2"/>
    <row r="2162" customFormat="1" x14ac:dyDescent="0.2"/>
    <row r="2163" customFormat="1" x14ac:dyDescent="0.2"/>
    <row r="2164" customFormat="1" x14ac:dyDescent="0.2"/>
    <row r="2165" customFormat="1" x14ac:dyDescent="0.2"/>
    <row r="2166" customFormat="1" x14ac:dyDescent="0.2"/>
    <row r="2167" customFormat="1" x14ac:dyDescent="0.2"/>
    <row r="2168" customFormat="1" x14ac:dyDescent="0.2"/>
    <row r="2169" customFormat="1" x14ac:dyDescent="0.2"/>
    <row r="2170" customFormat="1" x14ac:dyDescent="0.2"/>
    <row r="2171" customFormat="1" x14ac:dyDescent="0.2"/>
    <row r="2172" customFormat="1" x14ac:dyDescent="0.2"/>
    <row r="2173" customFormat="1" x14ac:dyDescent="0.2"/>
    <row r="2174" customFormat="1" x14ac:dyDescent="0.2"/>
    <row r="2175" customFormat="1" x14ac:dyDescent="0.2"/>
    <row r="2176" customFormat="1" x14ac:dyDescent="0.2"/>
    <row r="2177" customFormat="1" x14ac:dyDescent="0.2"/>
    <row r="2178" customFormat="1" x14ac:dyDescent="0.2"/>
    <row r="2179" customFormat="1" x14ac:dyDescent="0.2"/>
    <row r="2180" customFormat="1" x14ac:dyDescent="0.2"/>
    <row r="2181" customFormat="1" x14ac:dyDescent="0.2"/>
    <row r="2182" customFormat="1" x14ac:dyDescent="0.2"/>
    <row r="2183" customFormat="1" x14ac:dyDescent="0.2"/>
    <row r="2184" customFormat="1" x14ac:dyDescent="0.2"/>
    <row r="2185" customFormat="1" x14ac:dyDescent="0.2"/>
    <row r="2186" customFormat="1" x14ac:dyDescent="0.2"/>
    <row r="2187" customFormat="1" x14ac:dyDescent="0.2"/>
    <row r="2188" customFormat="1" x14ac:dyDescent="0.2"/>
    <row r="2189" customFormat="1" x14ac:dyDescent="0.2"/>
    <row r="2190" customFormat="1" x14ac:dyDescent="0.2"/>
    <row r="2191" customFormat="1" x14ac:dyDescent="0.2"/>
    <row r="2192" customFormat="1" x14ac:dyDescent="0.2"/>
    <row r="2193" customFormat="1" x14ac:dyDescent="0.2"/>
    <row r="2194" customFormat="1" x14ac:dyDescent="0.2"/>
    <row r="2195" customFormat="1" x14ac:dyDescent="0.2"/>
    <row r="2196" customFormat="1" x14ac:dyDescent="0.2"/>
    <row r="2197" customFormat="1" x14ac:dyDescent="0.2"/>
    <row r="2198" customFormat="1" x14ac:dyDescent="0.2"/>
    <row r="2199" customFormat="1" x14ac:dyDescent="0.2"/>
    <row r="2200" customFormat="1" x14ac:dyDescent="0.2"/>
    <row r="2201" customFormat="1" x14ac:dyDescent="0.2"/>
    <row r="2202" customFormat="1" x14ac:dyDescent="0.2"/>
    <row r="2203" customFormat="1" x14ac:dyDescent="0.2"/>
    <row r="2204" customFormat="1" x14ac:dyDescent="0.2"/>
    <row r="2205" customFormat="1" x14ac:dyDescent="0.2"/>
    <row r="2206" customFormat="1" x14ac:dyDescent="0.2"/>
    <row r="2207" customFormat="1" x14ac:dyDescent="0.2"/>
    <row r="2208" customFormat="1" x14ac:dyDescent="0.2"/>
    <row r="2209" customFormat="1" x14ac:dyDescent="0.2"/>
    <row r="2210" customFormat="1" x14ac:dyDescent="0.2"/>
    <row r="2211" customFormat="1" x14ac:dyDescent="0.2"/>
    <row r="2212" customFormat="1" x14ac:dyDescent="0.2"/>
    <row r="2213" customFormat="1" x14ac:dyDescent="0.2"/>
    <row r="2214" customFormat="1" x14ac:dyDescent="0.2"/>
    <row r="2215" customFormat="1" x14ac:dyDescent="0.2"/>
    <row r="2216" customFormat="1" x14ac:dyDescent="0.2"/>
    <row r="2217" customFormat="1" x14ac:dyDescent="0.2"/>
    <row r="2218" customFormat="1" x14ac:dyDescent="0.2"/>
    <row r="2219" customFormat="1" x14ac:dyDescent="0.2"/>
    <row r="2220" customFormat="1" x14ac:dyDescent="0.2"/>
    <row r="2221" customFormat="1" x14ac:dyDescent="0.2"/>
    <row r="2222" customFormat="1" x14ac:dyDescent="0.2"/>
    <row r="2223" customFormat="1" x14ac:dyDescent="0.2"/>
    <row r="2224" customFormat="1" x14ac:dyDescent="0.2"/>
    <row r="2225" customFormat="1" x14ac:dyDescent="0.2"/>
    <row r="2226" customFormat="1" x14ac:dyDescent="0.2"/>
    <row r="2227" customFormat="1" x14ac:dyDescent="0.2"/>
    <row r="2228" customFormat="1" x14ac:dyDescent="0.2"/>
    <row r="2229" customFormat="1" x14ac:dyDescent="0.2"/>
    <row r="2230" customFormat="1" x14ac:dyDescent="0.2"/>
    <row r="2231" customFormat="1" x14ac:dyDescent="0.2"/>
    <row r="2232" customFormat="1" x14ac:dyDescent="0.2"/>
    <row r="2233" customFormat="1" x14ac:dyDescent="0.2"/>
    <row r="2234" customFormat="1" x14ac:dyDescent="0.2"/>
    <row r="2235" customFormat="1" x14ac:dyDescent="0.2"/>
    <row r="2236" customFormat="1" x14ac:dyDescent="0.2"/>
    <row r="2237" customFormat="1" x14ac:dyDescent="0.2"/>
    <row r="2238" customFormat="1" x14ac:dyDescent="0.2"/>
    <row r="2239" customFormat="1" x14ac:dyDescent="0.2"/>
    <row r="2240" customFormat="1" x14ac:dyDescent="0.2"/>
    <row r="2241" customFormat="1" x14ac:dyDescent="0.2"/>
    <row r="2242" customFormat="1" x14ac:dyDescent="0.2"/>
    <row r="2243" customFormat="1" x14ac:dyDescent="0.2"/>
    <row r="2244" customFormat="1" x14ac:dyDescent="0.2"/>
    <row r="2245" customFormat="1" x14ac:dyDescent="0.2"/>
    <row r="2246" customFormat="1" x14ac:dyDescent="0.2"/>
    <row r="2247" customFormat="1" x14ac:dyDescent="0.2"/>
    <row r="2248" customFormat="1" x14ac:dyDescent="0.2"/>
    <row r="2249" customFormat="1" x14ac:dyDescent="0.2"/>
    <row r="2250" customFormat="1" x14ac:dyDescent="0.2"/>
    <row r="2251" customFormat="1" x14ac:dyDescent="0.2"/>
    <row r="2252" customFormat="1" x14ac:dyDescent="0.2"/>
    <row r="2253" customFormat="1" x14ac:dyDescent="0.2"/>
    <row r="2254" customFormat="1" x14ac:dyDescent="0.2"/>
    <row r="2255" customFormat="1" x14ac:dyDescent="0.2"/>
    <row r="2256" customFormat="1" x14ac:dyDescent="0.2"/>
    <row r="2257" spans="27:60" customFormat="1" x14ac:dyDescent="0.2"/>
    <row r="2258" spans="27:60" customFormat="1" x14ac:dyDescent="0.2"/>
    <row r="2259" spans="27:60" customFormat="1" x14ac:dyDescent="0.2"/>
    <row r="2260" spans="27:60" customFormat="1" x14ac:dyDescent="0.2"/>
    <row r="2261" spans="27:60" customFormat="1" x14ac:dyDescent="0.2"/>
    <row r="2262" spans="27:60" customFormat="1" x14ac:dyDescent="0.2"/>
    <row r="2263" spans="27:60" customFormat="1" x14ac:dyDescent="0.2"/>
    <row r="2264" spans="27:60" customFormat="1" x14ac:dyDescent="0.2">
      <c r="AA2264" s="3"/>
      <c r="AB2264" s="3"/>
      <c r="AC2264" s="3"/>
      <c r="AD2264" s="3"/>
      <c r="AE2264" s="3"/>
      <c r="AF2264" s="3"/>
      <c r="AG2264" s="3"/>
      <c r="AH2264" s="3"/>
      <c r="AI2264" s="3"/>
      <c r="BA2264" s="3"/>
      <c r="BB2264" s="3"/>
      <c r="BC2264" s="3"/>
      <c r="BD2264" s="3"/>
      <c r="BE2264" s="3"/>
      <c r="BF2264" s="3"/>
      <c r="BG2264" s="3"/>
      <c r="BH2264" s="3"/>
    </row>
  </sheetData>
  <printOptions horizontalCentered="1" verticalCentered="1" headings="1" gridLines="1"/>
  <pageMargins left="0.5" right="0.5" top="0.5" bottom="0.5" header="0" footer="0"/>
  <pageSetup scale="10"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7BFD7DDE2EAE49AAC78A68AB7AA4C6" ma:contentTypeVersion="18" ma:contentTypeDescription="Create a new document." ma:contentTypeScope="" ma:versionID="f204cc806845aa2af1fdfa580804559a">
  <xsd:schema xmlns:xsd="http://www.w3.org/2001/XMLSchema" xmlns:xs="http://www.w3.org/2001/XMLSchema" xmlns:p="http://schemas.microsoft.com/office/2006/metadata/properties" xmlns:ns2="37a4200c-0ed5-4d27-bdfb-343e8c4f4810" xmlns:ns3="de5281ab-0e43-4ae6-a18f-9b82c26df0e2" targetNamespace="http://schemas.microsoft.com/office/2006/metadata/properties" ma:root="true" ma:fieldsID="613ec300197912e5dd627532e1197081" ns2:_="" ns3:_="">
    <xsd:import namespace="37a4200c-0ed5-4d27-bdfb-343e8c4f4810"/>
    <xsd:import namespace="de5281ab-0e43-4ae6-a18f-9b82c26df0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4200c-0ed5-4d27-bdfb-343e8c4f481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281ab-0e43-4ae6-a18f-9b82c26df0e2"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697634-FFC7-46E0-B343-93504F3B9D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4200c-0ed5-4d27-bdfb-343e8c4f4810"/>
    <ds:schemaRef ds:uri="de5281ab-0e43-4ae6-a18f-9b82c26df0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800F7C-C311-4721-AD34-485ED32E15FF}">
  <ds:schemaRefs>
    <ds:schemaRef ds:uri="http://schemas.microsoft.com/sharepoint/v3/contenttype/forms"/>
  </ds:schemaRefs>
</ds:datastoreItem>
</file>

<file path=customXml/itemProps3.xml><?xml version="1.0" encoding="utf-8"?>
<ds:datastoreItem xmlns:ds="http://schemas.openxmlformats.org/officeDocument/2006/customXml" ds:itemID="{E492771E-8621-4E88-B0A1-2ACC9376670F}">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37a4200c-0ed5-4d27-bdfb-343e8c4f4810"/>
    <ds:schemaRef ds:uri="de5281ab-0e43-4ae6-a18f-9b82c26df0e2"/>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2846</vt:i4>
      </vt:variant>
    </vt:vector>
  </HeadingPairs>
  <TitlesOfParts>
    <vt:vector size="2848" baseType="lpstr">
      <vt:lpstr>Lumber Assessments-Latest price</vt:lpstr>
      <vt:lpstr>Lumber assessments-SpecificDate</vt:lpstr>
      <vt:lpstr>'Lumber assessments-SpecificDate'!__Comp</vt:lpstr>
      <vt:lpstr>__Comp</vt:lpstr>
      <vt:lpstr>'Lumber assessments-SpecificDate'!__RptP08</vt:lpstr>
      <vt:lpstr>__RptP08</vt:lpstr>
      <vt:lpstr>_LATESTvarPrvWk</vt:lpstr>
      <vt:lpstr>_LATESTvarPrvYr</vt:lpstr>
      <vt:lpstr>_LATESTvarPrvYrWithMid</vt:lpstr>
      <vt:lpstr>_LATESTvarPrvYrWithMidPrvDate</vt:lpstr>
      <vt:lpstr>_LATESTvarPubDate</vt:lpstr>
      <vt:lpstr>'Lumber assessments-SpecificDate'!_prtRptComp</vt:lpstr>
      <vt:lpstr>_prtRptComp</vt:lpstr>
      <vt:lpstr>'Lumber assessments-SpecificDate'!_prtRptP05</vt:lpstr>
      <vt:lpstr>_prtRptP05</vt:lpstr>
      <vt:lpstr>'Lumber assessments-SpecificDate'!_prtRptP06</vt:lpstr>
      <vt:lpstr>_prtRptP06</vt:lpstr>
      <vt:lpstr>'Lumber assessments-SpecificDate'!_prtRptP07</vt:lpstr>
      <vt:lpstr>_prtRptP07</vt:lpstr>
      <vt:lpstr>'Lumber assessments-SpecificDate'!_prtRptP08</vt:lpstr>
      <vt:lpstr>_prtRptP08</vt:lpstr>
      <vt:lpstr>'Lumber assessments-SpecificDate'!_SPECIFICvarPrvWk</vt:lpstr>
      <vt:lpstr>'Lumber assessments-SpecificDate'!_SPECIFICvarPrvYr</vt:lpstr>
      <vt:lpstr>'Lumber assessments-SpecificDate'!_SPECIFICvarPrvYrWithMid</vt:lpstr>
      <vt:lpstr>'Lumber assessments-SpecificDate'!_SPECIFICvarPrvYrWithMidPrvDate</vt:lpstr>
      <vt:lpstr>'Lumber assessments-SpecificDate'!_SPECIFICvarPubDate</vt:lpstr>
      <vt:lpstr>'Lumber Assessments-Latest price'!LAAB</vt:lpstr>
      <vt:lpstr>'Lumber assessments-SpecificDate'!LAAB</vt:lpstr>
      <vt:lpstr>'Lumber Assessments-Latest price'!LAAC</vt:lpstr>
      <vt:lpstr>'Lumber assessments-SpecificDate'!LAAC</vt:lpstr>
      <vt:lpstr>'Lumber Assessments-Latest price'!LAAD</vt:lpstr>
      <vt:lpstr>'Lumber assessments-SpecificDate'!LAAD</vt:lpstr>
      <vt:lpstr>'Lumber Assessments-Latest price'!LAAE</vt:lpstr>
      <vt:lpstr>'Lumber assessments-SpecificDate'!LAAE</vt:lpstr>
      <vt:lpstr>'Lumber Assessments-Latest price'!LAAF</vt:lpstr>
      <vt:lpstr>'Lumber assessments-SpecificDate'!LAAF</vt:lpstr>
      <vt:lpstr>'Lumber Assessments-Latest price'!LAAG</vt:lpstr>
      <vt:lpstr>'Lumber assessments-SpecificDate'!LAAG</vt:lpstr>
      <vt:lpstr>'Lumber Assessments-Latest price'!LAAH</vt:lpstr>
      <vt:lpstr>'Lumber assessments-SpecificDate'!LAAH</vt:lpstr>
      <vt:lpstr>'Lumber Assessments-Latest price'!LAAI</vt:lpstr>
      <vt:lpstr>'Lumber assessments-SpecificDate'!LAAI</vt:lpstr>
      <vt:lpstr>'Lumber Assessments-Latest price'!LAAJ</vt:lpstr>
      <vt:lpstr>'Lumber assessments-SpecificDate'!LAAJ</vt:lpstr>
      <vt:lpstr>'Lumber Assessments-Latest price'!LAAK</vt:lpstr>
      <vt:lpstr>'Lumber assessments-SpecificDate'!LAAK</vt:lpstr>
      <vt:lpstr>'Lumber Assessments-Latest price'!LAAL</vt:lpstr>
      <vt:lpstr>'Lumber assessments-SpecificDate'!LAAL</vt:lpstr>
      <vt:lpstr>'Lumber Assessments-Latest price'!LAAM</vt:lpstr>
      <vt:lpstr>'Lumber assessments-SpecificDate'!LAAM</vt:lpstr>
      <vt:lpstr>'Lumber Assessments-Latest price'!LAAN</vt:lpstr>
      <vt:lpstr>'Lumber assessments-SpecificDate'!LAAN</vt:lpstr>
      <vt:lpstr>'Lumber Assessments-Latest price'!LAAO</vt:lpstr>
      <vt:lpstr>'Lumber assessments-SpecificDate'!LAAO</vt:lpstr>
      <vt:lpstr>'Lumber Assessments-Latest price'!LAAP</vt:lpstr>
      <vt:lpstr>'Lumber assessments-SpecificDate'!LAAP</vt:lpstr>
      <vt:lpstr>'Lumber Assessments-Latest price'!LAAQ</vt:lpstr>
      <vt:lpstr>'Lumber assessments-SpecificDate'!LAAQ</vt:lpstr>
      <vt:lpstr>'Lumber Assessments-Latest price'!LAAR</vt:lpstr>
      <vt:lpstr>'Lumber assessments-SpecificDate'!LAAR</vt:lpstr>
      <vt:lpstr>'Lumber Assessments-Latest price'!LAAV</vt:lpstr>
      <vt:lpstr>'Lumber assessments-SpecificDate'!LAAV</vt:lpstr>
      <vt:lpstr>'Lumber Assessments-Latest price'!LAAW</vt:lpstr>
      <vt:lpstr>'Lumber assessments-SpecificDate'!LAAW</vt:lpstr>
      <vt:lpstr>'Lumber Assessments-Latest price'!LAAX</vt:lpstr>
      <vt:lpstr>'Lumber assessments-SpecificDate'!LAAX</vt:lpstr>
      <vt:lpstr>'Lumber Assessments-Latest price'!LAAY</vt:lpstr>
      <vt:lpstr>'Lumber assessments-SpecificDate'!LAAY</vt:lpstr>
      <vt:lpstr>'Lumber Assessments-Latest price'!LAAZ</vt:lpstr>
      <vt:lpstr>'Lumber assessments-SpecificDate'!LAAZ</vt:lpstr>
      <vt:lpstr>'Lumber Assessments-Latest price'!LABA</vt:lpstr>
      <vt:lpstr>'Lumber assessments-SpecificDate'!LABA</vt:lpstr>
      <vt:lpstr>'Lumber Assessments-Latest price'!LABB</vt:lpstr>
      <vt:lpstr>'Lumber assessments-SpecificDate'!LABB</vt:lpstr>
      <vt:lpstr>'Lumber Assessments-Latest price'!LABC</vt:lpstr>
      <vt:lpstr>'Lumber assessments-SpecificDate'!LABC</vt:lpstr>
      <vt:lpstr>'Lumber Assessments-Latest price'!LABD</vt:lpstr>
      <vt:lpstr>'Lumber assessments-SpecificDate'!LABD</vt:lpstr>
      <vt:lpstr>'Lumber Assessments-Latest price'!LABE</vt:lpstr>
      <vt:lpstr>'Lumber assessments-SpecificDate'!LABE</vt:lpstr>
      <vt:lpstr>'Lumber Assessments-Latest price'!LABF</vt:lpstr>
      <vt:lpstr>'Lumber assessments-SpecificDate'!LABF</vt:lpstr>
      <vt:lpstr>'Lumber Assessments-Latest price'!LABG</vt:lpstr>
      <vt:lpstr>'Lumber assessments-SpecificDate'!LABG</vt:lpstr>
      <vt:lpstr>'Lumber Assessments-Latest price'!LABH</vt:lpstr>
      <vt:lpstr>'Lumber assessments-SpecificDate'!LABH</vt:lpstr>
      <vt:lpstr>'Lumber Assessments-Latest price'!LABI</vt:lpstr>
      <vt:lpstr>'Lumber assessments-SpecificDate'!LABI</vt:lpstr>
      <vt:lpstr>'Lumber Assessments-Latest price'!LABJ</vt:lpstr>
      <vt:lpstr>'Lumber assessments-SpecificDate'!LABJ</vt:lpstr>
      <vt:lpstr>'Lumber Assessments-Latest price'!LABK</vt:lpstr>
      <vt:lpstr>'Lumber assessments-SpecificDate'!LABK</vt:lpstr>
      <vt:lpstr>'Lumber Assessments-Latest price'!LABL</vt:lpstr>
      <vt:lpstr>'Lumber assessments-SpecificDate'!LABL</vt:lpstr>
      <vt:lpstr>'Lumber Assessments-Latest price'!LABM</vt:lpstr>
      <vt:lpstr>'Lumber assessments-SpecificDate'!LABM</vt:lpstr>
      <vt:lpstr>'Lumber Assessments-Latest price'!LABO</vt:lpstr>
      <vt:lpstr>'Lumber assessments-SpecificDate'!LABO</vt:lpstr>
      <vt:lpstr>'Lumber Assessments-Latest price'!LABV</vt:lpstr>
      <vt:lpstr>'Lumber assessments-SpecificDate'!LABV</vt:lpstr>
      <vt:lpstr>'Lumber Assessments-Latest price'!LABX</vt:lpstr>
      <vt:lpstr>'Lumber assessments-SpecificDate'!LABX</vt:lpstr>
      <vt:lpstr>'Lumber Assessments-Latest price'!LABY</vt:lpstr>
      <vt:lpstr>'Lumber assessments-SpecificDate'!LABY</vt:lpstr>
      <vt:lpstr>'Lumber Assessments-Latest price'!LABZ</vt:lpstr>
      <vt:lpstr>'Lumber assessments-SpecificDate'!LABZ</vt:lpstr>
      <vt:lpstr>'Lumber Assessments-Latest price'!LACC</vt:lpstr>
      <vt:lpstr>'Lumber assessments-SpecificDate'!LACC</vt:lpstr>
      <vt:lpstr>'Lumber Assessments-Latest price'!LACD</vt:lpstr>
      <vt:lpstr>'Lumber assessments-SpecificDate'!LACD</vt:lpstr>
      <vt:lpstr>'Lumber Assessments-Latest price'!LACE</vt:lpstr>
      <vt:lpstr>'Lumber assessments-SpecificDate'!LACE</vt:lpstr>
      <vt:lpstr>'Lumber Assessments-Latest price'!LACF</vt:lpstr>
      <vt:lpstr>'Lumber assessments-SpecificDate'!LACF</vt:lpstr>
      <vt:lpstr>'Lumber Assessments-Latest price'!LACG</vt:lpstr>
      <vt:lpstr>'Lumber assessments-SpecificDate'!LACG</vt:lpstr>
      <vt:lpstr>'Lumber Assessments-Latest price'!LACH</vt:lpstr>
      <vt:lpstr>'Lumber assessments-SpecificDate'!LACH</vt:lpstr>
      <vt:lpstr>'Lumber Assessments-Latest price'!LACI</vt:lpstr>
      <vt:lpstr>'Lumber assessments-SpecificDate'!LACI</vt:lpstr>
      <vt:lpstr>'Lumber Assessments-Latest price'!LACJ</vt:lpstr>
      <vt:lpstr>'Lumber assessments-SpecificDate'!LACJ</vt:lpstr>
      <vt:lpstr>'Lumber Assessments-Latest price'!LACK</vt:lpstr>
      <vt:lpstr>'Lumber assessments-SpecificDate'!LACK</vt:lpstr>
      <vt:lpstr>'Lumber Assessments-Latest price'!LACL</vt:lpstr>
      <vt:lpstr>'Lumber assessments-SpecificDate'!LACL</vt:lpstr>
      <vt:lpstr>'Lumber Assessments-Latest price'!LACN</vt:lpstr>
      <vt:lpstr>'Lumber assessments-SpecificDate'!LACN</vt:lpstr>
      <vt:lpstr>'Lumber Assessments-Latest price'!LACT</vt:lpstr>
      <vt:lpstr>'Lumber assessments-SpecificDate'!LACT</vt:lpstr>
      <vt:lpstr>'Lumber Assessments-Latest price'!LADB</vt:lpstr>
      <vt:lpstr>'Lumber assessments-SpecificDate'!LADB</vt:lpstr>
      <vt:lpstr>'Lumber Assessments-Latest price'!LADC</vt:lpstr>
      <vt:lpstr>'Lumber assessments-SpecificDate'!LADC</vt:lpstr>
      <vt:lpstr>'Lumber Assessments-Latest price'!LADD</vt:lpstr>
      <vt:lpstr>'Lumber assessments-SpecificDate'!LADD</vt:lpstr>
      <vt:lpstr>'Lumber Assessments-Latest price'!LADE</vt:lpstr>
      <vt:lpstr>'Lumber assessments-SpecificDate'!LADE</vt:lpstr>
      <vt:lpstr>'Lumber Assessments-Latest price'!LADF</vt:lpstr>
      <vt:lpstr>'Lumber assessments-SpecificDate'!LADF</vt:lpstr>
      <vt:lpstr>'Lumber Assessments-Latest price'!LADG</vt:lpstr>
      <vt:lpstr>'Lumber assessments-SpecificDate'!LADG</vt:lpstr>
      <vt:lpstr>'Lumber Assessments-Latest price'!LADH</vt:lpstr>
      <vt:lpstr>'Lumber assessments-SpecificDate'!LADH</vt:lpstr>
      <vt:lpstr>'Lumber Assessments-Latest price'!LADI</vt:lpstr>
      <vt:lpstr>'Lumber assessments-SpecificDate'!LADI</vt:lpstr>
      <vt:lpstr>'Lumber Assessments-Latest price'!LADJ</vt:lpstr>
      <vt:lpstr>'Lumber assessments-SpecificDate'!LADJ</vt:lpstr>
      <vt:lpstr>'Lumber Assessments-Latest price'!LADK</vt:lpstr>
      <vt:lpstr>'Lumber assessments-SpecificDate'!LADK</vt:lpstr>
      <vt:lpstr>'Lumber Assessments-Latest price'!LADL</vt:lpstr>
      <vt:lpstr>'Lumber assessments-SpecificDate'!LADL</vt:lpstr>
      <vt:lpstr>'Lumber Assessments-Latest price'!LADM</vt:lpstr>
      <vt:lpstr>'Lumber assessments-SpecificDate'!LADM</vt:lpstr>
      <vt:lpstr>'Lumber Assessments-Latest price'!LADN</vt:lpstr>
      <vt:lpstr>'Lumber assessments-SpecificDate'!LADN</vt:lpstr>
      <vt:lpstr>'Lumber Assessments-Latest price'!LADO</vt:lpstr>
      <vt:lpstr>'Lumber assessments-SpecificDate'!LADO</vt:lpstr>
      <vt:lpstr>'Lumber Assessments-Latest price'!LADP</vt:lpstr>
      <vt:lpstr>'Lumber assessments-SpecificDate'!LADP</vt:lpstr>
      <vt:lpstr>'Lumber Assessments-Latest price'!LADQ</vt:lpstr>
      <vt:lpstr>'Lumber assessments-SpecificDate'!LADQ</vt:lpstr>
      <vt:lpstr>'Lumber Assessments-Latest price'!LADR</vt:lpstr>
      <vt:lpstr>'Lumber assessments-SpecificDate'!LADR</vt:lpstr>
      <vt:lpstr>'Lumber Assessments-Latest price'!LADS</vt:lpstr>
      <vt:lpstr>'Lumber assessments-SpecificDate'!LADS</vt:lpstr>
      <vt:lpstr>'Lumber Assessments-Latest price'!LADT</vt:lpstr>
      <vt:lpstr>'Lumber assessments-SpecificDate'!LADT</vt:lpstr>
      <vt:lpstr>'Lumber Assessments-Latest price'!LADU</vt:lpstr>
      <vt:lpstr>'Lumber assessments-SpecificDate'!LADU</vt:lpstr>
      <vt:lpstr>'Lumber Assessments-Latest price'!LADV</vt:lpstr>
      <vt:lpstr>'Lumber assessments-SpecificDate'!LADV</vt:lpstr>
      <vt:lpstr>'Lumber Assessments-Latest price'!LADW</vt:lpstr>
      <vt:lpstr>'Lumber assessments-SpecificDate'!LADW</vt:lpstr>
      <vt:lpstr>'Lumber Assessments-Latest price'!LADX</vt:lpstr>
      <vt:lpstr>'Lumber assessments-SpecificDate'!LADX</vt:lpstr>
      <vt:lpstr>'Lumber Assessments-Latest price'!LADY</vt:lpstr>
      <vt:lpstr>'Lumber assessments-SpecificDate'!LADY</vt:lpstr>
      <vt:lpstr>'Lumber Assessments-Latest price'!LADZ</vt:lpstr>
      <vt:lpstr>'Lumber assessments-SpecificDate'!LADZ</vt:lpstr>
      <vt:lpstr>'Lumber Assessments-Latest price'!LAEA</vt:lpstr>
      <vt:lpstr>'Lumber assessments-SpecificDate'!LAEA</vt:lpstr>
      <vt:lpstr>'Lumber Assessments-Latest price'!LAEB</vt:lpstr>
      <vt:lpstr>'Lumber assessments-SpecificDate'!LAEB</vt:lpstr>
      <vt:lpstr>'Lumber Assessments-Latest price'!LAEC</vt:lpstr>
      <vt:lpstr>'Lumber assessments-SpecificDate'!LAEC</vt:lpstr>
      <vt:lpstr>'Lumber Assessments-Latest price'!LAED</vt:lpstr>
      <vt:lpstr>'Lumber assessments-SpecificDate'!LAED</vt:lpstr>
      <vt:lpstr>'Lumber Assessments-Latest price'!LAEE</vt:lpstr>
      <vt:lpstr>'Lumber assessments-SpecificDate'!LAEE</vt:lpstr>
      <vt:lpstr>'Lumber Assessments-Latest price'!LAEF</vt:lpstr>
      <vt:lpstr>'Lumber assessments-SpecificDate'!LAEF</vt:lpstr>
      <vt:lpstr>'Lumber Assessments-Latest price'!LAEL</vt:lpstr>
      <vt:lpstr>'Lumber assessments-SpecificDate'!LAEL</vt:lpstr>
      <vt:lpstr>'Lumber Assessments-Latest price'!LAEN</vt:lpstr>
      <vt:lpstr>'Lumber assessments-SpecificDate'!LAEN</vt:lpstr>
      <vt:lpstr>'Lumber Assessments-Latest price'!LAEO</vt:lpstr>
      <vt:lpstr>'Lumber assessments-SpecificDate'!LAEO</vt:lpstr>
      <vt:lpstr>'Lumber Assessments-Latest price'!LAEP</vt:lpstr>
      <vt:lpstr>'Lumber assessments-SpecificDate'!LAEP</vt:lpstr>
      <vt:lpstr>'Lumber Assessments-Latest price'!LAEQ</vt:lpstr>
      <vt:lpstr>'Lumber assessments-SpecificDate'!LAEQ</vt:lpstr>
      <vt:lpstr>'Lumber Assessments-Latest price'!LAER</vt:lpstr>
      <vt:lpstr>'Lumber assessments-SpecificDate'!LAER</vt:lpstr>
      <vt:lpstr>'Lumber Assessments-Latest price'!LAES</vt:lpstr>
      <vt:lpstr>'Lumber assessments-SpecificDate'!LAES</vt:lpstr>
      <vt:lpstr>'Lumber Assessments-Latest price'!LAET</vt:lpstr>
      <vt:lpstr>'Lumber assessments-SpecificDate'!LAET</vt:lpstr>
      <vt:lpstr>'Lumber Assessments-Latest price'!LAEU</vt:lpstr>
      <vt:lpstr>'Lumber assessments-SpecificDate'!LAEU</vt:lpstr>
      <vt:lpstr>'Lumber Assessments-Latest price'!LAEV</vt:lpstr>
      <vt:lpstr>'Lumber assessments-SpecificDate'!LAEV</vt:lpstr>
      <vt:lpstr>'Lumber Assessments-Latest price'!LAEW</vt:lpstr>
      <vt:lpstr>'Lumber assessments-SpecificDate'!LAEW</vt:lpstr>
      <vt:lpstr>'Lumber Assessments-Latest price'!LAEX</vt:lpstr>
      <vt:lpstr>'Lumber assessments-SpecificDate'!LAEX</vt:lpstr>
      <vt:lpstr>'Lumber Assessments-Latest price'!LAEY</vt:lpstr>
      <vt:lpstr>'Lumber assessments-SpecificDate'!LAEY</vt:lpstr>
      <vt:lpstr>'Lumber Assessments-Latest price'!LAFC</vt:lpstr>
      <vt:lpstr>'Lumber assessments-SpecificDate'!LAFC</vt:lpstr>
      <vt:lpstr>'Lumber Assessments-Latest price'!LAFD</vt:lpstr>
      <vt:lpstr>'Lumber assessments-SpecificDate'!LAFD</vt:lpstr>
      <vt:lpstr>'Lumber Assessments-Latest price'!LAFE</vt:lpstr>
      <vt:lpstr>'Lumber assessments-SpecificDate'!LAFE</vt:lpstr>
      <vt:lpstr>'Lumber Assessments-Latest price'!LAFF</vt:lpstr>
      <vt:lpstr>'Lumber assessments-SpecificDate'!LAFF</vt:lpstr>
      <vt:lpstr>'Lumber Assessments-Latest price'!LAFG</vt:lpstr>
      <vt:lpstr>'Lumber assessments-SpecificDate'!LAFG</vt:lpstr>
      <vt:lpstr>'Lumber Assessments-Latest price'!LAFH</vt:lpstr>
      <vt:lpstr>'Lumber assessments-SpecificDate'!LAFH</vt:lpstr>
      <vt:lpstr>'Lumber Assessments-Latest price'!LAFI</vt:lpstr>
      <vt:lpstr>'Lumber assessments-SpecificDate'!LAFI</vt:lpstr>
      <vt:lpstr>'Lumber Assessments-Latest price'!LAFJ</vt:lpstr>
      <vt:lpstr>'Lumber assessments-SpecificDate'!LAFJ</vt:lpstr>
      <vt:lpstr>'Lumber Assessments-Latest price'!LAFK</vt:lpstr>
      <vt:lpstr>'Lumber assessments-SpecificDate'!LAFK</vt:lpstr>
      <vt:lpstr>'Lumber Assessments-Latest price'!LAFL</vt:lpstr>
      <vt:lpstr>'Lumber assessments-SpecificDate'!LAFL</vt:lpstr>
      <vt:lpstr>'Lumber Assessments-Latest price'!LAFM</vt:lpstr>
      <vt:lpstr>'Lumber assessments-SpecificDate'!LAFM</vt:lpstr>
      <vt:lpstr>'Lumber Assessments-Latest price'!LAFN</vt:lpstr>
      <vt:lpstr>'Lumber assessments-SpecificDate'!LAFN</vt:lpstr>
      <vt:lpstr>'Lumber Assessments-Latest price'!LAFO</vt:lpstr>
      <vt:lpstr>'Lumber assessments-SpecificDate'!LAFO</vt:lpstr>
      <vt:lpstr>'Lumber Assessments-Latest price'!LAFP</vt:lpstr>
      <vt:lpstr>'Lumber assessments-SpecificDate'!LAFP</vt:lpstr>
      <vt:lpstr>'Lumber Assessments-Latest price'!LAFS</vt:lpstr>
      <vt:lpstr>'Lumber assessments-SpecificDate'!LAFS</vt:lpstr>
      <vt:lpstr>'Lumber Assessments-Latest price'!LAFT</vt:lpstr>
      <vt:lpstr>'Lumber assessments-SpecificDate'!LAFT</vt:lpstr>
      <vt:lpstr>'Lumber Assessments-Latest price'!LAFU</vt:lpstr>
      <vt:lpstr>'Lumber assessments-SpecificDate'!LAFU</vt:lpstr>
      <vt:lpstr>'Lumber Assessments-Latest price'!LAFV</vt:lpstr>
      <vt:lpstr>'Lumber assessments-SpecificDate'!LAFV</vt:lpstr>
      <vt:lpstr>'Lumber Assessments-Latest price'!LAFW</vt:lpstr>
      <vt:lpstr>'Lumber assessments-SpecificDate'!LAFW</vt:lpstr>
      <vt:lpstr>'Lumber Assessments-Latest price'!LAFX</vt:lpstr>
      <vt:lpstr>'Lumber assessments-SpecificDate'!LAFX</vt:lpstr>
      <vt:lpstr>'Lumber Assessments-Latest price'!LAFY</vt:lpstr>
      <vt:lpstr>'Lumber assessments-SpecificDate'!LAFY</vt:lpstr>
      <vt:lpstr>'Lumber Assessments-Latest price'!LAFZ</vt:lpstr>
      <vt:lpstr>'Lumber assessments-SpecificDate'!LAFZ</vt:lpstr>
      <vt:lpstr>'Lumber Assessments-Latest price'!LAGA</vt:lpstr>
      <vt:lpstr>'Lumber assessments-SpecificDate'!LAGA</vt:lpstr>
      <vt:lpstr>'Lumber Assessments-Latest price'!LAGB</vt:lpstr>
      <vt:lpstr>'Lumber assessments-SpecificDate'!LAGB</vt:lpstr>
      <vt:lpstr>'Lumber Assessments-Latest price'!LAGD</vt:lpstr>
      <vt:lpstr>'Lumber assessments-SpecificDate'!LAGD</vt:lpstr>
      <vt:lpstr>'Lumber Assessments-Latest price'!LAGE</vt:lpstr>
      <vt:lpstr>'Lumber assessments-SpecificDate'!LAGE</vt:lpstr>
      <vt:lpstr>'Lumber Assessments-Latest price'!LAGF</vt:lpstr>
      <vt:lpstr>'Lumber assessments-SpecificDate'!LAGF</vt:lpstr>
      <vt:lpstr>'Lumber Assessments-Latest price'!LAGG</vt:lpstr>
      <vt:lpstr>'Lumber assessments-SpecificDate'!LAGG</vt:lpstr>
      <vt:lpstr>'Lumber Assessments-Latest price'!LAGH</vt:lpstr>
      <vt:lpstr>'Lumber assessments-SpecificDate'!LAGH</vt:lpstr>
      <vt:lpstr>'Lumber Assessments-Latest price'!LAGI</vt:lpstr>
      <vt:lpstr>'Lumber assessments-SpecificDate'!LAGI</vt:lpstr>
      <vt:lpstr>'Lumber Assessments-Latest price'!LAGJ</vt:lpstr>
      <vt:lpstr>'Lumber assessments-SpecificDate'!LAGJ</vt:lpstr>
      <vt:lpstr>'Lumber Assessments-Latest price'!LAGK</vt:lpstr>
      <vt:lpstr>'Lumber assessments-SpecificDate'!LAGK</vt:lpstr>
      <vt:lpstr>'Lumber Assessments-Latest price'!LAGL</vt:lpstr>
      <vt:lpstr>'Lumber assessments-SpecificDate'!LAGL</vt:lpstr>
      <vt:lpstr>'Lumber Assessments-Latest price'!LAGM</vt:lpstr>
      <vt:lpstr>'Lumber assessments-SpecificDate'!LAGM</vt:lpstr>
      <vt:lpstr>'Lumber Assessments-Latest price'!LAGY</vt:lpstr>
      <vt:lpstr>'Lumber assessments-SpecificDate'!LAGY</vt:lpstr>
      <vt:lpstr>'Lumber Assessments-Latest price'!LAGZ</vt:lpstr>
      <vt:lpstr>'Lumber assessments-SpecificDate'!LAGZ</vt:lpstr>
      <vt:lpstr>'Lumber Assessments-Latest price'!LAHA</vt:lpstr>
      <vt:lpstr>'Lumber assessments-SpecificDate'!LAHA</vt:lpstr>
      <vt:lpstr>'Lumber Assessments-Latest price'!LAHB</vt:lpstr>
      <vt:lpstr>'Lumber assessments-SpecificDate'!LAHB</vt:lpstr>
      <vt:lpstr>'Lumber Assessments-Latest price'!LAHC</vt:lpstr>
      <vt:lpstr>'Lumber assessments-SpecificDate'!LAHC</vt:lpstr>
      <vt:lpstr>'Lumber Assessments-Latest price'!LAHS</vt:lpstr>
      <vt:lpstr>'Lumber assessments-SpecificDate'!LAHS</vt:lpstr>
      <vt:lpstr>'Lumber Assessments-Latest price'!LAHU</vt:lpstr>
      <vt:lpstr>'Lumber assessments-SpecificDate'!LAHU</vt:lpstr>
      <vt:lpstr>'Lumber Assessments-Latest price'!LAHV</vt:lpstr>
      <vt:lpstr>'Lumber assessments-SpecificDate'!LAHV</vt:lpstr>
      <vt:lpstr>'Lumber Assessments-Latest price'!LAIA</vt:lpstr>
      <vt:lpstr>'Lumber assessments-SpecificDate'!LAIA</vt:lpstr>
      <vt:lpstr>'Lumber Assessments-Latest price'!LAIB</vt:lpstr>
      <vt:lpstr>'Lumber assessments-SpecificDate'!LAIB</vt:lpstr>
      <vt:lpstr>'Lumber Assessments-Latest price'!LAIC</vt:lpstr>
      <vt:lpstr>'Lumber assessments-SpecificDate'!LAIC</vt:lpstr>
      <vt:lpstr>'Lumber Assessments-Latest price'!LAID</vt:lpstr>
      <vt:lpstr>'Lumber assessments-SpecificDate'!LAID</vt:lpstr>
      <vt:lpstr>'Lumber Assessments-Latest price'!LAIE</vt:lpstr>
      <vt:lpstr>'Lumber assessments-SpecificDate'!LAIE</vt:lpstr>
      <vt:lpstr>'Lumber Assessments-Latest price'!LAIF</vt:lpstr>
      <vt:lpstr>'Lumber assessments-SpecificDate'!LAIF</vt:lpstr>
      <vt:lpstr>'Lumber Assessments-Latest price'!LAIG</vt:lpstr>
      <vt:lpstr>'Lumber assessments-SpecificDate'!LAIG</vt:lpstr>
      <vt:lpstr>'Lumber Assessments-Latest price'!LAIU</vt:lpstr>
      <vt:lpstr>'Lumber assessments-SpecificDate'!LAIU</vt:lpstr>
      <vt:lpstr>'Lumber Assessments-Latest price'!LAIV</vt:lpstr>
      <vt:lpstr>'Lumber assessments-SpecificDate'!LAIV</vt:lpstr>
      <vt:lpstr>'Lumber Assessments-Latest price'!LAIY</vt:lpstr>
      <vt:lpstr>'Lumber assessments-SpecificDate'!LAIY</vt:lpstr>
      <vt:lpstr>'Lumber Assessments-Latest price'!LAIZ</vt:lpstr>
      <vt:lpstr>'Lumber assessments-SpecificDate'!LAIZ</vt:lpstr>
      <vt:lpstr>'Lumber Assessments-Latest price'!LAJA</vt:lpstr>
      <vt:lpstr>'Lumber assessments-SpecificDate'!LAJA</vt:lpstr>
      <vt:lpstr>'Lumber Assessments-Latest price'!LAJB</vt:lpstr>
      <vt:lpstr>'Lumber assessments-SpecificDate'!LAJB</vt:lpstr>
      <vt:lpstr>'Lumber Assessments-Latest price'!LAJC</vt:lpstr>
      <vt:lpstr>'Lumber assessments-SpecificDate'!LAJC</vt:lpstr>
      <vt:lpstr>'Lumber Assessments-Latest price'!LAJD</vt:lpstr>
      <vt:lpstr>'Lumber assessments-SpecificDate'!LAJD</vt:lpstr>
      <vt:lpstr>'Lumber Assessments-Latest price'!LAJE</vt:lpstr>
      <vt:lpstr>'Lumber assessments-SpecificDate'!LAJE</vt:lpstr>
      <vt:lpstr>'Lumber Assessments-Latest price'!LAJF</vt:lpstr>
      <vt:lpstr>'Lumber assessments-SpecificDate'!LAJF</vt:lpstr>
      <vt:lpstr>'Lumber Assessments-Latest price'!LAJG</vt:lpstr>
      <vt:lpstr>'Lumber assessments-SpecificDate'!LAJG</vt:lpstr>
      <vt:lpstr>'Lumber Assessments-Latest price'!LAJH</vt:lpstr>
      <vt:lpstr>'Lumber assessments-SpecificDate'!LAJH</vt:lpstr>
      <vt:lpstr>'Lumber Assessments-Latest price'!LAJI</vt:lpstr>
      <vt:lpstr>'Lumber assessments-SpecificDate'!LAJI</vt:lpstr>
      <vt:lpstr>'Lumber Assessments-Latest price'!LAJJ</vt:lpstr>
      <vt:lpstr>'Lumber assessments-SpecificDate'!LAJJ</vt:lpstr>
      <vt:lpstr>'Lumber Assessments-Latest price'!LAJK</vt:lpstr>
      <vt:lpstr>'Lumber assessments-SpecificDate'!LAJK</vt:lpstr>
      <vt:lpstr>'Lumber Assessments-Latest price'!LAJL</vt:lpstr>
      <vt:lpstr>'Lumber assessments-SpecificDate'!LAJL</vt:lpstr>
      <vt:lpstr>'Lumber Assessments-Latest price'!LAJM</vt:lpstr>
      <vt:lpstr>'Lumber assessments-SpecificDate'!LAJM</vt:lpstr>
      <vt:lpstr>'Lumber Assessments-Latest price'!LAJN</vt:lpstr>
      <vt:lpstr>'Lumber assessments-SpecificDate'!LAJN</vt:lpstr>
      <vt:lpstr>'Lumber Assessments-Latest price'!LAJO</vt:lpstr>
      <vt:lpstr>'Lumber assessments-SpecificDate'!LAJO</vt:lpstr>
      <vt:lpstr>'Lumber Assessments-Latest price'!LAJP</vt:lpstr>
      <vt:lpstr>'Lumber assessments-SpecificDate'!LAJP</vt:lpstr>
      <vt:lpstr>'Lumber Assessments-Latest price'!LAJS</vt:lpstr>
      <vt:lpstr>'Lumber assessments-SpecificDate'!LAJS</vt:lpstr>
      <vt:lpstr>'Lumber Assessments-Latest price'!LAJT</vt:lpstr>
      <vt:lpstr>'Lumber assessments-SpecificDate'!LAJT</vt:lpstr>
      <vt:lpstr>'Lumber Assessments-Latest price'!LAJU</vt:lpstr>
      <vt:lpstr>'Lumber assessments-SpecificDate'!LAJU</vt:lpstr>
      <vt:lpstr>'Lumber Assessments-Latest price'!LAJW</vt:lpstr>
      <vt:lpstr>'Lumber assessments-SpecificDate'!LAJW</vt:lpstr>
      <vt:lpstr>'Lumber Assessments-Latest price'!LAJX</vt:lpstr>
      <vt:lpstr>'Lumber assessments-SpecificDate'!LAJX</vt:lpstr>
      <vt:lpstr>'Lumber Assessments-Latest price'!LAKA</vt:lpstr>
      <vt:lpstr>'Lumber assessments-SpecificDate'!LAKA</vt:lpstr>
      <vt:lpstr>'Lumber Assessments-Latest price'!LAKB</vt:lpstr>
      <vt:lpstr>'Lumber assessments-SpecificDate'!LAKB</vt:lpstr>
      <vt:lpstr>'Lumber Assessments-Latest price'!LAKC</vt:lpstr>
      <vt:lpstr>'Lumber assessments-SpecificDate'!LAKC</vt:lpstr>
      <vt:lpstr>'Lumber Assessments-Latest price'!LAKD</vt:lpstr>
      <vt:lpstr>'Lumber assessments-SpecificDate'!LAKD</vt:lpstr>
      <vt:lpstr>'Lumber Assessments-Latest price'!LAKE</vt:lpstr>
      <vt:lpstr>'Lumber assessments-SpecificDate'!LAKE</vt:lpstr>
      <vt:lpstr>'Lumber Assessments-Latest price'!LAKF</vt:lpstr>
      <vt:lpstr>'Lumber assessments-SpecificDate'!LAKF</vt:lpstr>
      <vt:lpstr>'Lumber Assessments-Latest price'!LAKG</vt:lpstr>
      <vt:lpstr>'Lumber assessments-SpecificDate'!LAKG</vt:lpstr>
      <vt:lpstr>'Lumber Assessments-Latest price'!LAKH</vt:lpstr>
      <vt:lpstr>'Lumber assessments-SpecificDate'!LAKH</vt:lpstr>
      <vt:lpstr>'Lumber Assessments-Latest price'!LAKI</vt:lpstr>
      <vt:lpstr>'Lumber assessments-SpecificDate'!LAKI</vt:lpstr>
      <vt:lpstr>'Lumber Assessments-Latest price'!LAKJ</vt:lpstr>
      <vt:lpstr>'Lumber assessments-SpecificDate'!LAKJ</vt:lpstr>
      <vt:lpstr>'Lumber Assessments-Latest price'!LAKK</vt:lpstr>
      <vt:lpstr>'Lumber assessments-SpecificDate'!LAKK</vt:lpstr>
      <vt:lpstr>'Lumber Assessments-Latest price'!LAKL</vt:lpstr>
      <vt:lpstr>'Lumber assessments-SpecificDate'!LAKL</vt:lpstr>
      <vt:lpstr>'Lumber Assessments-Latest price'!LAKM</vt:lpstr>
      <vt:lpstr>'Lumber assessments-SpecificDate'!LAKM</vt:lpstr>
      <vt:lpstr>'Lumber Assessments-Latest price'!LAKN</vt:lpstr>
      <vt:lpstr>'Lumber assessments-SpecificDate'!LAKN</vt:lpstr>
      <vt:lpstr>'Lumber Assessments-Latest price'!LAKO</vt:lpstr>
      <vt:lpstr>'Lumber assessments-SpecificDate'!LAKO</vt:lpstr>
      <vt:lpstr>'Lumber Assessments-Latest price'!LAKP</vt:lpstr>
      <vt:lpstr>'Lumber assessments-SpecificDate'!LAKP</vt:lpstr>
      <vt:lpstr>'Lumber Assessments-Latest price'!LAKS</vt:lpstr>
      <vt:lpstr>'Lumber assessments-SpecificDate'!LAKS</vt:lpstr>
      <vt:lpstr>'Lumber Assessments-Latest price'!LAKT</vt:lpstr>
      <vt:lpstr>'Lumber assessments-SpecificDate'!LAKT</vt:lpstr>
      <vt:lpstr>'Lumber Assessments-Latest price'!LAKU</vt:lpstr>
      <vt:lpstr>'Lumber assessments-SpecificDate'!LAKU</vt:lpstr>
      <vt:lpstr>'Lumber Assessments-Latest price'!LAKV</vt:lpstr>
      <vt:lpstr>'Lumber assessments-SpecificDate'!LAKV</vt:lpstr>
      <vt:lpstr>'Lumber Assessments-Latest price'!LAKW</vt:lpstr>
      <vt:lpstr>'Lumber assessments-SpecificDate'!LAKW</vt:lpstr>
      <vt:lpstr>'Lumber Assessments-Latest price'!LAKX</vt:lpstr>
      <vt:lpstr>'Lumber assessments-SpecificDate'!LAKX</vt:lpstr>
      <vt:lpstr>'Lumber Assessments-Latest price'!LAKY</vt:lpstr>
      <vt:lpstr>'Lumber assessments-SpecificDate'!LAKY</vt:lpstr>
      <vt:lpstr>'Lumber Assessments-Latest price'!LAKZ</vt:lpstr>
      <vt:lpstr>'Lumber assessments-SpecificDate'!LAKZ</vt:lpstr>
      <vt:lpstr>'Lumber Assessments-Latest price'!LALA</vt:lpstr>
      <vt:lpstr>'Lumber assessments-SpecificDate'!LALA</vt:lpstr>
      <vt:lpstr>'Lumber Assessments-Latest price'!LALB</vt:lpstr>
      <vt:lpstr>'Lumber assessments-SpecificDate'!LALB</vt:lpstr>
      <vt:lpstr>'Lumber Assessments-Latest price'!LALC</vt:lpstr>
      <vt:lpstr>'Lumber assessments-SpecificDate'!LALC</vt:lpstr>
      <vt:lpstr>'Lumber Assessments-Latest price'!LALD</vt:lpstr>
      <vt:lpstr>'Lumber assessments-SpecificDate'!LALD</vt:lpstr>
      <vt:lpstr>'Lumber Assessments-Latest price'!LALE</vt:lpstr>
      <vt:lpstr>'Lumber assessments-SpecificDate'!LALE</vt:lpstr>
      <vt:lpstr>'Lumber Assessments-Latest price'!LALF</vt:lpstr>
      <vt:lpstr>'Lumber assessments-SpecificDate'!LALF</vt:lpstr>
      <vt:lpstr>'Lumber Assessments-Latest price'!LALJ</vt:lpstr>
      <vt:lpstr>'Lumber assessments-SpecificDate'!LALJ</vt:lpstr>
      <vt:lpstr>'Lumber Assessments-Latest price'!LALK</vt:lpstr>
      <vt:lpstr>'Lumber assessments-SpecificDate'!LALK</vt:lpstr>
      <vt:lpstr>'Lumber Assessments-Latest price'!LALL</vt:lpstr>
      <vt:lpstr>'Lumber assessments-SpecificDate'!LALL</vt:lpstr>
      <vt:lpstr>'Lumber Assessments-Latest price'!LALM</vt:lpstr>
      <vt:lpstr>'Lumber assessments-SpecificDate'!LALM</vt:lpstr>
      <vt:lpstr>'Lumber Assessments-Latest price'!LALN</vt:lpstr>
      <vt:lpstr>'Lumber assessments-SpecificDate'!LALN</vt:lpstr>
      <vt:lpstr>'Lumber Assessments-Latest price'!LALO</vt:lpstr>
      <vt:lpstr>'Lumber assessments-SpecificDate'!LALO</vt:lpstr>
      <vt:lpstr>'Lumber Assessments-Latest price'!LALP</vt:lpstr>
      <vt:lpstr>'Lumber assessments-SpecificDate'!LALP</vt:lpstr>
      <vt:lpstr>'Lumber Assessments-Latest price'!LALQ</vt:lpstr>
      <vt:lpstr>'Lumber assessments-SpecificDate'!LALQ</vt:lpstr>
      <vt:lpstr>'Lumber Assessments-Latest price'!LALR</vt:lpstr>
      <vt:lpstr>'Lumber assessments-SpecificDate'!LALR</vt:lpstr>
      <vt:lpstr>'Lumber Assessments-Latest price'!LALS</vt:lpstr>
      <vt:lpstr>'Lumber assessments-SpecificDate'!LALS</vt:lpstr>
      <vt:lpstr>'Lumber Assessments-Latest price'!LALT</vt:lpstr>
      <vt:lpstr>'Lumber assessments-SpecificDate'!LALT</vt:lpstr>
      <vt:lpstr>'Lumber Assessments-Latest price'!LALU</vt:lpstr>
      <vt:lpstr>'Lumber assessments-SpecificDate'!LALU</vt:lpstr>
      <vt:lpstr>'Lumber Assessments-Latest price'!LALV</vt:lpstr>
      <vt:lpstr>'Lumber assessments-SpecificDate'!LALV</vt:lpstr>
      <vt:lpstr>'Lumber Assessments-Latest price'!LALW</vt:lpstr>
      <vt:lpstr>'Lumber assessments-SpecificDate'!LALW</vt:lpstr>
      <vt:lpstr>'Lumber Assessments-Latest price'!LALX</vt:lpstr>
      <vt:lpstr>'Lumber assessments-SpecificDate'!LALX</vt:lpstr>
      <vt:lpstr>'Lumber Assessments-Latest price'!LALY</vt:lpstr>
      <vt:lpstr>'Lumber assessments-SpecificDate'!LALY</vt:lpstr>
      <vt:lpstr>'Lumber Assessments-Latest price'!LAMB</vt:lpstr>
      <vt:lpstr>'Lumber assessments-SpecificDate'!LAMB</vt:lpstr>
      <vt:lpstr>'Lumber Assessments-Latest price'!LAMC</vt:lpstr>
      <vt:lpstr>'Lumber assessments-SpecificDate'!LAMC</vt:lpstr>
      <vt:lpstr>'Lumber Assessments-Latest price'!LAMD</vt:lpstr>
      <vt:lpstr>'Lumber assessments-SpecificDate'!LAMD</vt:lpstr>
      <vt:lpstr>'Lumber Assessments-Latest price'!LAME</vt:lpstr>
      <vt:lpstr>'Lumber assessments-SpecificDate'!LAME</vt:lpstr>
      <vt:lpstr>'Lumber Assessments-Latest price'!LAMF</vt:lpstr>
      <vt:lpstr>'Lumber assessments-SpecificDate'!LAMF</vt:lpstr>
      <vt:lpstr>'Lumber Assessments-Latest price'!LAMG</vt:lpstr>
      <vt:lpstr>'Lumber assessments-SpecificDate'!LAMG</vt:lpstr>
      <vt:lpstr>'Lumber Assessments-Latest price'!LAMH</vt:lpstr>
      <vt:lpstr>'Lumber assessments-SpecificDate'!LAMH</vt:lpstr>
      <vt:lpstr>'Lumber Assessments-Latest price'!LAMI</vt:lpstr>
      <vt:lpstr>'Lumber assessments-SpecificDate'!LAMI</vt:lpstr>
      <vt:lpstr>'Lumber Assessments-Latest price'!LAMJ</vt:lpstr>
      <vt:lpstr>'Lumber assessments-SpecificDate'!LAMJ</vt:lpstr>
      <vt:lpstr>'Lumber Assessments-Latest price'!LAMK</vt:lpstr>
      <vt:lpstr>'Lumber assessments-SpecificDate'!LAMK</vt:lpstr>
      <vt:lpstr>'Lumber Assessments-Latest price'!LAML</vt:lpstr>
      <vt:lpstr>'Lumber assessments-SpecificDate'!LAML</vt:lpstr>
      <vt:lpstr>'Lumber Assessments-Latest price'!LAMM</vt:lpstr>
      <vt:lpstr>'Lumber assessments-SpecificDate'!LAMM</vt:lpstr>
      <vt:lpstr>'Lumber Assessments-Latest price'!LAMN</vt:lpstr>
      <vt:lpstr>'Lumber assessments-SpecificDate'!LAMN</vt:lpstr>
      <vt:lpstr>'Lumber Assessments-Latest price'!LAMO</vt:lpstr>
      <vt:lpstr>'Lumber assessments-SpecificDate'!LAMO</vt:lpstr>
      <vt:lpstr>'Lumber Assessments-Latest price'!LAMP</vt:lpstr>
      <vt:lpstr>'Lumber assessments-SpecificDate'!LAMP</vt:lpstr>
      <vt:lpstr>'Lumber Assessments-Latest price'!LAMQ</vt:lpstr>
      <vt:lpstr>'Lumber assessments-SpecificDate'!LAMQ</vt:lpstr>
      <vt:lpstr>'Lumber Assessments-Latest price'!LAMR</vt:lpstr>
      <vt:lpstr>'Lumber assessments-SpecificDate'!LAMR</vt:lpstr>
      <vt:lpstr>'Lumber Assessments-Latest price'!LAMS</vt:lpstr>
      <vt:lpstr>'Lumber assessments-SpecificDate'!LAMS</vt:lpstr>
      <vt:lpstr>'Lumber Assessments-Latest price'!LAMT</vt:lpstr>
      <vt:lpstr>'Lumber assessments-SpecificDate'!LAMT</vt:lpstr>
      <vt:lpstr>'Lumber Assessments-Latest price'!LAMU</vt:lpstr>
      <vt:lpstr>'Lumber assessments-SpecificDate'!LAMU</vt:lpstr>
      <vt:lpstr>'Lumber Assessments-Latest price'!LAMW</vt:lpstr>
      <vt:lpstr>'Lumber assessments-SpecificDate'!LAMW</vt:lpstr>
      <vt:lpstr>'Lumber Assessments-Latest price'!LAMY</vt:lpstr>
      <vt:lpstr>'Lumber assessments-SpecificDate'!LAMY</vt:lpstr>
      <vt:lpstr>'Lumber Assessments-Latest price'!LAMZ</vt:lpstr>
      <vt:lpstr>'Lumber assessments-SpecificDate'!LAMZ</vt:lpstr>
      <vt:lpstr>'Lumber Assessments-Latest price'!LANA</vt:lpstr>
      <vt:lpstr>'Lumber assessments-SpecificDate'!LANA</vt:lpstr>
      <vt:lpstr>'Lumber Assessments-Latest price'!LANB</vt:lpstr>
      <vt:lpstr>'Lumber assessments-SpecificDate'!LANB</vt:lpstr>
      <vt:lpstr>'Lumber Assessments-Latest price'!LANC</vt:lpstr>
      <vt:lpstr>'Lumber assessments-SpecificDate'!LANC</vt:lpstr>
      <vt:lpstr>'Lumber Assessments-Latest price'!LAND</vt:lpstr>
      <vt:lpstr>'Lumber assessments-SpecificDate'!LAND</vt:lpstr>
      <vt:lpstr>'Lumber Assessments-Latest price'!LANE</vt:lpstr>
      <vt:lpstr>'Lumber assessments-SpecificDate'!LANE</vt:lpstr>
      <vt:lpstr>'Lumber Assessments-Latest price'!LANF</vt:lpstr>
      <vt:lpstr>'Lumber assessments-SpecificDate'!LANF</vt:lpstr>
      <vt:lpstr>'Lumber Assessments-Latest price'!LANG</vt:lpstr>
      <vt:lpstr>'Lumber assessments-SpecificDate'!LANG</vt:lpstr>
      <vt:lpstr>'Lumber Assessments-Latest price'!LANH</vt:lpstr>
      <vt:lpstr>'Lumber assessments-SpecificDate'!LANH</vt:lpstr>
      <vt:lpstr>'Lumber Assessments-Latest price'!LANI</vt:lpstr>
      <vt:lpstr>'Lumber assessments-SpecificDate'!LANI</vt:lpstr>
      <vt:lpstr>'Lumber Assessments-Latest price'!LANJ</vt:lpstr>
      <vt:lpstr>'Lumber assessments-SpecificDate'!LANJ</vt:lpstr>
      <vt:lpstr>'Lumber Assessments-Latest price'!LANK</vt:lpstr>
      <vt:lpstr>'Lumber assessments-SpecificDate'!LANK</vt:lpstr>
      <vt:lpstr>'Lumber Assessments-Latest price'!LANL</vt:lpstr>
      <vt:lpstr>'Lumber assessments-SpecificDate'!LANL</vt:lpstr>
      <vt:lpstr>'Lumber Assessments-Latest price'!LANM</vt:lpstr>
      <vt:lpstr>'Lumber assessments-SpecificDate'!LANM</vt:lpstr>
      <vt:lpstr>'Lumber Assessments-Latest price'!LANP</vt:lpstr>
      <vt:lpstr>'Lumber assessments-SpecificDate'!LANP</vt:lpstr>
      <vt:lpstr>'Lumber Assessments-Latest price'!LANQ</vt:lpstr>
      <vt:lpstr>'Lumber assessments-SpecificDate'!LANQ</vt:lpstr>
      <vt:lpstr>'Lumber Assessments-Latest price'!LANR</vt:lpstr>
      <vt:lpstr>'Lumber assessments-SpecificDate'!LANR</vt:lpstr>
      <vt:lpstr>'Lumber Assessments-Latest price'!LANS</vt:lpstr>
      <vt:lpstr>'Lumber assessments-SpecificDate'!LANS</vt:lpstr>
      <vt:lpstr>'Lumber Assessments-Latest price'!LANT</vt:lpstr>
      <vt:lpstr>'Lumber assessments-SpecificDate'!LANT</vt:lpstr>
      <vt:lpstr>'Lumber Assessments-Latest price'!LANU</vt:lpstr>
      <vt:lpstr>'Lumber assessments-SpecificDate'!LANU</vt:lpstr>
      <vt:lpstr>'Lumber Assessments-Latest price'!LANV</vt:lpstr>
      <vt:lpstr>'Lumber assessments-SpecificDate'!LANV</vt:lpstr>
      <vt:lpstr>'Lumber Assessments-Latest price'!LANW</vt:lpstr>
      <vt:lpstr>'Lumber assessments-SpecificDate'!LANW</vt:lpstr>
      <vt:lpstr>'Lumber Assessments-Latest price'!LANX</vt:lpstr>
      <vt:lpstr>'Lumber assessments-SpecificDate'!LANX</vt:lpstr>
      <vt:lpstr>'Lumber Assessments-Latest price'!LANY</vt:lpstr>
      <vt:lpstr>'Lumber assessments-SpecificDate'!LANY</vt:lpstr>
      <vt:lpstr>'Lumber Assessments-Latest price'!LANZ</vt:lpstr>
      <vt:lpstr>'Lumber assessments-SpecificDate'!LANZ</vt:lpstr>
      <vt:lpstr>'Lumber Assessments-Latest price'!LAOA</vt:lpstr>
      <vt:lpstr>'Lumber assessments-SpecificDate'!LAOA</vt:lpstr>
      <vt:lpstr>'Lumber Assessments-Latest price'!LAOB</vt:lpstr>
      <vt:lpstr>'Lumber assessments-SpecificDate'!LAOB</vt:lpstr>
      <vt:lpstr>'Lumber Assessments-Latest price'!LAOC</vt:lpstr>
      <vt:lpstr>'Lumber assessments-SpecificDate'!LAOC</vt:lpstr>
      <vt:lpstr>'Lumber Assessments-Latest price'!LAOD</vt:lpstr>
      <vt:lpstr>'Lumber assessments-SpecificDate'!LAOD</vt:lpstr>
      <vt:lpstr>'Lumber Assessments-Latest price'!LAOE</vt:lpstr>
      <vt:lpstr>'Lumber assessments-SpecificDate'!LAOE</vt:lpstr>
      <vt:lpstr>'Lumber Assessments-Latest price'!LAOF</vt:lpstr>
      <vt:lpstr>'Lumber assessments-SpecificDate'!LAOF</vt:lpstr>
      <vt:lpstr>'Lumber Assessments-Latest price'!LAOG</vt:lpstr>
      <vt:lpstr>'Lumber assessments-SpecificDate'!LAOG</vt:lpstr>
      <vt:lpstr>'Lumber Assessments-Latest price'!LAOH</vt:lpstr>
      <vt:lpstr>'Lumber assessments-SpecificDate'!LAOH</vt:lpstr>
      <vt:lpstr>'Lumber Assessments-Latest price'!LAOI</vt:lpstr>
      <vt:lpstr>'Lumber assessments-SpecificDate'!LAOI</vt:lpstr>
      <vt:lpstr>'Lumber Assessments-Latest price'!LAOK</vt:lpstr>
      <vt:lpstr>'Lumber assessments-SpecificDate'!LAOK</vt:lpstr>
      <vt:lpstr>'Lumber Assessments-Latest price'!LAOM</vt:lpstr>
      <vt:lpstr>'Lumber assessments-SpecificDate'!LAOM</vt:lpstr>
      <vt:lpstr>'Lumber Assessments-Latest price'!LAON</vt:lpstr>
      <vt:lpstr>'Lumber assessments-SpecificDate'!LAON</vt:lpstr>
      <vt:lpstr>'Lumber Assessments-Latest price'!LAOO</vt:lpstr>
      <vt:lpstr>'Lumber assessments-SpecificDate'!LAOO</vt:lpstr>
      <vt:lpstr>'Lumber Assessments-Latest price'!LAOP</vt:lpstr>
      <vt:lpstr>'Lumber assessments-SpecificDate'!LAOP</vt:lpstr>
      <vt:lpstr>'Lumber Assessments-Latest price'!LAOQ</vt:lpstr>
      <vt:lpstr>'Lumber assessments-SpecificDate'!LAOQ</vt:lpstr>
      <vt:lpstr>'Lumber Assessments-Latest price'!LAOR</vt:lpstr>
      <vt:lpstr>'Lumber assessments-SpecificDate'!LAOR</vt:lpstr>
      <vt:lpstr>'Lumber Assessments-Latest price'!LAOS</vt:lpstr>
      <vt:lpstr>'Lumber assessments-SpecificDate'!LAOS</vt:lpstr>
      <vt:lpstr>'Lumber Assessments-Latest price'!LAOT</vt:lpstr>
      <vt:lpstr>'Lumber assessments-SpecificDate'!LAOT</vt:lpstr>
      <vt:lpstr>'Lumber Assessments-Latest price'!LAOU</vt:lpstr>
      <vt:lpstr>'Lumber assessments-SpecificDate'!LAOU</vt:lpstr>
      <vt:lpstr>'Lumber Assessments-Latest price'!LAOV</vt:lpstr>
      <vt:lpstr>'Lumber assessments-SpecificDate'!LAOV</vt:lpstr>
      <vt:lpstr>'Lumber Assessments-Latest price'!LAOW</vt:lpstr>
      <vt:lpstr>'Lumber assessments-SpecificDate'!LAOW</vt:lpstr>
      <vt:lpstr>'Lumber Assessments-Latest price'!LAOX</vt:lpstr>
      <vt:lpstr>'Lumber assessments-SpecificDate'!LAOX</vt:lpstr>
      <vt:lpstr>'Lumber Assessments-Latest price'!LAOY</vt:lpstr>
      <vt:lpstr>'Lumber assessments-SpecificDate'!LAOY</vt:lpstr>
      <vt:lpstr>'Lumber Assessments-Latest price'!LAOZ</vt:lpstr>
      <vt:lpstr>'Lumber assessments-SpecificDate'!LAOZ</vt:lpstr>
      <vt:lpstr>'Lumber Assessments-Latest price'!LAPA</vt:lpstr>
      <vt:lpstr>'Lumber assessments-SpecificDate'!LAPA</vt:lpstr>
      <vt:lpstr>'Lumber Assessments-Latest price'!LAPD</vt:lpstr>
      <vt:lpstr>'Lumber assessments-SpecificDate'!LAPD</vt:lpstr>
      <vt:lpstr>'Lumber Assessments-Latest price'!LAPE</vt:lpstr>
      <vt:lpstr>'Lumber assessments-SpecificDate'!LAPE</vt:lpstr>
      <vt:lpstr>'Lumber Assessments-Latest price'!LAPF</vt:lpstr>
      <vt:lpstr>'Lumber assessments-SpecificDate'!LAPF</vt:lpstr>
      <vt:lpstr>'Lumber Assessments-Latest price'!LAPG</vt:lpstr>
      <vt:lpstr>'Lumber assessments-SpecificDate'!LAPG</vt:lpstr>
      <vt:lpstr>'Lumber Assessments-Latest price'!LAPH</vt:lpstr>
      <vt:lpstr>'Lumber assessments-SpecificDate'!LAPH</vt:lpstr>
      <vt:lpstr>'Lumber Assessments-Latest price'!LAPI</vt:lpstr>
      <vt:lpstr>'Lumber assessments-SpecificDate'!LAPI</vt:lpstr>
      <vt:lpstr>'Lumber Assessments-Latest price'!LAPJ</vt:lpstr>
      <vt:lpstr>'Lumber assessments-SpecificDate'!LAPJ</vt:lpstr>
      <vt:lpstr>'Lumber Assessments-Latest price'!LAPK</vt:lpstr>
      <vt:lpstr>'Lumber assessments-SpecificDate'!LAPK</vt:lpstr>
      <vt:lpstr>'Lumber Assessments-Latest price'!LAPL</vt:lpstr>
      <vt:lpstr>'Lumber assessments-SpecificDate'!LAPL</vt:lpstr>
      <vt:lpstr>'Lumber Assessments-Latest price'!LAPM</vt:lpstr>
      <vt:lpstr>'Lumber assessments-SpecificDate'!LAPM</vt:lpstr>
      <vt:lpstr>'Lumber Assessments-Latest price'!LAPN</vt:lpstr>
      <vt:lpstr>'Lumber assessments-SpecificDate'!LAPN</vt:lpstr>
      <vt:lpstr>'Lumber Assessments-Latest price'!LAPO</vt:lpstr>
      <vt:lpstr>'Lumber assessments-SpecificDate'!LAPO</vt:lpstr>
      <vt:lpstr>'Lumber Assessments-Latest price'!LAPP</vt:lpstr>
      <vt:lpstr>'Lumber assessments-SpecificDate'!LAPP</vt:lpstr>
      <vt:lpstr>'Lumber Assessments-Latest price'!LAPQ</vt:lpstr>
      <vt:lpstr>'Lumber assessments-SpecificDate'!LAPQ</vt:lpstr>
      <vt:lpstr>'Lumber Assessments-Latest price'!LAPR</vt:lpstr>
      <vt:lpstr>'Lumber assessments-SpecificDate'!LAPR</vt:lpstr>
      <vt:lpstr>'Lumber Assessments-Latest price'!LAPS</vt:lpstr>
      <vt:lpstr>'Lumber assessments-SpecificDate'!LAPS</vt:lpstr>
      <vt:lpstr>'Lumber Assessments-Latest price'!LAPT</vt:lpstr>
      <vt:lpstr>'Lumber assessments-SpecificDate'!LAPT</vt:lpstr>
      <vt:lpstr>'Lumber Assessments-Latest price'!LAPU</vt:lpstr>
      <vt:lpstr>'Lumber assessments-SpecificDate'!LAPU</vt:lpstr>
      <vt:lpstr>'Lumber Assessments-Latest price'!LAPV</vt:lpstr>
      <vt:lpstr>'Lumber assessments-SpecificDate'!LAPV</vt:lpstr>
      <vt:lpstr>'Lumber Assessments-Latest price'!LAPW</vt:lpstr>
      <vt:lpstr>'Lumber assessments-SpecificDate'!LAPW</vt:lpstr>
      <vt:lpstr>'Lumber Assessments-Latest price'!LAPX</vt:lpstr>
      <vt:lpstr>'Lumber assessments-SpecificDate'!LAPX</vt:lpstr>
      <vt:lpstr>'Lumber Assessments-Latest price'!LAPY</vt:lpstr>
      <vt:lpstr>'Lumber assessments-SpecificDate'!LAPY</vt:lpstr>
      <vt:lpstr>'Lumber Assessments-Latest price'!LAPZ</vt:lpstr>
      <vt:lpstr>'Lumber assessments-SpecificDate'!LAPZ</vt:lpstr>
      <vt:lpstr>'Lumber Assessments-Latest price'!LAQA</vt:lpstr>
      <vt:lpstr>'Lumber assessments-SpecificDate'!LAQA</vt:lpstr>
      <vt:lpstr>'Lumber Assessments-Latest price'!LAQB</vt:lpstr>
      <vt:lpstr>'Lumber assessments-SpecificDate'!LAQB</vt:lpstr>
      <vt:lpstr>'Lumber Assessments-Latest price'!LAQC</vt:lpstr>
      <vt:lpstr>'Lumber assessments-SpecificDate'!LAQC</vt:lpstr>
      <vt:lpstr>'Lumber Assessments-Latest price'!LAQF</vt:lpstr>
      <vt:lpstr>'Lumber assessments-SpecificDate'!LAQF</vt:lpstr>
      <vt:lpstr>'Lumber Assessments-Latest price'!LAQG</vt:lpstr>
      <vt:lpstr>'Lumber assessments-SpecificDate'!LAQG</vt:lpstr>
      <vt:lpstr>'Lumber Assessments-Latest price'!LAQH</vt:lpstr>
      <vt:lpstr>'Lumber assessments-SpecificDate'!LAQH</vt:lpstr>
      <vt:lpstr>'Lumber Assessments-Latest price'!LAQI</vt:lpstr>
      <vt:lpstr>'Lumber assessments-SpecificDate'!LAQI</vt:lpstr>
      <vt:lpstr>'Lumber Assessments-Latest price'!LAQJ</vt:lpstr>
      <vt:lpstr>'Lumber assessments-SpecificDate'!LAQJ</vt:lpstr>
      <vt:lpstr>'Lumber Assessments-Latest price'!LAQK</vt:lpstr>
      <vt:lpstr>'Lumber assessments-SpecificDate'!LAQK</vt:lpstr>
      <vt:lpstr>'Lumber Assessments-Latest price'!LAQL</vt:lpstr>
      <vt:lpstr>'Lumber assessments-SpecificDate'!LAQL</vt:lpstr>
      <vt:lpstr>'Lumber Assessments-Latest price'!LAQM</vt:lpstr>
      <vt:lpstr>'Lumber assessments-SpecificDate'!LAQM</vt:lpstr>
      <vt:lpstr>'Lumber Assessments-Latest price'!LAQN</vt:lpstr>
      <vt:lpstr>'Lumber assessments-SpecificDate'!LAQN</vt:lpstr>
      <vt:lpstr>'Lumber Assessments-Latest price'!LAQO</vt:lpstr>
      <vt:lpstr>'Lumber assessments-SpecificDate'!LAQO</vt:lpstr>
      <vt:lpstr>'Lumber Assessments-Latest price'!LAQP</vt:lpstr>
      <vt:lpstr>'Lumber assessments-SpecificDate'!LAQP</vt:lpstr>
      <vt:lpstr>'Lumber Assessments-Latest price'!LAQQ</vt:lpstr>
      <vt:lpstr>'Lumber assessments-SpecificDate'!LAQQ</vt:lpstr>
      <vt:lpstr>'Lumber Assessments-Latest price'!LAQR</vt:lpstr>
      <vt:lpstr>'Lumber assessments-SpecificDate'!LAQR</vt:lpstr>
      <vt:lpstr>'Lumber Assessments-Latest price'!LAQS</vt:lpstr>
      <vt:lpstr>'Lumber assessments-SpecificDate'!LAQS</vt:lpstr>
      <vt:lpstr>'Lumber Assessments-Latest price'!LAQT</vt:lpstr>
      <vt:lpstr>'Lumber assessments-SpecificDate'!LAQT</vt:lpstr>
      <vt:lpstr>'Lumber Assessments-Latest price'!LAQU</vt:lpstr>
      <vt:lpstr>'Lumber assessments-SpecificDate'!LAQU</vt:lpstr>
      <vt:lpstr>'Lumber Assessments-Latest price'!LAQV</vt:lpstr>
      <vt:lpstr>'Lumber assessments-SpecificDate'!LAQV</vt:lpstr>
      <vt:lpstr>'Lumber Assessments-Latest price'!LAQW</vt:lpstr>
      <vt:lpstr>'Lumber assessments-SpecificDate'!LAQW</vt:lpstr>
      <vt:lpstr>'Lumber Assessments-Latest price'!LAQX</vt:lpstr>
      <vt:lpstr>'Lumber assessments-SpecificDate'!LAQX</vt:lpstr>
      <vt:lpstr>'Lumber Assessments-Latest price'!LAQY</vt:lpstr>
      <vt:lpstr>'Lumber assessments-SpecificDate'!LAQY</vt:lpstr>
      <vt:lpstr>'Lumber Assessments-Latest price'!LAQZ</vt:lpstr>
      <vt:lpstr>'Lumber assessments-SpecificDate'!LAQZ</vt:lpstr>
      <vt:lpstr>'Lumber Assessments-Latest price'!LARA</vt:lpstr>
      <vt:lpstr>'Lumber assessments-SpecificDate'!LARA</vt:lpstr>
      <vt:lpstr>'Lumber Assessments-Latest price'!LARB</vt:lpstr>
      <vt:lpstr>'Lumber assessments-SpecificDate'!LARB</vt:lpstr>
      <vt:lpstr>'Lumber Assessments-Latest price'!LARC</vt:lpstr>
      <vt:lpstr>'Lumber assessments-SpecificDate'!LARC</vt:lpstr>
      <vt:lpstr>'Lumber Assessments-Latest price'!LARD</vt:lpstr>
      <vt:lpstr>'Lumber assessments-SpecificDate'!LARD</vt:lpstr>
      <vt:lpstr>'Lumber Assessments-Latest price'!LARE</vt:lpstr>
      <vt:lpstr>'Lumber assessments-SpecificDate'!LARE</vt:lpstr>
      <vt:lpstr>'Lumber Assessments-Latest price'!LARH</vt:lpstr>
      <vt:lpstr>'Lumber assessments-SpecificDate'!LARH</vt:lpstr>
      <vt:lpstr>'Lumber Assessments-Latest price'!LARI</vt:lpstr>
      <vt:lpstr>'Lumber assessments-SpecificDate'!LARI</vt:lpstr>
      <vt:lpstr>'Lumber Assessments-Latest price'!LARJ</vt:lpstr>
      <vt:lpstr>'Lumber assessments-SpecificDate'!LARJ</vt:lpstr>
      <vt:lpstr>'Lumber Assessments-Latest price'!LARK</vt:lpstr>
      <vt:lpstr>'Lumber assessments-SpecificDate'!LARK</vt:lpstr>
      <vt:lpstr>'Lumber Assessments-Latest price'!LARL</vt:lpstr>
      <vt:lpstr>'Lumber assessments-SpecificDate'!LARL</vt:lpstr>
      <vt:lpstr>'Lumber Assessments-Latest price'!LARM</vt:lpstr>
      <vt:lpstr>'Lumber assessments-SpecificDate'!LARM</vt:lpstr>
      <vt:lpstr>'Lumber Assessments-Latest price'!LARN</vt:lpstr>
      <vt:lpstr>'Lumber assessments-SpecificDate'!LARN</vt:lpstr>
      <vt:lpstr>'Lumber Assessments-Latest price'!LARO</vt:lpstr>
      <vt:lpstr>'Lumber assessments-SpecificDate'!LARO</vt:lpstr>
      <vt:lpstr>'Lumber Assessments-Latest price'!LARP</vt:lpstr>
      <vt:lpstr>'Lumber assessments-SpecificDate'!LARP</vt:lpstr>
      <vt:lpstr>'Lumber Assessments-Latest price'!LARQ</vt:lpstr>
      <vt:lpstr>'Lumber assessments-SpecificDate'!LARQ</vt:lpstr>
      <vt:lpstr>'Lumber Assessments-Latest price'!LARR</vt:lpstr>
      <vt:lpstr>'Lumber assessments-SpecificDate'!LARR</vt:lpstr>
      <vt:lpstr>'Lumber Assessments-Latest price'!LARS</vt:lpstr>
      <vt:lpstr>'Lumber assessments-SpecificDate'!LARS</vt:lpstr>
      <vt:lpstr>'Lumber Assessments-Latest price'!LART</vt:lpstr>
      <vt:lpstr>'Lumber assessments-SpecificDate'!LART</vt:lpstr>
      <vt:lpstr>'Lumber Assessments-Latest price'!LARU</vt:lpstr>
      <vt:lpstr>'Lumber assessments-SpecificDate'!LARU</vt:lpstr>
      <vt:lpstr>'Lumber Assessments-Latest price'!LARV</vt:lpstr>
      <vt:lpstr>'Lumber assessments-SpecificDate'!LARV</vt:lpstr>
      <vt:lpstr>'Lumber Assessments-Latest price'!LARW</vt:lpstr>
      <vt:lpstr>'Lumber assessments-SpecificDate'!LARW</vt:lpstr>
      <vt:lpstr>'Lumber Assessments-Latest price'!LASA</vt:lpstr>
      <vt:lpstr>'Lumber assessments-SpecificDate'!LASA</vt:lpstr>
      <vt:lpstr>'Lumber Assessments-Latest price'!LASB</vt:lpstr>
      <vt:lpstr>'Lumber assessments-SpecificDate'!LASB</vt:lpstr>
      <vt:lpstr>'Lumber Assessments-Latest price'!LASC</vt:lpstr>
      <vt:lpstr>'Lumber assessments-SpecificDate'!LASC</vt:lpstr>
      <vt:lpstr>'Lumber Assessments-Latest price'!LASD</vt:lpstr>
      <vt:lpstr>'Lumber assessments-SpecificDate'!LASD</vt:lpstr>
      <vt:lpstr>'Lumber Assessments-Latest price'!LASE</vt:lpstr>
      <vt:lpstr>'Lumber assessments-SpecificDate'!LASE</vt:lpstr>
      <vt:lpstr>'Lumber Assessments-Latest price'!LASF</vt:lpstr>
      <vt:lpstr>'Lumber assessments-SpecificDate'!LASF</vt:lpstr>
      <vt:lpstr>'Lumber Assessments-Latest price'!LASG</vt:lpstr>
      <vt:lpstr>'Lumber assessments-SpecificDate'!LASG</vt:lpstr>
      <vt:lpstr>'Lumber Assessments-Latest price'!LASH</vt:lpstr>
      <vt:lpstr>'Lumber assessments-SpecificDate'!LASH</vt:lpstr>
      <vt:lpstr>'Lumber Assessments-Latest price'!LASI</vt:lpstr>
      <vt:lpstr>'Lumber assessments-SpecificDate'!LASI</vt:lpstr>
      <vt:lpstr>'Lumber Assessments-Latest price'!LASJ</vt:lpstr>
      <vt:lpstr>'Lumber assessments-SpecificDate'!LASJ</vt:lpstr>
      <vt:lpstr>'Lumber Assessments-Latest price'!LASK</vt:lpstr>
      <vt:lpstr>'Lumber assessments-SpecificDate'!LASK</vt:lpstr>
      <vt:lpstr>'Lumber Assessments-Latest price'!LASL</vt:lpstr>
      <vt:lpstr>'Lumber assessments-SpecificDate'!LASL</vt:lpstr>
      <vt:lpstr>'Lumber Assessments-Latest price'!LASO</vt:lpstr>
      <vt:lpstr>'Lumber assessments-SpecificDate'!LASO</vt:lpstr>
      <vt:lpstr>'Lumber Assessments-Latest price'!LASP</vt:lpstr>
      <vt:lpstr>'Lumber assessments-SpecificDate'!LASP</vt:lpstr>
      <vt:lpstr>'Lumber Assessments-Latest price'!LASQ</vt:lpstr>
      <vt:lpstr>'Lumber assessments-SpecificDate'!LASQ</vt:lpstr>
      <vt:lpstr>'Lumber Assessments-Latest price'!LASR</vt:lpstr>
      <vt:lpstr>'Lumber assessments-SpecificDate'!LASR</vt:lpstr>
      <vt:lpstr>'Lumber Assessments-Latest price'!LASS</vt:lpstr>
      <vt:lpstr>'Lumber assessments-SpecificDate'!LASS</vt:lpstr>
      <vt:lpstr>'Lumber Assessments-Latest price'!LAST</vt:lpstr>
      <vt:lpstr>'Lumber assessments-SpecificDate'!LAST</vt:lpstr>
      <vt:lpstr>'Lumber Assessments-Latest price'!LASU</vt:lpstr>
      <vt:lpstr>'Lumber assessments-SpecificDate'!LASU</vt:lpstr>
      <vt:lpstr>'Lumber Assessments-Latest price'!LASV</vt:lpstr>
      <vt:lpstr>'Lumber assessments-SpecificDate'!LASV</vt:lpstr>
      <vt:lpstr>'Lumber Assessments-Latest price'!LASW</vt:lpstr>
      <vt:lpstr>'Lumber assessments-SpecificDate'!LASW</vt:lpstr>
      <vt:lpstr>'Lumber Assessments-Latest price'!LASX</vt:lpstr>
      <vt:lpstr>'Lumber assessments-SpecificDate'!LASX</vt:lpstr>
      <vt:lpstr>'Lumber Assessments-Latest price'!LASY</vt:lpstr>
      <vt:lpstr>'Lumber assessments-SpecificDate'!LASY</vt:lpstr>
      <vt:lpstr>'Lumber Assessments-Latest price'!LASZ</vt:lpstr>
      <vt:lpstr>'Lumber assessments-SpecificDate'!LASZ</vt:lpstr>
      <vt:lpstr>'Lumber Assessments-Latest price'!LATD</vt:lpstr>
      <vt:lpstr>'Lumber assessments-SpecificDate'!LATD</vt:lpstr>
      <vt:lpstr>'Lumber Assessments-Latest price'!LATE</vt:lpstr>
      <vt:lpstr>'Lumber assessments-SpecificDate'!LATE</vt:lpstr>
      <vt:lpstr>'Lumber Assessments-Latest price'!LATF</vt:lpstr>
      <vt:lpstr>'Lumber assessments-SpecificDate'!LATF</vt:lpstr>
      <vt:lpstr>'Lumber Assessments-Latest price'!LATG</vt:lpstr>
      <vt:lpstr>'Lumber assessments-SpecificDate'!LATG</vt:lpstr>
      <vt:lpstr>'Lumber Assessments-Latest price'!LATH</vt:lpstr>
      <vt:lpstr>'Lumber assessments-SpecificDate'!LATH</vt:lpstr>
      <vt:lpstr>'Lumber Assessments-Latest price'!LATI</vt:lpstr>
      <vt:lpstr>'Lumber assessments-SpecificDate'!LATI</vt:lpstr>
      <vt:lpstr>'Lumber Assessments-Latest price'!LATJ</vt:lpstr>
      <vt:lpstr>'Lumber assessments-SpecificDate'!LATJ</vt:lpstr>
      <vt:lpstr>'Lumber Assessments-Latest price'!LATK</vt:lpstr>
      <vt:lpstr>'Lumber assessments-SpecificDate'!LATK</vt:lpstr>
      <vt:lpstr>'Lumber Assessments-Latest price'!LATL</vt:lpstr>
      <vt:lpstr>'Lumber assessments-SpecificDate'!LATL</vt:lpstr>
      <vt:lpstr>'Lumber Assessments-Latest price'!LATM</vt:lpstr>
      <vt:lpstr>'Lumber assessments-SpecificDate'!LATM</vt:lpstr>
      <vt:lpstr>'Lumber Assessments-Latest price'!LATN</vt:lpstr>
      <vt:lpstr>'Lumber assessments-SpecificDate'!LATN</vt:lpstr>
      <vt:lpstr>'Lumber Assessments-Latest price'!LATO</vt:lpstr>
      <vt:lpstr>'Lumber assessments-SpecificDate'!LATO</vt:lpstr>
      <vt:lpstr>'Lumber Assessments-Latest price'!LATR</vt:lpstr>
      <vt:lpstr>'Lumber assessments-SpecificDate'!LATR</vt:lpstr>
      <vt:lpstr>'Lumber Assessments-Latest price'!LATS</vt:lpstr>
      <vt:lpstr>'Lumber assessments-SpecificDate'!LATS</vt:lpstr>
      <vt:lpstr>'Lumber Assessments-Latest price'!LATT</vt:lpstr>
      <vt:lpstr>'Lumber assessments-SpecificDate'!LATT</vt:lpstr>
      <vt:lpstr>'Lumber Assessments-Latest price'!LATU</vt:lpstr>
      <vt:lpstr>'Lumber assessments-SpecificDate'!LATU</vt:lpstr>
      <vt:lpstr>'Lumber Assessments-Latest price'!LATV</vt:lpstr>
      <vt:lpstr>'Lumber assessments-SpecificDate'!LATV</vt:lpstr>
      <vt:lpstr>'Lumber Assessments-Latest price'!LATW</vt:lpstr>
      <vt:lpstr>'Lumber assessments-SpecificDate'!LATW</vt:lpstr>
      <vt:lpstr>'Lumber Assessments-Latest price'!LATX</vt:lpstr>
      <vt:lpstr>'Lumber assessments-SpecificDate'!LATX</vt:lpstr>
      <vt:lpstr>'Lumber Assessments-Latest price'!LATY</vt:lpstr>
      <vt:lpstr>'Lumber assessments-SpecificDate'!LATY</vt:lpstr>
      <vt:lpstr>'Lumber Assessments-Latest price'!LATZ</vt:lpstr>
      <vt:lpstr>'Lumber assessments-SpecificDate'!LATZ</vt:lpstr>
      <vt:lpstr>'Lumber Assessments-Latest price'!LAUA</vt:lpstr>
      <vt:lpstr>'Lumber assessments-SpecificDate'!LAUA</vt:lpstr>
      <vt:lpstr>'Lumber Assessments-Latest price'!LAUB</vt:lpstr>
      <vt:lpstr>'Lumber assessments-SpecificDate'!LAUB</vt:lpstr>
      <vt:lpstr>'Lumber Assessments-Latest price'!LAUC</vt:lpstr>
      <vt:lpstr>'Lumber assessments-SpecificDate'!LAUC</vt:lpstr>
      <vt:lpstr>'Lumber Assessments-Latest price'!LAUI</vt:lpstr>
      <vt:lpstr>'Lumber assessments-SpecificDate'!LAUI</vt:lpstr>
      <vt:lpstr>'Lumber Assessments-Latest price'!LAUJ</vt:lpstr>
      <vt:lpstr>'Lumber assessments-SpecificDate'!LAUJ</vt:lpstr>
      <vt:lpstr>'Lumber Assessments-Latest price'!LAUK</vt:lpstr>
      <vt:lpstr>'Lumber assessments-SpecificDate'!LAUK</vt:lpstr>
      <vt:lpstr>'Lumber Assessments-Latest price'!LAUL</vt:lpstr>
      <vt:lpstr>'Lumber assessments-SpecificDate'!LAUL</vt:lpstr>
      <vt:lpstr>'Lumber Assessments-Latest price'!LAUP</vt:lpstr>
      <vt:lpstr>'Lumber assessments-SpecificDate'!LAUP</vt:lpstr>
      <vt:lpstr>'Lumber Assessments-Latest price'!LAUQ</vt:lpstr>
      <vt:lpstr>'Lumber assessments-SpecificDate'!LAUQ</vt:lpstr>
      <vt:lpstr>'Lumber Assessments-Latest price'!LAUR</vt:lpstr>
      <vt:lpstr>'Lumber assessments-SpecificDate'!LAUR</vt:lpstr>
      <vt:lpstr>'Lumber Assessments-Latest price'!LAUS</vt:lpstr>
      <vt:lpstr>'Lumber assessments-SpecificDate'!LAUS</vt:lpstr>
      <vt:lpstr>'Lumber Assessments-Latest price'!LAUT</vt:lpstr>
      <vt:lpstr>'Lumber assessments-SpecificDate'!LAUT</vt:lpstr>
      <vt:lpstr>'Lumber Assessments-Latest price'!LAUU</vt:lpstr>
      <vt:lpstr>'Lumber assessments-SpecificDate'!LAUU</vt:lpstr>
      <vt:lpstr>'Lumber Assessments-Latest price'!LAUV</vt:lpstr>
      <vt:lpstr>'Lumber assessments-SpecificDate'!LAUV</vt:lpstr>
      <vt:lpstr>'Lumber Assessments-Latest price'!LAUZ</vt:lpstr>
      <vt:lpstr>'Lumber assessments-SpecificDate'!LAUZ</vt:lpstr>
      <vt:lpstr>'Lumber Assessments-Latest price'!LAVA</vt:lpstr>
      <vt:lpstr>'Lumber assessments-SpecificDate'!LAVA</vt:lpstr>
      <vt:lpstr>'Lumber Assessments-Latest price'!LAVB</vt:lpstr>
      <vt:lpstr>'Lumber assessments-SpecificDate'!LAVB</vt:lpstr>
      <vt:lpstr>'Lumber Assessments-Latest price'!LAVC</vt:lpstr>
      <vt:lpstr>'Lumber assessments-SpecificDate'!LAVC</vt:lpstr>
      <vt:lpstr>'Lumber Assessments-Latest price'!LAVD</vt:lpstr>
      <vt:lpstr>'Lumber assessments-SpecificDate'!LAVD</vt:lpstr>
      <vt:lpstr>'Lumber Assessments-Latest price'!LAVE</vt:lpstr>
      <vt:lpstr>'Lumber assessments-SpecificDate'!LAVE</vt:lpstr>
      <vt:lpstr>'Lumber Assessments-Latest price'!LAVF</vt:lpstr>
      <vt:lpstr>'Lumber assessments-SpecificDate'!LAVF</vt:lpstr>
      <vt:lpstr>'Lumber Assessments-Latest price'!LAVG</vt:lpstr>
      <vt:lpstr>'Lumber assessments-SpecificDate'!LAVG</vt:lpstr>
      <vt:lpstr>'Lumber Assessments-Latest price'!LAVH</vt:lpstr>
      <vt:lpstr>'Lumber assessments-SpecificDate'!LAVH</vt:lpstr>
      <vt:lpstr>'Lumber Assessments-Latest price'!LAVI</vt:lpstr>
      <vt:lpstr>'Lumber assessments-SpecificDate'!LAVI</vt:lpstr>
      <vt:lpstr>'Lumber Assessments-Latest price'!LAVJ</vt:lpstr>
      <vt:lpstr>'Lumber assessments-SpecificDate'!LAVJ</vt:lpstr>
      <vt:lpstr>'Lumber Assessments-Latest price'!LAVK</vt:lpstr>
      <vt:lpstr>'Lumber assessments-SpecificDate'!LAVK</vt:lpstr>
      <vt:lpstr>'Lumber Assessments-Latest price'!LAVM</vt:lpstr>
      <vt:lpstr>'Lumber assessments-SpecificDate'!LAVM</vt:lpstr>
      <vt:lpstr>'Lumber Assessments-Latest price'!LAVN</vt:lpstr>
      <vt:lpstr>'Lumber assessments-SpecificDate'!LAVN</vt:lpstr>
      <vt:lpstr>'Lumber Assessments-Latest price'!LAVO</vt:lpstr>
      <vt:lpstr>'Lumber assessments-SpecificDate'!LAVO</vt:lpstr>
      <vt:lpstr>'Lumber Assessments-Latest price'!LAVP</vt:lpstr>
      <vt:lpstr>'Lumber assessments-SpecificDate'!LAVP</vt:lpstr>
      <vt:lpstr>'Lumber Assessments-Latest price'!LAVV</vt:lpstr>
      <vt:lpstr>'Lumber assessments-SpecificDate'!LAVV</vt:lpstr>
      <vt:lpstr>'Lumber Assessments-Latest price'!LAVW</vt:lpstr>
      <vt:lpstr>'Lumber assessments-SpecificDate'!LAVW</vt:lpstr>
      <vt:lpstr>'Lumber Assessments-Latest price'!LAVX</vt:lpstr>
      <vt:lpstr>'Lumber assessments-SpecificDate'!LAVX</vt:lpstr>
      <vt:lpstr>'Lumber Assessments-Latest price'!LAVY</vt:lpstr>
      <vt:lpstr>'Lumber assessments-SpecificDate'!LAVY</vt:lpstr>
      <vt:lpstr>'Lumber Assessments-Latest price'!LAVZ</vt:lpstr>
      <vt:lpstr>'Lumber assessments-SpecificDate'!LAVZ</vt:lpstr>
      <vt:lpstr>'Lumber Assessments-Latest price'!LAWA</vt:lpstr>
      <vt:lpstr>'Lumber assessments-SpecificDate'!LAWA</vt:lpstr>
      <vt:lpstr>'Lumber Assessments-Latest price'!LAWB</vt:lpstr>
      <vt:lpstr>'Lumber assessments-SpecificDate'!LAWB</vt:lpstr>
      <vt:lpstr>'Lumber Assessments-Latest price'!LAWC</vt:lpstr>
      <vt:lpstr>'Lumber assessments-SpecificDate'!LAWC</vt:lpstr>
      <vt:lpstr>'Lumber Assessments-Latest price'!LAWD</vt:lpstr>
      <vt:lpstr>'Lumber assessments-SpecificDate'!LAWD</vt:lpstr>
      <vt:lpstr>'Lumber Assessments-Latest price'!LAWE</vt:lpstr>
      <vt:lpstr>'Lumber assessments-SpecificDate'!LAWE</vt:lpstr>
      <vt:lpstr>'Lumber Assessments-Latest price'!LAWF</vt:lpstr>
      <vt:lpstr>'Lumber assessments-SpecificDate'!LAWF</vt:lpstr>
      <vt:lpstr>'Lumber Assessments-Latest price'!LAWG</vt:lpstr>
      <vt:lpstr>'Lumber assessments-SpecificDate'!LAWG</vt:lpstr>
      <vt:lpstr>'Lumber Assessments-Latest price'!LAWH</vt:lpstr>
      <vt:lpstr>'Lumber assessments-SpecificDate'!LAWH</vt:lpstr>
      <vt:lpstr>'Lumber Assessments-Latest price'!LAWI</vt:lpstr>
      <vt:lpstr>'Lumber assessments-SpecificDate'!LAWI</vt:lpstr>
      <vt:lpstr>'Lumber Assessments-Latest price'!LAWK</vt:lpstr>
      <vt:lpstr>'Lumber assessments-SpecificDate'!LAWK</vt:lpstr>
      <vt:lpstr>'Lumber Assessments-Latest price'!LAWL</vt:lpstr>
      <vt:lpstr>'Lumber assessments-SpecificDate'!LAWL</vt:lpstr>
      <vt:lpstr>'Lumber Assessments-Latest price'!LAWM</vt:lpstr>
      <vt:lpstr>'Lumber assessments-SpecificDate'!LAWM</vt:lpstr>
      <vt:lpstr>'Lumber Assessments-Latest price'!LAWN</vt:lpstr>
      <vt:lpstr>'Lumber assessments-SpecificDate'!LAWN</vt:lpstr>
      <vt:lpstr>'Lumber Assessments-Latest price'!LAWT</vt:lpstr>
      <vt:lpstr>'Lumber assessments-SpecificDate'!LAWT</vt:lpstr>
      <vt:lpstr>'Lumber Assessments-Latest price'!LAWU</vt:lpstr>
      <vt:lpstr>'Lumber assessments-SpecificDate'!LAWU</vt:lpstr>
      <vt:lpstr>'Lumber Assessments-Latest price'!LAWV</vt:lpstr>
      <vt:lpstr>'Lumber assessments-SpecificDate'!LAWV</vt:lpstr>
      <vt:lpstr>'Lumber Assessments-Latest price'!LAWW</vt:lpstr>
      <vt:lpstr>'Lumber assessments-SpecificDate'!LAWW</vt:lpstr>
      <vt:lpstr>'Lumber Assessments-Latest price'!LAWX</vt:lpstr>
      <vt:lpstr>'Lumber assessments-SpecificDate'!LAWX</vt:lpstr>
      <vt:lpstr>'Lumber Assessments-Latest price'!LAWY</vt:lpstr>
      <vt:lpstr>'Lumber assessments-SpecificDate'!LAWY</vt:lpstr>
      <vt:lpstr>'Lumber Assessments-Latest price'!LAWZ</vt:lpstr>
      <vt:lpstr>'Lumber assessments-SpecificDate'!LAWZ</vt:lpstr>
      <vt:lpstr>'Lumber Assessments-Latest price'!LAXA</vt:lpstr>
      <vt:lpstr>'Lumber assessments-SpecificDate'!LAXA</vt:lpstr>
      <vt:lpstr>'Lumber Assessments-Latest price'!LAXB</vt:lpstr>
      <vt:lpstr>'Lumber assessments-SpecificDate'!LAXB</vt:lpstr>
      <vt:lpstr>'Lumber Assessments-Latest price'!LAXC</vt:lpstr>
      <vt:lpstr>'Lumber assessments-SpecificDate'!LAXC</vt:lpstr>
      <vt:lpstr>'Lumber Assessments-Latest price'!LAXD</vt:lpstr>
      <vt:lpstr>'Lumber assessments-SpecificDate'!LAXD</vt:lpstr>
      <vt:lpstr>'Lumber Assessments-Latest price'!LAXE</vt:lpstr>
      <vt:lpstr>'Lumber assessments-SpecificDate'!LAXE</vt:lpstr>
      <vt:lpstr>'Lumber Assessments-Latest price'!LAXF</vt:lpstr>
      <vt:lpstr>'Lumber assessments-SpecificDate'!LAXF</vt:lpstr>
      <vt:lpstr>'Lumber Assessments-Latest price'!LAXG</vt:lpstr>
      <vt:lpstr>'Lumber assessments-SpecificDate'!LAXG</vt:lpstr>
      <vt:lpstr>'Lumber Assessments-Latest price'!LAXI</vt:lpstr>
      <vt:lpstr>'Lumber assessments-SpecificDate'!LAXI</vt:lpstr>
      <vt:lpstr>'Lumber Assessments-Latest price'!LAXJ</vt:lpstr>
      <vt:lpstr>'Lumber assessments-SpecificDate'!LAXJ</vt:lpstr>
      <vt:lpstr>'Lumber Assessments-Latest price'!LAXK</vt:lpstr>
      <vt:lpstr>'Lumber assessments-SpecificDate'!LAXK</vt:lpstr>
      <vt:lpstr>'Lumber Assessments-Latest price'!LAXL</vt:lpstr>
      <vt:lpstr>'Lumber assessments-SpecificDate'!LAXL</vt:lpstr>
      <vt:lpstr>'Lumber Assessments-Latest price'!LAXR</vt:lpstr>
      <vt:lpstr>'Lumber assessments-SpecificDate'!LAXR</vt:lpstr>
      <vt:lpstr>'Lumber Assessments-Latest price'!LAXS</vt:lpstr>
      <vt:lpstr>'Lumber assessments-SpecificDate'!LAXS</vt:lpstr>
      <vt:lpstr>'Lumber Assessments-Latest price'!LAXT</vt:lpstr>
      <vt:lpstr>'Lumber assessments-SpecificDate'!LAXT</vt:lpstr>
      <vt:lpstr>'Lumber Assessments-Latest price'!LAXU</vt:lpstr>
      <vt:lpstr>'Lumber assessments-SpecificDate'!LAXU</vt:lpstr>
      <vt:lpstr>'Lumber Assessments-Latest price'!LAXV</vt:lpstr>
      <vt:lpstr>'Lumber assessments-SpecificDate'!LAXV</vt:lpstr>
      <vt:lpstr>'Lumber Assessments-Latest price'!LAXW</vt:lpstr>
      <vt:lpstr>'Lumber assessments-SpecificDate'!LAXW</vt:lpstr>
      <vt:lpstr>'Lumber Assessments-Latest price'!LAXX</vt:lpstr>
      <vt:lpstr>'Lumber assessments-SpecificDate'!LAXX</vt:lpstr>
      <vt:lpstr>'Lumber Assessments-Latest price'!LAXY</vt:lpstr>
      <vt:lpstr>'Lumber assessments-SpecificDate'!LAXY</vt:lpstr>
      <vt:lpstr>'Lumber Assessments-Latest price'!LAXZ</vt:lpstr>
      <vt:lpstr>'Lumber assessments-SpecificDate'!LAXZ</vt:lpstr>
      <vt:lpstr>'Lumber Assessments-Latest price'!LAYA</vt:lpstr>
      <vt:lpstr>'Lumber assessments-SpecificDate'!LAYA</vt:lpstr>
      <vt:lpstr>'Lumber Assessments-Latest price'!LAYB</vt:lpstr>
      <vt:lpstr>'Lumber assessments-SpecificDate'!LAYB</vt:lpstr>
      <vt:lpstr>'Lumber Assessments-Latest price'!LAYC</vt:lpstr>
      <vt:lpstr>'Lumber assessments-SpecificDate'!LAYC</vt:lpstr>
      <vt:lpstr>'Lumber Assessments-Latest price'!LAYD</vt:lpstr>
      <vt:lpstr>'Lumber assessments-SpecificDate'!LAYD</vt:lpstr>
      <vt:lpstr>'Lumber Assessments-Latest price'!LAYE</vt:lpstr>
      <vt:lpstr>'Lumber assessments-SpecificDate'!LAYE</vt:lpstr>
      <vt:lpstr>'Lumber Assessments-Latest price'!LAYF</vt:lpstr>
      <vt:lpstr>'Lumber assessments-SpecificDate'!LAYF</vt:lpstr>
      <vt:lpstr>'Lumber Assessments-Latest price'!LAYG</vt:lpstr>
      <vt:lpstr>'Lumber assessments-SpecificDate'!LAYG</vt:lpstr>
      <vt:lpstr>'Lumber Assessments-Latest price'!LAYH</vt:lpstr>
      <vt:lpstr>'Lumber assessments-SpecificDate'!LAYH</vt:lpstr>
      <vt:lpstr>'Lumber Assessments-Latest price'!LAYJ</vt:lpstr>
      <vt:lpstr>'Lumber assessments-SpecificDate'!LAYJ</vt:lpstr>
      <vt:lpstr>'Lumber Assessments-Latest price'!LAYK</vt:lpstr>
      <vt:lpstr>'Lumber assessments-SpecificDate'!LAYK</vt:lpstr>
      <vt:lpstr>'Lumber Assessments-Latest price'!LAYL</vt:lpstr>
      <vt:lpstr>'Lumber assessments-SpecificDate'!LAYL</vt:lpstr>
      <vt:lpstr>'Lumber Assessments-Latest price'!LAYM</vt:lpstr>
      <vt:lpstr>'Lumber assessments-SpecificDate'!LAYM</vt:lpstr>
      <vt:lpstr>'Lumber Assessments-Latest price'!LAYS</vt:lpstr>
      <vt:lpstr>'Lumber assessments-SpecificDate'!LAYS</vt:lpstr>
      <vt:lpstr>'Lumber Assessments-Latest price'!LAYT</vt:lpstr>
      <vt:lpstr>'Lumber assessments-SpecificDate'!LAYT</vt:lpstr>
      <vt:lpstr>'Lumber Assessments-Latest price'!LAYU</vt:lpstr>
      <vt:lpstr>'Lumber assessments-SpecificDate'!LAYU</vt:lpstr>
      <vt:lpstr>'Lumber Assessments-Latest price'!LAYV</vt:lpstr>
      <vt:lpstr>'Lumber assessments-SpecificDate'!LAYV</vt:lpstr>
      <vt:lpstr>'Lumber Assessments-Latest price'!LAYW</vt:lpstr>
      <vt:lpstr>'Lumber assessments-SpecificDate'!LAYW</vt:lpstr>
      <vt:lpstr>'Lumber Assessments-Latest price'!LAYX</vt:lpstr>
      <vt:lpstr>'Lumber assessments-SpecificDate'!LAYX</vt:lpstr>
      <vt:lpstr>'Lumber Assessments-Latest price'!LAYY</vt:lpstr>
      <vt:lpstr>'Lumber assessments-SpecificDate'!LAYY</vt:lpstr>
      <vt:lpstr>'Lumber Assessments-Latest price'!LAYZ</vt:lpstr>
      <vt:lpstr>'Lumber assessments-SpecificDate'!LAYZ</vt:lpstr>
      <vt:lpstr>'Lumber Assessments-Latest price'!LAZA</vt:lpstr>
      <vt:lpstr>'Lumber assessments-SpecificDate'!LAZA</vt:lpstr>
      <vt:lpstr>'Lumber Assessments-Latest price'!LAZB</vt:lpstr>
      <vt:lpstr>'Lumber assessments-SpecificDate'!LAZB</vt:lpstr>
      <vt:lpstr>'Lumber Assessments-Latest price'!LAZC</vt:lpstr>
      <vt:lpstr>'Lumber assessments-SpecificDate'!LAZC</vt:lpstr>
      <vt:lpstr>'Lumber Assessments-Latest price'!LAZD</vt:lpstr>
      <vt:lpstr>'Lumber assessments-SpecificDate'!LAZD</vt:lpstr>
      <vt:lpstr>'Lumber Assessments-Latest price'!LAZE</vt:lpstr>
      <vt:lpstr>'Lumber assessments-SpecificDate'!LAZE</vt:lpstr>
      <vt:lpstr>'Lumber Assessments-Latest price'!LAZF</vt:lpstr>
      <vt:lpstr>'Lumber assessments-SpecificDate'!LAZF</vt:lpstr>
      <vt:lpstr>'Lumber Assessments-Latest price'!LAZH</vt:lpstr>
      <vt:lpstr>'Lumber assessments-SpecificDate'!LAZH</vt:lpstr>
      <vt:lpstr>'Lumber Assessments-Latest price'!LAZI</vt:lpstr>
      <vt:lpstr>'Lumber assessments-SpecificDate'!LAZI</vt:lpstr>
      <vt:lpstr>'Lumber Assessments-Latest price'!LAZJ</vt:lpstr>
      <vt:lpstr>'Lumber assessments-SpecificDate'!LAZJ</vt:lpstr>
      <vt:lpstr>'Lumber Assessments-Latest price'!LAZK</vt:lpstr>
      <vt:lpstr>'Lumber assessments-SpecificDate'!LAZK</vt:lpstr>
      <vt:lpstr>'Lumber Assessments-Latest price'!LAZQ</vt:lpstr>
      <vt:lpstr>'Lumber assessments-SpecificDate'!LAZQ</vt:lpstr>
      <vt:lpstr>'Lumber Assessments-Latest price'!LAZR</vt:lpstr>
      <vt:lpstr>'Lumber assessments-SpecificDate'!LAZR</vt:lpstr>
      <vt:lpstr>'Lumber Assessments-Latest price'!LAZS</vt:lpstr>
      <vt:lpstr>'Lumber assessments-SpecificDate'!LAZS</vt:lpstr>
      <vt:lpstr>'Lumber Assessments-Latest price'!LAZT</vt:lpstr>
      <vt:lpstr>'Lumber assessments-SpecificDate'!LAZT</vt:lpstr>
      <vt:lpstr>'Lumber Assessments-Latest price'!LAZU</vt:lpstr>
      <vt:lpstr>'Lumber assessments-SpecificDate'!LAZU</vt:lpstr>
      <vt:lpstr>'Lumber Assessments-Latest price'!LAZV</vt:lpstr>
      <vt:lpstr>'Lumber assessments-SpecificDate'!LAZV</vt:lpstr>
      <vt:lpstr>'Lumber Assessments-Latest price'!LAZW</vt:lpstr>
      <vt:lpstr>'Lumber assessments-SpecificDate'!LAZW</vt:lpstr>
      <vt:lpstr>'Lumber Assessments-Latest price'!LAZX</vt:lpstr>
      <vt:lpstr>'Lumber assessments-SpecificDate'!LAZX</vt:lpstr>
      <vt:lpstr>'Lumber Assessments-Latest price'!LAZY</vt:lpstr>
      <vt:lpstr>'Lumber assessments-SpecificDate'!LAZY</vt:lpstr>
      <vt:lpstr>'Lumber Assessments-Latest price'!LAZZ</vt:lpstr>
      <vt:lpstr>'Lumber assessments-SpecificDate'!LAZZ</vt:lpstr>
      <vt:lpstr>'Lumber Assessments-Latest price'!LBAB</vt:lpstr>
      <vt:lpstr>'Lumber assessments-SpecificDate'!LBAB</vt:lpstr>
      <vt:lpstr>'Lumber Assessments-Latest price'!LBAC</vt:lpstr>
      <vt:lpstr>'Lumber assessments-SpecificDate'!LBAC</vt:lpstr>
      <vt:lpstr>'Lumber Assessments-Latest price'!LBAD</vt:lpstr>
      <vt:lpstr>'Lumber assessments-SpecificDate'!LBAD</vt:lpstr>
      <vt:lpstr>'Lumber Assessments-Latest price'!LBAE</vt:lpstr>
      <vt:lpstr>'Lumber assessments-SpecificDate'!LBAE</vt:lpstr>
      <vt:lpstr>'Lumber Assessments-Latest price'!LBAK</vt:lpstr>
      <vt:lpstr>'Lumber assessments-SpecificDate'!LBAK</vt:lpstr>
      <vt:lpstr>'Lumber Assessments-Latest price'!LBAL</vt:lpstr>
      <vt:lpstr>'Lumber assessments-SpecificDate'!LBAL</vt:lpstr>
      <vt:lpstr>'Lumber Assessments-Latest price'!LBAM</vt:lpstr>
      <vt:lpstr>'Lumber assessments-SpecificDate'!LBAM</vt:lpstr>
      <vt:lpstr>'Lumber Assessments-Latest price'!LBAN</vt:lpstr>
      <vt:lpstr>'Lumber assessments-SpecificDate'!LBAN</vt:lpstr>
      <vt:lpstr>'Lumber Assessments-Latest price'!LBAO</vt:lpstr>
      <vt:lpstr>'Lumber assessments-SpecificDate'!LBAO</vt:lpstr>
      <vt:lpstr>'Lumber Assessments-Latest price'!LBAP</vt:lpstr>
      <vt:lpstr>'Lumber assessments-SpecificDate'!LBAP</vt:lpstr>
      <vt:lpstr>'Lumber Assessments-Latest price'!LBAQ</vt:lpstr>
      <vt:lpstr>'Lumber assessments-SpecificDate'!LBAQ</vt:lpstr>
      <vt:lpstr>'Lumber Assessments-Latest price'!LBAR</vt:lpstr>
      <vt:lpstr>'Lumber assessments-SpecificDate'!LBAR</vt:lpstr>
      <vt:lpstr>'Lumber Assessments-Latest price'!LBAS</vt:lpstr>
      <vt:lpstr>'Lumber assessments-SpecificDate'!LBAS</vt:lpstr>
      <vt:lpstr>'Lumber Assessments-Latest price'!LBAT</vt:lpstr>
      <vt:lpstr>'Lumber assessments-SpecificDate'!LBAT</vt:lpstr>
      <vt:lpstr>'Lumber Assessments-Latest price'!LBAV</vt:lpstr>
      <vt:lpstr>'Lumber assessments-SpecificDate'!LBAV</vt:lpstr>
      <vt:lpstr>'Lumber Assessments-Latest price'!LBAW</vt:lpstr>
      <vt:lpstr>'Lumber assessments-SpecificDate'!LBAW</vt:lpstr>
      <vt:lpstr>'Lumber Assessments-Latest price'!LBAX</vt:lpstr>
      <vt:lpstr>'Lumber assessments-SpecificDate'!LBAX</vt:lpstr>
      <vt:lpstr>'Lumber Assessments-Latest price'!LBAY</vt:lpstr>
      <vt:lpstr>'Lumber assessments-SpecificDate'!LBAY</vt:lpstr>
      <vt:lpstr>'Lumber Assessments-Latest price'!LBBE</vt:lpstr>
      <vt:lpstr>'Lumber assessments-SpecificDate'!LBBE</vt:lpstr>
      <vt:lpstr>'Lumber Assessments-Latest price'!LBBF</vt:lpstr>
      <vt:lpstr>'Lumber assessments-SpecificDate'!LBBF</vt:lpstr>
      <vt:lpstr>'Lumber Assessments-Latest price'!LBBG</vt:lpstr>
      <vt:lpstr>'Lumber assessments-SpecificDate'!LBBG</vt:lpstr>
      <vt:lpstr>'Lumber Assessments-Latest price'!LBBJ</vt:lpstr>
      <vt:lpstr>'Lumber assessments-SpecificDate'!LBBJ</vt:lpstr>
      <vt:lpstr>'Lumber Assessments-Latest price'!LBBK</vt:lpstr>
      <vt:lpstr>'Lumber assessments-SpecificDate'!LBBK</vt:lpstr>
      <vt:lpstr>'Lumber Assessments-Latest price'!LBBL</vt:lpstr>
      <vt:lpstr>'Lumber assessments-SpecificDate'!LBBL</vt:lpstr>
      <vt:lpstr>'Lumber Assessments-Latest price'!LBBM</vt:lpstr>
      <vt:lpstr>'Lumber assessments-SpecificDate'!LBBM</vt:lpstr>
      <vt:lpstr>'Lumber Assessments-Latest price'!LBBN</vt:lpstr>
      <vt:lpstr>'Lumber assessments-SpecificDate'!LBBN</vt:lpstr>
      <vt:lpstr>'Lumber Assessments-Latest price'!LBBO</vt:lpstr>
      <vt:lpstr>'Lumber assessments-SpecificDate'!LBBO</vt:lpstr>
      <vt:lpstr>'Lumber Assessments-Latest price'!LBBP</vt:lpstr>
      <vt:lpstr>'Lumber assessments-SpecificDate'!LBBP</vt:lpstr>
      <vt:lpstr>'Lumber Assessments-Latest price'!LBBQ</vt:lpstr>
      <vt:lpstr>'Lumber assessments-SpecificDate'!LBBQ</vt:lpstr>
      <vt:lpstr>'Lumber Assessments-Latest price'!LBBV</vt:lpstr>
      <vt:lpstr>'Lumber assessments-SpecificDate'!LBBV</vt:lpstr>
      <vt:lpstr>'Lumber Assessments-Latest price'!LBBW</vt:lpstr>
      <vt:lpstr>'Lumber assessments-SpecificDate'!LBBW</vt:lpstr>
      <vt:lpstr>'Lumber Assessments-Latest price'!LBBX</vt:lpstr>
      <vt:lpstr>'Lumber assessments-SpecificDate'!LBBX</vt:lpstr>
      <vt:lpstr>'Lumber Assessments-Latest price'!LBCA</vt:lpstr>
      <vt:lpstr>'Lumber assessments-SpecificDate'!LBCA</vt:lpstr>
      <vt:lpstr>'Lumber Assessments-Latest price'!LBCB</vt:lpstr>
      <vt:lpstr>'Lumber assessments-SpecificDate'!LBCB</vt:lpstr>
      <vt:lpstr>'Lumber Assessments-Latest price'!LBCC</vt:lpstr>
      <vt:lpstr>'Lumber assessments-SpecificDate'!LBCC</vt:lpstr>
      <vt:lpstr>'Lumber Assessments-Latest price'!LBCD</vt:lpstr>
      <vt:lpstr>'Lumber assessments-SpecificDate'!LBCD</vt:lpstr>
      <vt:lpstr>'Lumber Assessments-Latest price'!LBCE</vt:lpstr>
      <vt:lpstr>'Lumber assessments-SpecificDate'!LBCE</vt:lpstr>
      <vt:lpstr>'Lumber Assessments-Latest price'!LBCF</vt:lpstr>
      <vt:lpstr>'Lumber assessments-SpecificDate'!LBCF</vt:lpstr>
      <vt:lpstr>'Lumber Assessments-Latest price'!LBCG</vt:lpstr>
      <vt:lpstr>'Lumber assessments-SpecificDate'!LBCG</vt:lpstr>
      <vt:lpstr>'Lumber Assessments-Latest price'!LBCH</vt:lpstr>
      <vt:lpstr>'Lumber assessments-SpecificDate'!LBCH</vt:lpstr>
      <vt:lpstr>'Lumber Assessments-Latest price'!LBCM</vt:lpstr>
      <vt:lpstr>'Lumber assessments-SpecificDate'!LBCM</vt:lpstr>
      <vt:lpstr>'Lumber Assessments-Latest price'!LBCN</vt:lpstr>
      <vt:lpstr>'Lumber assessments-SpecificDate'!LBCN</vt:lpstr>
      <vt:lpstr>'Lumber Assessments-Latest price'!LBCP</vt:lpstr>
      <vt:lpstr>'Lumber assessments-SpecificDate'!LBCP</vt:lpstr>
      <vt:lpstr>'Lumber Assessments-Latest price'!LBCQ</vt:lpstr>
      <vt:lpstr>'Lumber assessments-SpecificDate'!LBCQ</vt:lpstr>
      <vt:lpstr>'Lumber Assessments-Latest price'!LBCR</vt:lpstr>
      <vt:lpstr>'Lumber assessments-SpecificDate'!LBCR</vt:lpstr>
      <vt:lpstr>'Lumber Assessments-Latest price'!LBCS</vt:lpstr>
      <vt:lpstr>'Lumber assessments-SpecificDate'!LBCS</vt:lpstr>
      <vt:lpstr>'Lumber Assessments-Latest price'!LBCT</vt:lpstr>
      <vt:lpstr>'Lumber assessments-SpecificDate'!LBCT</vt:lpstr>
      <vt:lpstr>'Lumber Assessments-Latest price'!LBCU</vt:lpstr>
      <vt:lpstr>'Lumber assessments-SpecificDate'!LBCU</vt:lpstr>
      <vt:lpstr>'Lumber Assessments-Latest price'!LBCV</vt:lpstr>
      <vt:lpstr>'Lumber assessments-SpecificDate'!LBCV</vt:lpstr>
      <vt:lpstr>'Lumber Assessments-Latest price'!LBCW</vt:lpstr>
      <vt:lpstr>'Lumber assessments-SpecificDate'!LBCW</vt:lpstr>
      <vt:lpstr>'Lumber Assessments-Latest price'!LBCX</vt:lpstr>
      <vt:lpstr>'Lumber assessments-SpecificDate'!LBCX</vt:lpstr>
      <vt:lpstr>'Lumber Assessments-Latest price'!LBCY</vt:lpstr>
      <vt:lpstr>'Lumber assessments-SpecificDate'!LBCY</vt:lpstr>
      <vt:lpstr>'Lumber Assessments-Latest price'!LBDE</vt:lpstr>
      <vt:lpstr>'Lumber assessments-SpecificDate'!LBDE</vt:lpstr>
      <vt:lpstr>'Lumber Assessments-Latest price'!LBDF</vt:lpstr>
      <vt:lpstr>'Lumber assessments-SpecificDate'!LBDF</vt:lpstr>
      <vt:lpstr>'Lumber Assessments-Latest price'!LBDG</vt:lpstr>
      <vt:lpstr>'Lumber assessments-SpecificDate'!LBDG</vt:lpstr>
      <vt:lpstr>'Lumber Assessments-Latest price'!LBDH</vt:lpstr>
      <vt:lpstr>'Lumber assessments-SpecificDate'!LBDH</vt:lpstr>
      <vt:lpstr>'Lumber Assessments-Latest price'!LBDI</vt:lpstr>
      <vt:lpstr>'Lumber assessments-SpecificDate'!LBDI</vt:lpstr>
      <vt:lpstr>'Lumber Assessments-Latest price'!LBDJ</vt:lpstr>
      <vt:lpstr>'Lumber assessments-SpecificDate'!LBDJ</vt:lpstr>
      <vt:lpstr>'Lumber Assessments-Latest price'!LBDK</vt:lpstr>
      <vt:lpstr>'Lumber assessments-SpecificDate'!LBDK</vt:lpstr>
      <vt:lpstr>'Lumber Assessments-Latest price'!LBDL</vt:lpstr>
      <vt:lpstr>'Lumber assessments-SpecificDate'!LBDL</vt:lpstr>
      <vt:lpstr>'Lumber Assessments-Latest price'!LBDM</vt:lpstr>
      <vt:lpstr>'Lumber assessments-SpecificDate'!LBDM</vt:lpstr>
      <vt:lpstr>'Lumber Assessments-Latest price'!LBDN</vt:lpstr>
      <vt:lpstr>'Lumber assessments-SpecificDate'!LBDN</vt:lpstr>
      <vt:lpstr>'Lumber Assessments-Latest price'!LBDO</vt:lpstr>
      <vt:lpstr>'Lumber assessments-SpecificDate'!LBDO</vt:lpstr>
      <vt:lpstr>'Lumber Assessments-Latest price'!LBDP</vt:lpstr>
      <vt:lpstr>'Lumber assessments-SpecificDate'!LBDP</vt:lpstr>
      <vt:lpstr>'Lumber Assessments-Latest price'!LBDQ</vt:lpstr>
      <vt:lpstr>'Lumber assessments-SpecificDate'!LBDQ</vt:lpstr>
      <vt:lpstr>'Lumber Assessments-Latest price'!LBDR</vt:lpstr>
      <vt:lpstr>'Lumber assessments-SpecificDate'!LBDR</vt:lpstr>
      <vt:lpstr>'Lumber Assessments-Latest price'!LBDS</vt:lpstr>
      <vt:lpstr>'Lumber assessments-SpecificDate'!LBDS</vt:lpstr>
      <vt:lpstr>'Lumber Assessments-Latest price'!LBDT</vt:lpstr>
      <vt:lpstr>'Lumber assessments-SpecificDate'!LBDT</vt:lpstr>
      <vt:lpstr>'Lumber Assessments-Latest price'!LBDU</vt:lpstr>
      <vt:lpstr>'Lumber assessments-SpecificDate'!LBDU</vt:lpstr>
      <vt:lpstr>'Lumber Assessments-Latest price'!LBDV</vt:lpstr>
      <vt:lpstr>'Lumber assessments-SpecificDate'!LBDV</vt:lpstr>
      <vt:lpstr>'Lumber Assessments-Latest price'!LBDW</vt:lpstr>
      <vt:lpstr>'Lumber assessments-SpecificDate'!LBDW</vt:lpstr>
      <vt:lpstr>'Lumber Assessments-Latest price'!LBDX</vt:lpstr>
      <vt:lpstr>'Lumber assessments-SpecificDate'!LBDX</vt:lpstr>
      <vt:lpstr>'Lumber Assessments-Latest price'!LBED</vt:lpstr>
      <vt:lpstr>'Lumber assessments-SpecificDate'!LBED</vt:lpstr>
      <vt:lpstr>'Lumber Assessments-Latest price'!LBEE</vt:lpstr>
      <vt:lpstr>'Lumber assessments-SpecificDate'!LBEE</vt:lpstr>
      <vt:lpstr>'Lumber Assessments-Latest price'!LBEF</vt:lpstr>
      <vt:lpstr>'Lumber assessments-SpecificDate'!LBEF</vt:lpstr>
      <vt:lpstr>'Lumber Assessments-Latest price'!LBEG</vt:lpstr>
      <vt:lpstr>'Lumber assessments-SpecificDate'!LBEG</vt:lpstr>
      <vt:lpstr>'Lumber Assessments-Latest price'!LBEH</vt:lpstr>
      <vt:lpstr>'Lumber assessments-SpecificDate'!LBEH</vt:lpstr>
      <vt:lpstr>'Lumber Assessments-Latest price'!LBEO</vt:lpstr>
      <vt:lpstr>'Lumber assessments-SpecificDate'!LBEO</vt:lpstr>
      <vt:lpstr>'Lumber Assessments-Latest price'!LBEP</vt:lpstr>
      <vt:lpstr>'Lumber assessments-SpecificDate'!LBEP</vt:lpstr>
      <vt:lpstr>'Lumber Assessments-Latest price'!LBER</vt:lpstr>
      <vt:lpstr>'Lumber assessments-SpecificDate'!LBER</vt:lpstr>
      <vt:lpstr>'Lumber Assessments-Latest price'!LBES</vt:lpstr>
      <vt:lpstr>'Lumber assessments-SpecificDate'!LBES</vt:lpstr>
      <vt:lpstr>'Lumber Assessments-Latest price'!LBET</vt:lpstr>
      <vt:lpstr>'Lumber assessments-SpecificDate'!LBET</vt:lpstr>
      <vt:lpstr>'Lumber Assessments-Latest price'!LBEU</vt:lpstr>
      <vt:lpstr>'Lumber assessments-SpecificDate'!LBEU</vt:lpstr>
      <vt:lpstr>'Lumber Assessments-Latest price'!LBEV</vt:lpstr>
      <vt:lpstr>'Lumber assessments-SpecificDate'!LBEV</vt:lpstr>
      <vt:lpstr>'Lumber Assessments-Latest price'!LBEW</vt:lpstr>
      <vt:lpstr>'Lumber assessments-SpecificDate'!LBEW</vt:lpstr>
      <vt:lpstr>'Lumber Assessments-Latest price'!LBEX</vt:lpstr>
      <vt:lpstr>'Lumber assessments-SpecificDate'!LBEX</vt:lpstr>
      <vt:lpstr>'Lumber Assessments-Latest price'!LBEY</vt:lpstr>
      <vt:lpstr>'Lumber assessments-SpecificDate'!LBEY</vt:lpstr>
      <vt:lpstr>'Lumber Assessments-Latest price'!LBEZ</vt:lpstr>
      <vt:lpstr>'Lumber assessments-SpecificDate'!LBEZ</vt:lpstr>
      <vt:lpstr>'Lumber Assessments-Latest price'!LBFA</vt:lpstr>
      <vt:lpstr>'Lumber assessments-SpecificDate'!LBFA</vt:lpstr>
      <vt:lpstr>'Lumber Assessments-Latest price'!LBFB</vt:lpstr>
      <vt:lpstr>'Lumber assessments-SpecificDate'!LBFB</vt:lpstr>
      <vt:lpstr>'Lumber Assessments-Latest price'!LBFC</vt:lpstr>
      <vt:lpstr>'Lumber assessments-SpecificDate'!LBFC</vt:lpstr>
      <vt:lpstr>'Lumber Assessments-Latest price'!LBFD</vt:lpstr>
      <vt:lpstr>'Lumber assessments-SpecificDate'!LBFD</vt:lpstr>
      <vt:lpstr>'Lumber Assessments-Latest price'!LBFE</vt:lpstr>
      <vt:lpstr>'Lumber assessments-SpecificDate'!LBFE</vt:lpstr>
      <vt:lpstr>'Lumber Assessments-Latest price'!LBFF</vt:lpstr>
      <vt:lpstr>'Lumber assessments-SpecificDate'!LBFF</vt:lpstr>
      <vt:lpstr>'Lumber Assessments-Latest price'!LBFG</vt:lpstr>
      <vt:lpstr>'Lumber assessments-SpecificDate'!LBFG</vt:lpstr>
      <vt:lpstr>'Lumber Assessments-Latest price'!LBFH</vt:lpstr>
      <vt:lpstr>'Lumber assessments-SpecificDate'!LBFH</vt:lpstr>
      <vt:lpstr>'Lumber Assessments-Latest price'!LBFJ</vt:lpstr>
      <vt:lpstr>'Lumber assessments-SpecificDate'!LBFJ</vt:lpstr>
      <vt:lpstr>'Lumber Assessments-Latest price'!LBFK</vt:lpstr>
      <vt:lpstr>'Lumber assessments-SpecificDate'!LBFK</vt:lpstr>
      <vt:lpstr>'Lumber Assessments-Latest price'!LBFL</vt:lpstr>
      <vt:lpstr>'Lumber assessments-SpecificDate'!LBFL</vt:lpstr>
      <vt:lpstr>'Lumber Assessments-Latest price'!LBFM</vt:lpstr>
      <vt:lpstr>'Lumber assessments-SpecificDate'!LBFM</vt:lpstr>
      <vt:lpstr>'Lumber Assessments-Latest price'!LBFN</vt:lpstr>
      <vt:lpstr>'Lumber assessments-SpecificDate'!LBFN</vt:lpstr>
      <vt:lpstr>'Lumber Assessments-Latest price'!LBFO</vt:lpstr>
      <vt:lpstr>'Lumber assessments-SpecificDate'!LBFO</vt:lpstr>
      <vt:lpstr>'Lumber Assessments-Latest price'!LBFR</vt:lpstr>
      <vt:lpstr>'Lumber assessments-SpecificDate'!LBFR</vt:lpstr>
      <vt:lpstr>'Lumber Assessments-Latest price'!LBFS</vt:lpstr>
      <vt:lpstr>'Lumber assessments-SpecificDate'!LBFS</vt:lpstr>
      <vt:lpstr>'Lumber Assessments-Latest price'!LBFT</vt:lpstr>
      <vt:lpstr>'Lumber assessments-SpecificDate'!LBFT</vt:lpstr>
      <vt:lpstr>'Lumber Assessments-Latest price'!LBFU</vt:lpstr>
      <vt:lpstr>'Lumber assessments-SpecificDate'!LBFU</vt:lpstr>
      <vt:lpstr>'Lumber Assessments-Latest price'!LBFV</vt:lpstr>
      <vt:lpstr>'Lumber assessments-SpecificDate'!LBFV</vt:lpstr>
      <vt:lpstr>'Lumber Assessments-Latest price'!LBFW</vt:lpstr>
      <vt:lpstr>'Lumber assessments-SpecificDate'!LBFW</vt:lpstr>
      <vt:lpstr>'Lumber Assessments-Latest price'!LBFX</vt:lpstr>
      <vt:lpstr>'Lumber assessments-SpecificDate'!LBFX</vt:lpstr>
      <vt:lpstr>'Lumber Assessments-Latest price'!LBFY</vt:lpstr>
      <vt:lpstr>'Lumber assessments-SpecificDate'!LBFY</vt:lpstr>
      <vt:lpstr>'Lumber Assessments-Latest price'!LBFZ</vt:lpstr>
      <vt:lpstr>'Lumber assessments-SpecificDate'!LBFZ</vt:lpstr>
      <vt:lpstr>'Lumber Assessments-Latest price'!LBGA</vt:lpstr>
      <vt:lpstr>'Lumber assessments-SpecificDate'!LBGA</vt:lpstr>
      <vt:lpstr>'Lumber Assessments-Latest price'!LBGB</vt:lpstr>
      <vt:lpstr>'Lumber assessments-SpecificDate'!LBGB</vt:lpstr>
      <vt:lpstr>'Lumber Assessments-Latest price'!LBGC</vt:lpstr>
      <vt:lpstr>'Lumber assessments-SpecificDate'!LBGC</vt:lpstr>
      <vt:lpstr>'Lumber Assessments-Latest price'!LBGD</vt:lpstr>
      <vt:lpstr>'Lumber assessments-SpecificDate'!LBGD</vt:lpstr>
      <vt:lpstr>'Lumber Assessments-Latest price'!LBGE</vt:lpstr>
      <vt:lpstr>'Lumber assessments-SpecificDate'!LBGE</vt:lpstr>
      <vt:lpstr>'Lumber Assessments-Latest price'!LBGF</vt:lpstr>
      <vt:lpstr>'Lumber assessments-SpecificDate'!LBGF</vt:lpstr>
      <vt:lpstr>'Lumber Assessments-Latest price'!LBGG</vt:lpstr>
      <vt:lpstr>'Lumber assessments-SpecificDate'!LBGG</vt:lpstr>
      <vt:lpstr>'Lumber Assessments-Latest price'!LBGH</vt:lpstr>
      <vt:lpstr>'Lumber assessments-SpecificDate'!LBGH</vt:lpstr>
      <vt:lpstr>'Lumber Assessments-Latest price'!LBGJ</vt:lpstr>
      <vt:lpstr>'Lumber assessments-SpecificDate'!LBGJ</vt:lpstr>
      <vt:lpstr>'Lumber Assessments-Latest price'!LBGK</vt:lpstr>
      <vt:lpstr>'Lumber assessments-SpecificDate'!LBGK</vt:lpstr>
      <vt:lpstr>'Lumber Assessments-Latest price'!LBGL</vt:lpstr>
      <vt:lpstr>'Lumber assessments-SpecificDate'!LBGL</vt:lpstr>
      <vt:lpstr>'Lumber Assessments-Latest price'!LBGM</vt:lpstr>
      <vt:lpstr>'Lumber assessments-SpecificDate'!LBGM</vt:lpstr>
      <vt:lpstr>'Lumber Assessments-Latest price'!LBGN</vt:lpstr>
      <vt:lpstr>'Lumber assessments-SpecificDate'!LBGN</vt:lpstr>
      <vt:lpstr>'Lumber Assessments-Latest price'!LBGO</vt:lpstr>
      <vt:lpstr>'Lumber assessments-SpecificDate'!LBGO</vt:lpstr>
      <vt:lpstr>'Lumber Assessments-Latest price'!LBGP</vt:lpstr>
      <vt:lpstr>'Lumber assessments-SpecificDate'!LBGP</vt:lpstr>
      <vt:lpstr>'Lumber Assessments-Latest price'!LBGQ</vt:lpstr>
      <vt:lpstr>'Lumber assessments-SpecificDate'!LBGQ</vt:lpstr>
      <vt:lpstr>'Lumber Assessments-Latest price'!LBGR</vt:lpstr>
      <vt:lpstr>'Lumber assessments-SpecificDate'!LBGR</vt:lpstr>
      <vt:lpstr>'Lumber Assessments-Latest price'!LBGS</vt:lpstr>
      <vt:lpstr>'Lumber assessments-SpecificDate'!LBGS</vt:lpstr>
      <vt:lpstr>'Lumber Assessments-Latest price'!LBGT</vt:lpstr>
      <vt:lpstr>'Lumber assessments-SpecificDate'!LBGT</vt:lpstr>
      <vt:lpstr>'Lumber Assessments-Latest price'!LBGU</vt:lpstr>
      <vt:lpstr>'Lumber assessments-SpecificDate'!LBGU</vt:lpstr>
      <vt:lpstr>'Lumber Assessments-Latest price'!LBGV</vt:lpstr>
      <vt:lpstr>'Lumber assessments-SpecificDate'!LBGV</vt:lpstr>
      <vt:lpstr>'Lumber Assessments-Latest price'!LBGW</vt:lpstr>
      <vt:lpstr>'Lumber assessments-SpecificDate'!LBGW</vt:lpstr>
      <vt:lpstr>'Lumber Assessments-Latest price'!LBGX</vt:lpstr>
      <vt:lpstr>'Lumber assessments-SpecificDate'!LBGX</vt:lpstr>
      <vt:lpstr>'Lumber Assessments-Latest price'!LBGY</vt:lpstr>
      <vt:lpstr>'Lumber assessments-SpecificDate'!LBGY</vt:lpstr>
      <vt:lpstr>'Lumber Assessments-Latest price'!LBGZ</vt:lpstr>
      <vt:lpstr>'Lumber assessments-SpecificDate'!LBGZ</vt:lpstr>
      <vt:lpstr>'Lumber Assessments-Latest price'!LBHA</vt:lpstr>
      <vt:lpstr>'Lumber assessments-SpecificDate'!LBHA</vt:lpstr>
      <vt:lpstr>'Lumber Assessments-Latest price'!LBHB</vt:lpstr>
      <vt:lpstr>'Lumber assessments-SpecificDate'!LBHB</vt:lpstr>
      <vt:lpstr>'Lumber Assessments-Latest price'!LBHC</vt:lpstr>
      <vt:lpstr>'Lumber assessments-SpecificDate'!LBHC</vt:lpstr>
      <vt:lpstr>'Lumber Assessments-Latest price'!LBHD</vt:lpstr>
      <vt:lpstr>'Lumber assessments-SpecificDate'!LBHD</vt:lpstr>
      <vt:lpstr>'Lumber Assessments-Latest price'!LBHE</vt:lpstr>
      <vt:lpstr>'Lumber assessments-SpecificDate'!LBHE</vt:lpstr>
      <vt:lpstr>'Lumber Assessments-Latest price'!LBHG</vt:lpstr>
      <vt:lpstr>'Lumber assessments-SpecificDate'!LBHG</vt:lpstr>
      <vt:lpstr>'Lumber Assessments-Latest price'!LBHH</vt:lpstr>
      <vt:lpstr>'Lumber assessments-SpecificDate'!LBHH</vt:lpstr>
      <vt:lpstr>'Lumber Assessments-Latest price'!LBHI</vt:lpstr>
      <vt:lpstr>'Lumber assessments-SpecificDate'!LBHI</vt:lpstr>
      <vt:lpstr>'Lumber Assessments-Latest price'!LBHJ</vt:lpstr>
      <vt:lpstr>'Lumber assessments-SpecificDate'!LBHJ</vt:lpstr>
      <vt:lpstr>'Lumber Assessments-Latest price'!LBHK</vt:lpstr>
      <vt:lpstr>'Lumber assessments-SpecificDate'!LBHK</vt:lpstr>
      <vt:lpstr>'Lumber Assessments-Latest price'!LBHL</vt:lpstr>
      <vt:lpstr>'Lumber assessments-SpecificDate'!LBHL</vt:lpstr>
      <vt:lpstr>'Lumber Assessments-Latest price'!LBHO</vt:lpstr>
      <vt:lpstr>'Lumber assessments-SpecificDate'!LBHO</vt:lpstr>
      <vt:lpstr>'Lumber Assessments-Latest price'!LBHP</vt:lpstr>
      <vt:lpstr>'Lumber assessments-SpecificDate'!LBHP</vt:lpstr>
      <vt:lpstr>'Lumber Assessments-Latest price'!LBHQ</vt:lpstr>
      <vt:lpstr>'Lumber assessments-SpecificDate'!LBHQ</vt:lpstr>
      <vt:lpstr>'Lumber Assessments-Latest price'!LBHR</vt:lpstr>
      <vt:lpstr>'Lumber assessments-SpecificDate'!LBHR</vt:lpstr>
      <vt:lpstr>'Lumber Assessments-Latest price'!LBHS</vt:lpstr>
      <vt:lpstr>'Lumber assessments-SpecificDate'!LBHS</vt:lpstr>
      <vt:lpstr>'Lumber Assessments-Latest price'!LBHW</vt:lpstr>
      <vt:lpstr>'Lumber assessments-SpecificDate'!LBHW</vt:lpstr>
      <vt:lpstr>'Lumber Assessments-Latest price'!LBHX</vt:lpstr>
      <vt:lpstr>'Lumber assessments-SpecificDate'!LBHX</vt:lpstr>
      <vt:lpstr>'Lumber Assessments-Latest price'!LBHY</vt:lpstr>
      <vt:lpstr>'Lumber assessments-SpecificDate'!LBHY</vt:lpstr>
      <vt:lpstr>'Lumber Assessments-Latest price'!LBHZ</vt:lpstr>
      <vt:lpstr>'Lumber assessments-SpecificDate'!LBHZ</vt:lpstr>
      <vt:lpstr>'Lumber Assessments-Latest price'!LBIA</vt:lpstr>
      <vt:lpstr>'Lumber assessments-SpecificDate'!LBIA</vt:lpstr>
      <vt:lpstr>'Lumber Assessments-Latest price'!LBIF</vt:lpstr>
      <vt:lpstr>'Lumber assessments-SpecificDate'!LBIF</vt:lpstr>
      <vt:lpstr>'Lumber Assessments-Latest price'!LBIG</vt:lpstr>
      <vt:lpstr>'Lumber assessments-SpecificDate'!LBIG</vt:lpstr>
      <vt:lpstr>'Lumber Assessments-Latest price'!LBIH</vt:lpstr>
      <vt:lpstr>'Lumber assessments-SpecificDate'!LBIH</vt:lpstr>
      <vt:lpstr>'Lumber Assessments-Latest price'!LBII</vt:lpstr>
      <vt:lpstr>'Lumber assessments-SpecificDate'!LBII</vt:lpstr>
      <vt:lpstr>'Lumber Assessments-Latest price'!LBIJ</vt:lpstr>
      <vt:lpstr>'Lumber assessments-SpecificDate'!LBIJ</vt:lpstr>
      <vt:lpstr>'Lumber Assessments-Latest price'!LBIK</vt:lpstr>
      <vt:lpstr>'Lumber assessments-SpecificDate'!LBIK</vt:lpstr>
      <vt:lpstr>'Lumber Assessments-Latest price'!LBIL</vt:lpstr>
      <vt:lpstr>'Lumber assessments-SpecificDate'!LBIL</vt:lpstr>
      <vt:lpstr>'Lumber Assessments-Latest price'!LBIM</vt:lpstr>
      <vt:lpstr>'Lumber assessments-SpecificDate'!LBIM</vt:lpstr>
      <vt:lpstr>'Lumber Assessments-Latest price'!LBIN</vt:lpstr>
      <vt:lpstr>'Lumber assessments-SpecificDate'!LBIN</vt:lpstr>
      <vt:lpstr>'Lumber Assessments-Latest price'!LBIO</vt:lpstr>
      <vt:lpstr>'Lumber assessments-SpecificDate'!LBIO</vt:lpstr>
      <vt:lpstr>'Lumber Assessments-Latest price'!LBIP</vt:lpstr>
      <vt:lpstr>'Lumber assessments-SpecificDate'!LBIP</vt:lpstr>
      <vt:lpstr>'Lumber Assessments-Latest price'!LBIQ</vt:lpstr>
      <vt:lpstr>'Lumber assessments-SpecificDate'!LBIQ</vt:lpstr>
      <vt:lpstr>'Lumber Assessments-Latest price'!LBIR</vt:lpstr>
      <vt:lpstr>'Lumber assessments-SpecificDate'!LBIR</vt:lpstr>
      <vt:lpstr>'Lumber Assessments-Latest price'!LBIS</vt:lpstr>
      <vt:lpstr>'Lumber assessments-SpecificDate'!LBIS</vt:lpstr>
      <vt:lpstr>'Lumber Assessments-Latest price'!LBIT</vt:lpstr>
      <vt:lpstr>'Lumber assessments-SpecificDate'!LBIT</vt:lpstr>
      <vt:lpstr>'Lumber Assessments-Latest price'!LBJE</vt:lpstr>
      <vt:lpstr>'Lumber assessments-SpecificDate'!LBJE</vt:lpstr>
      <vt:lpstr>'Lumber Assessments-Latest price'!LBJF</vt:lpstr>
      <vt:lpstr>'Lumber assessments-SpecificDate'!LBJF</vt:lpstr>
      <vt:lpstr>'Lumber Assessments-Latest price'!LBJG</vt:lpstr>
      <vt:lpstr>'Lumber assessments-SpecificDate'!LBJG</vt:lpstr>
      <vt:lpstr>'Lumber Assessments-Latest price'!LBJH</vt:lpstr>
      <vt:lpstr>'Lumber assessments-SpecificDate'!LBJH</vt:lpstr>
      <vt:lpstr>'Lumber Assessments-Latest price'!LBJI</vt:lpstr>
      <vt:lpstr>'Lumber assessments-SpecificDate'!LBJI</vt:lpstr>
      <vt:lpstr>'Lumber Assessments-Latest price'!LBJL</vt:lpstr>
      <vt:lpstr>'Lumber assessments-SpecificDate'!LBJL</vt:lpstr>
      <vt:lpstr>'Lumber Assessments-Latest price'!LBJM</vt:lpstr>
      <vt:lpstr>'Lumber assessments-SpecificDate'!LBJM</vt:lpstr>
      <vt:lpstr>'Lumber Assessments-Latest price'!LBJN</vt:lpstr>
      <vt:lpstr>'Lumber assessments-SpecificDate'!LBJN</vt:lpstr>
      <vt:lpstr>'Lumber Assessments-Latest price'!LBJO</vt:lpstr>
      <vt:lpstr>'Lumber assessments-SpecificDate'!LBJO</vt:lpstr>
      <vt:lpstr>'Lumber Assessments-Latest price'!LBJP</vt:lpstr>
      <vt:lpstr>'Lumber assessments-SpecificDate'!LBJP</vt:lpstr>
      <vt:lpstr>'Lumber Assessments-Latest price'!LBJQ</vt:lpstr>
      <vt:lpstr>'Lumber assessments-SpecificDate'!LBJQ</vt:lpstr>
      <vt:lpstr>'Lumber Assessments-Latest price'!LBJR</vt:lpstr>
      <vt:lpstr>'Lumber assessments-SpecificDate'!LBJR</vt:lpstr>
      <vt:lpstr>'Lumber Assessments-Latest price'!LBJS</vt:lpstr>
      <vt:lpstr>'Lumber assessments-SpecificDate'!LBJS</vt:lpstr>
      <vt:lpstr>'Lumber Assessments-Latest price'!LBJT</vt:lpstr>
      <vt:lpstr>'Lumber assessments-SpecificDate'!LBJT</vt:lpstr>
      <vt:lpstr>'Lumber Assessments-Latest price'!LBJU</vt:lpstr>
      <vt:lpstr>'Lumber assessments-SpecificDate'!LBJU</vt:lpstr>
      <vt:lpstr>'Lumber Assessments-Latest price'!LBKE</vt:lpstr>
      <vt:lpstr>'Lumber assessments-SpecificDate'!LBKE</vt:lpstr>
      <vt:lpstr>'Lumber Assessments-Latest price'!LBKF</vt:lpstr>
      <vt:lpstr>'Lumber assessments-SpecificDate'!LBKF</vt:lpstr>
      <vt:lpstr>'Lumber Assessments-Latest price'!LBKG</vt:lpstr>
      <vt:lpstr>'Lumber assessments-SpecificDate'!LBKG</vt:lpstr>
      <vt:lpstr>'Lumber Assessments-Latest price'!LBKH</vt:lpstr>
      <vt:lpstr>'Lumber assessments-SpecificDate'!LBKH</vt:lpstr>
      <vt:lpstr>'Lumber Assessments-Latest price'!LBKI</vt:lpstr>
      <vt:lpstr>'Lumber assessments-SpecificDate'!LBKI</vt:lpstr>
      <vt:lpstr>'Lumber Assessments-Latest price'!LBKJ</vt:lpstr>
      <vt:lpstr>'Lumber assessments-SpecificDate'!LBKJ</vt:lpstr>
      <vt:lpstr>'Lumber Assessments-Latest price'!LBKK</vt:lpstr>
      <vt:lpstr>'Lumber assessments-SpecificDate'!LBKK</vt:lpstr>
      <vt:lpstr>'Lumber Assessments-Latest price'!LBKL</vt:lpstr>
      <vt:lpstr>'Lumber assessments-SpecificDate'!LBKL</vt:lpstr>
      <vt:lpstr>'Lumber Assessments-Latest price'!LBKM</vt:lpstr>
      <vt:lpstr>'Lumber assessments-SpecificDate'!LBKM</vt:lpstr>
      <vt:lpstr>'Lumber Assessments-Latest price'!LBKN</vt:lpstr>
      <vt:lpstr>'Lumber assessments-SpecificDate'!LBKN</vt:lpstr>
      <vt:lpstr>'Lumber Assessments-Latest price'!LBKS</vt:lpstr>
      <vt:lpstr>'Lumber assessments-SpecificDate'!LBKS</vt:lpstr>
      <vt:lpstr>'Lumber Assessments-Latest price'!LBKT</vt:lpstr>
      <vt:lpstr>'Lumber assessments-SpecificDate'!LBKT</vt:lpstr>
      <vt:lpstr>'Lumber Assessments-Latest price'!LBKU</vt:lpstr>
      <vt:lpstr>'Lumber assessments-SpecificDate'!LBKU</vt:lpstr>
      <vt:lpstr>'Lumber Assessments-Latest price'!LBKV</vt:lpstr>
      <vt:lpstr>'Lumber assessments-SpecificDate'!LBKV</vt:lpstr>
      <vt:lpstr>'Lumber Assessments-Latest price'!LBKW</vt:lpstr>
      <vt:lpstr>'Lumber assessments-SpecificDate'!LBKW</vt:lpstr>
      <vt:lpstr>'Lumber Assessments-Latest price'!LBKX</vt:lpstr>
      <vt:lpstr>'Lumber assessments-SpecificDate'!LBKX</vt:lpstr>
      <vt:lpstr>'Lumber Assessments-Latest price'!LBKY</vt:lpstr>
      <vt:lpstr>'Lumber assessments-SpecificDate'!LBKY</vt:lpstr>
      <vt:lpstr>'Lumber Assessments-Latest price'!LBKZ</vt:lpstr>
      <vt:lpstr>'Lumber assessments-SpecificDate'!LBKZ</vt:lpstr>
      <vt:lpstr>'Lumber Assessments-Latest price'!LBLA</vt:lpstr>
      <vt:lpstr>'Lumber assessments-SpecificDate'!LBLA</vt:lpstr>
      <vt:lpstr>'Lumber Assessments-Latest price'!LBLB</vt:lpstr>
      <vt:lpstr>'Lumber assessments-SpecificDate'!LBLB</vt:lpstr>
      <vt:lpstr>'Lumber Assessments-Latest price'!LBLU</vt:lpstr>
      <vt:lpstr>'Lumber assessments-SpecificDate'!LBLU</vt:lpstr>
      <vt:lpstr>'Lumber Assessments-Latest price'!LBLV</vt:lpstr>
      <vt:lpstr>'Lumber assessments-SpecificDate'!LBLV</vt:lpstr>
      <vt:lpstr>'Lumber Assessments-Latest price'!LBME</vt:lpstr>
      <vt:lpstr>'Lumber assessments-SpecificDate'!LBME</vt:lpstr>
      <vt:lpstr>'Lumber Assessments-Latest price'!LBMF</vt:lpstr>
      <vt:lpstr>'Lumber assessments-SpecificDate'!LBMF</vt:lpstr>
      <vt:lpstr>'Lumber Assessments-Latest price'!LBMG</vt:lpstr>
      <vt:lpstr>'Lumber assessments-SpecificDate'!LBMG</vt:lpstr>
      <vt:lpstr>'Lumber Assessments-Latest price'!LBMH</vt:lpstr>
      <vt:lpstr>'Lumber assessments-SpecificDate'!LBMH</vt:lpstr>
      <vt:lpstr>'Lumber Assessments-Latest price'!LBMI</vt:lpstr>
      <vt:lpstr>'Lumber assessments-SpecificDate'!LBMI</vt:lpstr>
      <vt:lpstr>'Lumber Assessments-Latest price'!LBMR</vt:lpstr>
      <vt:lpstr>'Lumber assessments-SpecificDate'!LBMR</vt:lpstr>
      <vt:lpstr>'Lumber Assessments-Latest price'!LBMS</vt:lpstr>
      <vt:lpstr>'Lumber assessments-SpecificDate'!LBMS</vt:lpstr>
      <vt:lpstr>'Lumber Assessments-Latest price'!LBMT</vt:lpstr>
      <vt:lpstr>'Lumber assessments-SpecificDate'!LBMT</vt:lpstr>
      <vt:lpstr>'Lumber Assessments-Latest price'!LBMU</vt:lpstr>
      <vt:lpstr>'Lumber assessments-SpecificDate'!LBMU</vt:lpstr>
      <vt:lpstr>'Lumber Assessments-Latest price'!LBMZ</vt:lpstr>
      <vt:lpstr>'Lumber assessments-SpecificDate'!LBMZ</vt:lpstr>
      <vt:lpstr>'Lumber Assessments-Latest price'!LBNA</vt:lpstr>
      <vt:lpstr>'Lumber assessments-SpecificDate'!LBNA</vt:lpstr>
      <vt:lpstr>'Lumber Assessments-Latest price'!LBNB</vt:lpstr>
      <vt:lpstr>'Lumber assessments-SpecificDate'!LBNB</vt:lpstr>
      <vt:lpstr>'Lumber Assessments-Latest price'!LBND</vt:lpstr>
      <vt:lpstr>'Lumber assessments-SpecificDate'!LBND</vt:lpstr>
      <vt:lpstr>'Lumber Assessments-Latest price'!LBNG</vt:lpstr>
      <vt:lpstr>'Lumber assessments-SpecificDate'!LBNG</vt:lpstr>
      <vt:lpstr>'Lumber Assessments-Latest price'!LBNH</vt:lpstr>
      <vt:lpstr>'Lumber assessments-SpecificDate'!LBNH</vt:lpstr>
      <vt:lpstr>'Lumber Assessments-Latest price'!LBNI</vt:lpstr>
      <vt:lpstr>'Lumber assessments-SpecificDate'!LBNI</vt:lpstr>
      <vt:lpstr>'Lumber Assessments-Latest price'!LBNR</vt:lpstr>
      <vt:lpstr>'Lumber assessments-SpecificDate'!LBNR</vt:lpstr>
      <vt:lpstr>'Lumber Assessments-Latest price'!LBNS</vt:lpstr>
      <vt:lpstr>'Lumber assessments-SpecificDate'!LBNS</vt:lpstr>
      <vt:lpstr>'Lumber Assessments-Latest price'!LBNT</vt:lpstr>
      <vt:lpstr>'Lumber assessments-SpecificDate'!LBNT</vt:lpstr>
      <vt:lpstr>'Lumber Assessments-Latest price'!LBNU</vt:lpstr>
      <vt:lpstr>'Lumber assessments-SpecificDate'!LBNU</vt:lpstr>
      <vt:lpstr>'Lumber Assessments-Latest price'!LBNY</vt:lpstr>
      <vt:lpstr>'Lumber assessments-SpecificDate'!LBNY</vt:lpstr>
      <vt:lpstr>'Lumber Assessments-Latest price'!LBNZ</vt:lpstr>
      <vt:lpstr>'Lumber assessments-SpecificDate'!LBNZ</vt:lpstr>
      <vt:lpstr>'Lumber Assessments-Latest price'!LBOA</vt:lpstr>
      <vt:lpstr>'Lumber assessments-SpecificDate'!LBOA</vt:lpstr>
      <vt:lpstr>'Lumber Assessments-Latest price'!LBOC</vt:lpstr>
      <vt:lpstr>'Lumber assessments-SpecificDate'!LBOC</vt:lpstr>
      <vt:lpstr>'Lumber Assessments-Latest price'!LBOF</vt:lpstr>
      <vt:lpstr>'Lumber assessments-SpecificDate'!LBOF</vt:lpstr>
      <vt:lpstr>'Lumber Assessments-Latest price'!LBOG</vt:lpstr>
      <vt:lpstr>'Lumber assessments-SpecificDate'!LBOG</vt:lpstr>
      <vt:lpstr>'Lumber Assessments-Latest price'!LBOH</vt:lpstr>
      <vt:lpstr>'Lumber assessments-SpecificDate'!LBOH</vt:lpstr>
      <vt:lpstr>'Lumber Assessments-Latest price'!LBOI</vt:lpstr>
      <vt:lpstr>'Lumber assessments-SpecificDate'!LBOI</vt:lpstr>
      <vt:lpstr>'Lumber Assessments-Latest price'!LBOJ</vt:lpstr>
      <vt:lpstr>'Lumber assessments-SpecificDate'!LBOJ</vt:lpstr>
      <vt:lpstr>'Lumber Assessments-Latest price'!LBOS</vt:lpstr>
      <vt:lpstr>'Lumber assessments-SpecificDate'!LBOS</vt:lpstr>
      <vt:lpstr>'Lumber Assessments-Latest price'!LBOT</vt:lpstr>
      <vt:lpstr>'Lumber assessments-SpecificDate'!LBOT</vt:lpstr>
      <vt:lpstr>'Lumber Assessments-Latest price'!LBOU</vt:lpstr>
      <vt:lpstr>'Lumber assessments-SpecificDate'!LBOU</vt:lpstr>
      <vt:lpstr>'Lumber Assessments-Latest price'!LBOW</vt:lpstr>
      <vt:lpstr>'Lumber assessments-SpecificDate'!LBOW</vt:lpstr>
      <vt:lpstr>'Lumber Assessments-Latest price'!LBOX</vt:lpstr>
      <vt:lpstr>'Lumber assessments-SpecificDate'!LBOX</vt:lpstr>
      <vt:lpstr>'Lumber Assessments-Latest price'!LBOY</vt:lpstr>
      <vt:lpstr>'Lumber assessments-SpecificDate'!LBOY</vt:lpstr>
      <vt:lpstr>'Lumber Assessments-Latest price'!LBOZ</vt:lpstr>
      <vt:lpstr>'Lumber assessments-SpecificDate'!LBOZ</vt:lpstr>
      <vt:lpstr>'Lumber Assessments-Latest price'!LBPA</vt:lpstr>
      <vt:lpstr>'Lumber assessments-SpecificDate'!LBPA</vt:lpstr>
      <vt:lpstr>'Lumber Assessments-Latest price'!LBPB</vt:lpstr>
      <vt:lpstr>'Lumber assessments-SpecificDate'!LBPB</vt:lpstr>
      <vt:lpstr>'Lumber Assessments-Latest price'!LBPK</vt:lpstr>
      <vt:lpstr>'Lumber assessments-SpecificDate'!LBPK</vt:lpstr>
      <vt:lpstr>'Lumber Assessments-Latest price'!LBPL</vt:lpstr>
      <vt:lpstr>'Lumber assessments-SpecificDate'!LBPL</vt:lpstr>
      <vt:lpstr>'Lumber Assessments-Latest price'!LBPN</vt:lpstr>
      <vt:lpstr>'Lumber assessments-SpecificDate'!LBPN</vt:lpstr>
      <vt:lpstr>'Lumber Assessments-Latest price'!LBPO</vt:lpstr>
      <vt:lpstr>'Lumber assessments-SpecificDate'!LBPO</vt:lpstr>
      <vt:lpstr>'Lumber Assessments-Latest price'!LBPP</vt:lpstr>
      <vt:lpstr>'Lumber assessments-SpecificDate'!LBPP</vt:lpstr>
      <vt:lpstr>'Lumber Assessments-Latest price'!LBPQ</vt:lpstr>
      <vt:lpstr>'Lumber assessments-SpecificDate'!LBPQ</vt:lpstr>
      <vt:lpstr>'Lumber Assessments-Latest price'!LBPR</vt:lpstr>
      <vt:lpstr>'Lumber assessments-SpecificDate'!LBPR</vt:lpstr>
      <vt:lpstr>'Lumber Assessments-Latest price'!LBPS</vt:lpstr>
      <vt:lpstr>'Lumber assessments-SpecificDate'!LBPS</vt:lpstr>
      <vt:lpstr>'Lumber Assessments-Latest price'!LBPT</vt:lpstr>
      <vt:lpstr>'Lumber assessments-SpecificDate'!LBPT</vt:lpstr>
      <vt:lpstr>'Lumber Assessments-Latest price'!LBPU</vt:lpstr>
      <vt:lpstr>'Lumber assessments-SpecificDate'!LBPU</vt:lpstr>
      <vt:lpstr>'Lumber Assessments-Latest price'!LBQA</vt:lpstr>
      <vt:lpstr>'Lumber assessments-SpecificDate'!LBQA</vt:lpstr>
      <vt:lpstr>'Lumber Assessments-Latest price'!LBQB</vt:lpstr>
      <vt:lpstr>'Lumber assessments-SpecificDate'!LBQB</vt:lpstr>
      <vt:lpstr>'Lumber Assessments-Latest price'!LBQC</vt:lpstr>
      <vt:lpstr>'Lumber assessments-SpecificDate'!LBQC</vt:lpstr>
      <vt:lpstr>'Lumber Assessments-Latest price'!LBQE</vt:lpstr>
      <vt:lpstr>'Lumber assessments-SpecificDate'!LBQE</vt:lpstr>
      <vt:lpstr>'Lumber Assessments-Latest price'!LBQF</vt:lpstr>
      <vt:lpstr>'Lumber assessments-SpecificDate'!LBQF</vt:lpstr>
      <vt:lpstr>'Lumber Assessments-Latest price'!LBQG</vt:lpstr>
      <vt:lpstr>'Lumber assessments-SpecificDate'!LBQG</vt:lpstr>
      <vt:lpstr>'Lumber Assessments-Latest price'!LBQH</vt:lpstr>
      <vt:lpstr>'Lumber assessments-SpecificDate'!LBQH</vt:lpstr>
      <vt:lpstr>'Lumber Assessments-Latest price'!LBQI</vt:lpstr>
      <vt:lpstr>'Lumber assessments-SpecificDate'!LBQI</vt:lpstr>
      <vt:lpstr>'Lumber Assessments-Latest price'!LBQJ</vt:lpstr>
      <vt:lpstr>'Lumber assessments-SpecificDate'!LBQJ</vt:lpstr>
      <vt:lpstr>'Lumber Assessments-Latest price'!LBQK</vt:lpstr>
      <vt:lpstr>'Lumber assessments-SpecificDate'!LBQK</vt:lpstr>
      <vt:lpstr>'Lumber Assessments-Latest price'!LBQV</vt:lpstr>
      <vt:lpstr>'Lumber assessments-SpecificDate'!LBQV</vt:lpstr>
      <vt:lpstr>'Lumber Assessments-Latest price'!LBQW</vt:lpstr>
      <vt:lpstr>'Lumber assessments-SpecificDate'!LBQW</vt:lpstr>
      <vt:lpstr>'Lumber Assessments-Latest price'!LBQX</vt:lpstr>
      <vt:lpstr>'Lumber assessments-SpecificDate'!LBQX</vt:lpstr>
      <vt:lpstr>'Lumber Assessments-Latest price'!LBQY</vt:lpstr>
      <vt:lpstr>'Lumber assessments-SpecificDate'!LBQY</vt:lpstr>
      <vt:lpstr>'Lumber Assessments-Latest price'!LBQZ</vt:lpstr>
      <vt:lpstr>'Lumber assessments-SpecificDate'!LBQZ</vt:lpstr>
      <vt:lpstr>'Lumber Assessments-Latest price'!LBRA</vt:lpstr>
      <vt:lpstr>'Lumber assessments-SpecificDate'!LBRA</vt:lpstr>
      <vt:lpstr>'Lumber Assessments-Latest price'!LBRB</vt:lpstr>
      <vt:lpstr>'Lumber assessments-SpecificDate'!LBRB</vt:lpstr>
      <vt:lpstr>'Lumber Assessments-Latest price'!LBRC</vt:lpstr>
      <vt:lpstr>'Lumber assessments-SpecificDate'!LBRC</vt:lpstr>
      <vt:lpstr>'Lumber Assessments-Latest price'!LBRD</vt:lpstr>
      <vt:lpstr>'Lumber assessments-SpecificDate'!LBRD</vt:lpstr>
      <vt:lpstr>'Lumber Assessments-Latest price'!LBRE</vt:lpstr>
      <vt:lpstr>'Lumber assessments-SpecificDate'!LBRE</vt:lpstr>
      <vt:lpstr>'Lumber Assessments-Latest price'!LBRF</vt:lpstr>
      <vt:lpstr>'Lumber assessments-SpecificDate'!LBRF</vt:lpstr>
      <vt:lpstr>'Lumber Assessments-Latest price'!LBRG</vt:lpstr>
      <vt:lpstr>'Lumber assessments-SpecificDate'!LBRG</vt:lpstr>
      <vt:lpstr>'Lumber Assessments-Latest price'!LBRH</vt:lpstr>
      <vt:lpstr>'Lumber assessments-SpecificDate'!LBRH</vt:lpstr>
      <vt:lpstr>'Lumber Assessments-Latest price'!LBRR</vt:lpstr>
      <vt:lpstr>'Lumber assessments-SpecificDate'!LBRR</vt:lpstr>
      <vt:lpstr>'Lumber Assessments-Latest price'!LBRS</vt:lpstr>
      <vt:lpstr>'Lumber assessments-SpecificDate'!LBRS</vt:lpstr>
      <vt:lpstr>'Lumber Assessments-Latest price'!LBRT</vt:lpstr>
      <vt:lpstr>'Lumber assessments-SpecificDate'!LBRT</vt:lpstr>
      <vt:lpstr>'Lumber Assessments-Latest price'!LBRU</vt:lpstr>
      <vt:lpstr>'Lumber assessments-SpecificDate'!LBRU</vt:lpstr>
      <vt:lpstr>'Lumber Assessments-Latest price'!LBRV</vt:lpstr>
      <vt:lpstr>'Lumber assessments-SpecificDate'!LBRV</vt:lpstr>
      <vt:lpstr>'Lumber Assessments-Latest price'!LBRW</vt:lpstr>
      <vt:lpstr>'Lumber assessments-SpecificDate'!LBRW</vt:lpstr>
      <vt:lpstr>'Lumber Assessments-Latest price'!LBRX</vt:lpstr>
      <vt:lpstr>'Lumber assessments-SpecificDate'!LBRX</vt:lpstr>
      <vt:lpstr>'Lumber Assessments-Latest price'!LBRY</vt:lpstr>
      <vt:lpstr>'Lumber assessments-SpecificDate'!LBRY</vt:lpstr>
      <vt:lpstr>'Lumber Assessments-Latest price'!LBRZ</vt:lpstr>
      <vt:lpstr>'Lumber assessments-SpecificDate'!LBRZ</vt:lpstr>
      <vt:lpstr>'Lumber Assessments-Latest price'!LBSA</vt:lpstr>
      <vt:lpstr>'Lumber assessments-SpecificDate'!LBSA</vt:lpstr>
      <vt:lpstr>'Lumber Assessments-Latest price'!LBSB</vt:lpstr>
      <vt:lpstr>'Lumber assessments-SpecificDate'!LBSB</vt:lpstr>
      <vt:lpstr>'Lumber Assessments-Latest price'!LBSC</vt:lpstr>
      <vt:lpstr>'Lumber assessments-SpecificDate'!LBSC</vt:lpstr>
      <vt:lpstr>'Lumber Assessments-Latest price'!LBSD</vt:lpstr>
      <vt:lpstr>'Lumber assessments-SpecificDate'!LBSD</vt:lpstr>
      <vt:lpstr>'Lumber Assessments-Latest price'!LBSE</vt:lpstr>
      <vt:lpstr>'Lumber assessments-SpecificDate'!LBSE</vt:lpstr>
      <vt:lpstr>'Lumber Assessments-Latest price'!LBSF</vt:lpstr>
      <vt:lpstr>'Lumber assessments-SpecificDate'!LBSF</vt:lpstr>
      <vt:lpstr>'Lumber Assessments-Latest price'!LBSP</vt:lpstr>
      <vt:lpstr>'Lumber assessments-SpecificDate'!LBSP</vt:lpstr>
      <vt:lpstr>'Lumber Assessments-Latest price'!LBSQ</vt:lpstr>
      <vt:lpstr>'Lumber assessments-SpecificDate'!LBSQ</vt:lpstr>
      <vt:lpstr>'Lumber Assessments-Latest price'!LBSS</vt:lpstr>
      <vt:lpstr>'Lumber assessments-SpecificDate'!LBSS</vt:lpstr>
      <vt:lpstr>'Lumber Assessments-Latest price'!LBSU</vt:lpstr>
      <vt:lpstr>'Lumber assessments-SpecificDate'!LBSU</vt:lpstr>
      <vt:lpstr>'Lumber Assessments-Latest price'!LBSV</vt:lpstr>
      <vt:lpstr>'Lumber assessments-SpecificDate'!LBSV</vt:lpstr>
      <vt:lpstr>'Lumber Assessments-Latest price'!LBTF</vt:lpstr>
      <vt:lpstr>'Lumber assessments-SpecificDate'!LBTF</vt:lpstr>
      <vt:lpstr>'Lumber Assessments-Latest price'!LBTG</vt:lpstr>
      <vt:lpstr>'Lumber assessments-SpecificDate'!LBTG</vt:lpstr>
      <vt:lpstr>'Lumber Assessments-Latest price'!LBTH</vt:lpstr>
      <vt:lpstr>'Lumber assessments-SpecificDate'!LBTH</vt:lpstr>
      <vt:lpstr>'Lumber Assessments-Latest price'!LBTI</vt:lpstr>
      <vt:lpstr>'Lumber assessments-SpecificDate'!LBTI</vt:lpstr>
      <vt:lpstr>'Lumber Assessments-Latest price'!LBTQ</vt:lpstr>
      <vt:lpstr>'Lumber assessments-SpecificDate'!LBTQ</vt:lpstr>
      <vt:lpstr>'Lumber Assessments-Latest price'!LBTR</vt:lpstr>
      <vt:lpstr>'Lumber assessments-SpecificDate'!LBTR</vt:lpstr>
      <vt:lpstr>'Lumber Assessments-Latest price'!LBTS</vt:lpstr>
      <vt:lpstr>'Lumber assessments-SpecificDate'!LBTS</vt:lpstr>
      <vt:lpstr>'Lumber Assessments-Latest price'!LBTT</vt:lpstr>
      <vt:lpstr>'Lumber assessments-SpecificDate'!LBTT</vt:lpstr>
      <vt:lpstr>'Lumber Assessments-Latest price'!LBTU</vt:lpstr>
      <vt:lpstr>'Lumber assessments-SpecificDate'!LBTU</vt:lpstr>
      <vt:lpstr>'Lumber Assessments-Latest price'!LBTV</vt:lpstr>
      <vt:lpstr>'Lumber assessments-SpecificDate'!LBTV</vt:lpstr>
      <vt:lpstr>'Lumber Assessments-Latest price'!LBTW</vt:lpstr>
      <vt:lpstr>'Lumber assessments-SpecificDate'!LBTW</vt:lpstr>
      <vt:lpstr>'Lumber Assessments-Latest price'!LBTY</vt:lpstr>
      <vt:lpstr>'Lumber assessments-SpecificDate'!LBTY</vt:lpstr>
      <vt:lpstr>'Lumber Assessments-Latest price'!LBUA</vt:lpstr>
      <vt:lpstr>'Lumber assessments-SpecificDate'!LBUA</vt:lpstr>
      <vt:lpstr>'Lumber Assessments-Latest price'!LBUE</vt:lpstr>
      <vt:lpstr>'Lumber assessments-SpecificDate'!LBUE</vt:lpstr>
      <vt:lpstr>'Lumber Assessments-Latest price'!LBUF</vt:lpstr>
      <vt:lpstr>'Lumber assessments-SpecificDate'!LBUF</vt:lpstr>
      <vt:lpstr>'Lumber Assessments-Latest price'!LBUG</vt:lpstr>
      <vt:lpstr>'Lumber assessments-SpecificDate'!LBUG</vt:lpstr>
      <vt:lpstr>'Lumber Assessments-Latest price'!LBUH</vt:lpstr>
      <vt:lpstr>'Lumber assessments-SpecificDate'!LBUH</vt:lpstr>
      <vt:lpstr>'Lumber Assessments-Latest price'!LBUJ</vt:lpstr>
      <vt:lpstr>'Lumber assessments-SpecificDate'!LBUJ</vt:lpstr>
      <vt:lpstr>'Lumber Assessments-Latest price'!LBUK</vt:lpstr>
      <vt:lpstr>'Lumber assessments-SpecificDate'!LBUK</vt:lpstr>
      <vt:lpstr>'Lumber Assessments-Latest price'!LBUL</vt:lpstr>
      <vt:lpstr>'Lumber assessments-SpecificDate'!LBUL</vt:lpstr>
      <vt:lpstr>'Lumber Assessments-Latest price'!LBUM</vt:lpstr>
      <vt:lpstr>'Lumber assessments-SpecificDate'!LBUM</vt:lpstr>
      <vt:lpstr>'Lumber Assessments-Latest price'!LBUN</vt:lpstr>
      <vt:lpstr>'Lumber assessments-SpecificDate'!LBUN</vt:lpstr>
      <vt:lpstr>'Lumber Assessments-Latest price'!LBUO</vt:lpstr>
      <vt:lpstr>'Lumber assessments-SpecificDate'!LBUO</vt:lpstr>
      <vt:lpstr>'Lumber Assessments-Latest price'!LBUP</vt:lpstr>
      <vt:lpstr>'Lumber assessments-SpecificDate'!LBUP</vt:lpstr>
      <vt:lpstr>'Lumber Assessments-Latest price'!LBUQ</vt:lpstr>
      <vt:lpstr>'Lumber assessments-SpecificDate'!LBUQ</vt:lpstr>
      <vt:lpstr>'Lumber Assessments-Latest price'!LBUR</vt:lpstr>
      <vt:lpstr>'Lumber assessments-SpecificDate'!LBUR</vt:lpstr>
      <vt:lpstr>'Lumber Assessments-Latest price'!LBUS</vt:lpstr>
      <vt:lpstr>'Lumber assessments-SpecificDate'!LBUS</vt:lpstr>
      <vt:lpstr>'Lumber Assessments-Latest price'!LBUT</vt:lpstr>
      <vt:lpstr>'Lumber assessments-SpecificDate'!LBUT</vt:lpstr>
      <vt:lpstr>'Lumber Assessments-Latest price'!LBUU</vt:lpstr>
      <vt:lpstr>'Lumber assessments-SpecificDate'!LBUU</vt:lpstr>
      <vt:lpstr>'Lumber Assessments-Latest price'!LBUV</vt:lpstr>
      <vt:lpstr>'Lumber assessments-SpecificDate'!LBUV</vt:lpstr>
      <vt:lpstr>'Lumber Assessments-Latest price'!LBUW</vt:lpstr>
      <vt:lpstr>'Lumber assessments-SpecificDate'!LBUW</vt:lpstr>
      <vt:lpstr>'Lumber Assessments-Latest price'!LBUX</vt:lpstr>
      <vt:lpstr>'Lumber assessments-SpecificDate'!LBUX</vt:lpstr>
      <vt:lpstr>'Lumber Assessments-Latest price'!LBUY</vt:lpstr>
      <vt:lpstr>'Lumber assessments-SpecificDate'!LBUY</vt:lpstr>
      <vt:lpstr>'Lumber Assessments-Latest price'!LBUZ</vt:lpstr>
      <vt:lpstr>'Lumber assessments-SpecificDate'!LBUZ</vt:lpstr>
      <vt:lpstr>'Lumber Assessments-Latest price'!LBVA</vt:lpstr>
      <vt:lpstr>'Lumber assessments-SpecificDate'!LBVA</vt:lpstr>
      <vt:lpstr>'Lumber Assessments-Latest price'!LBVB</vt:lpstr>
      <vt:lpstr>'Lumber assessments-SpecificDate'!LBVB</vt:lpstr>
      <vt:lpstr>'Lumber Assessments-Latest price'!LBVC</vt:lpstr>
      <vt:lpstr>'Lumber assessments-SpecificDate'!LBVC</vt:lpstr>
      <vt:lpstr>'Lumber Assessments-Latest price'!LBVD</vt:lpstr>
      <vt:lpstr>'Lumber assessments-SpecificDate'!LBVD</vt:lpstr>
      <vt:lpstr>'Lumber Assessments-Latest price'!LBVE</vt:lpstr>
      <vt:lpstr>'Lumber assessments-SpecificDate'!LBVE</vt:lpstr>
      <vt:lpstr>'Lumber Assessments-Latest price'!LBVF</vt:lpstr>
      <vt:lpstr>'Lumber assessments-SpecificDate'!LBVF</vt:lpstr>
      <vt:lpstr>'Lumber Assessments-Latest price'!LBVG</vt:lpstr>
      <vt:lpstr>'Lumber assessments-SpecificDate'!LBVG</vt:lpstr>
      <vt:lpstr>'Lumber Assessments-Latest price'!LBVI</vt:lpstr>
      <vt:lpstr>'Lumber assessments-SpecificDate'!LBVI</vt:lpstr>
      <vt:lpstr>'Lumber Assessments-Latest price'!LBVJ</vt:lpstr>
      <vt:lpstr>'Lumber assessments-SpecificDate'!LBVJ</vt:lpstr>
      <vt:lpstr>'Lumber Assessments-Latest price'!LBVK</vt:lpstr>
      <vt:lpstr>'Lumber assessments-SpecificDate'!LBVK</vt:lpstr>
      <vt:lpstr>'Lumber Assessments-Latest price'!LBVL</vt:lpstr>
      <vt:lpstr>'Lumber assessments-SpecificDate'!LBVL</vt:lpstr>
      <vt:lpstr>'Lumber Assessments-Latest price'!LBVM</vt:lpstr>
      <vt:lpstr>'Lumber assessments-SpecificDate'!LBVM</vt:lpstr>
      <vt:lpstr>'Lumber Assessments-Latest price'!LBVN</vt:lpstr>
      <vt:lpstr>'Lumber assessments-SpecificDate'!LBVN</vt:lpstr>
      <vt:lpstr>'Lumber Assessments-Latest price'!LBVO</vt:lpstr>
      <vt:lpstr>'Lumber assessments-SpecificDate'!LBVO</vt:lpstr>
      <vt:lpstr>'Lumber Assessments-Latest price'!LBVQ</vt:lpstr>
      <vt:lpstr>'Lumber assessments-SpecificDate'!LBVQ</vt:lpstr>
      <vt:lpstr>'Lumber Assessments-Latest price'!LBVR</vt:lpstr>
      <vt:lpstr>'Lumber assessments-SpecificDate'!LBVR</vt:lpstr>
      <vt:lpstr>'Lumber Assessments-Latest price'!LBVS</vt:lpstr>
      <vt:lpstr>'Lumber assessments-SpecificDate'!LBVS</vt:lpstr>
      <vt:lpstr>'Lumber Assessments-Latest price'!LBVV</vt:lpstr>
      <vt:lpstr>'Lumber assessments-SpecificDate'!LBVV</vt:lpstr>
      <vt:lpstr>'Lumber Assessments-Latest price'!LBWC</vt:lpstr>
      <vt:lpstr>'Lumber assessments-SpecificDate'!LBWC</vt:lpstr>
      <vt:lpstr>'Lumber Assessments-Latest price'!LBWD</vt:lpstr>
      <vt:lpstr>'Lumber assessments-SpecificDate'!LBWD</vt:lpstr>
      <vt:lpstr>'Lumber Assessments-Latest price'!LBWE</vt:lpstr>
      <vt:lpstr>'Lumber assessments-SpecificDate'!LBWE</vt:lpstr>
      <vt:lpstr>'Lumber Assessments-Latest price'!LBWF</vt:lpstr>
      <vt:lpstr>'Lumber assessments-SpecificDate'!LBWF</vt:lpstr>
      <vt:lpstr>'Lumber Assessments-Latest price'!LBWG</vt:lpstr>
      <vt:lpstr>'Lumber assessments-SpecificDate'!LBWG</vt:lpstr>
      <vt:lpstr>'Lumber Assessments-Latest price'!LBWK</vt:lpstr>
      <vt:lpstr>'Lumber assessments-SpecificDate'!LBWK</vt:lpstr>
      <vt:lpstr>'Lumber Assessments-Latest price'!LBWL</vt:lpstr>
      <vt:lpstr>'Lumber assessments-SpecificDate'!LBWL</vt:lpstr>
      <vt:lpstr>'Lumber Assessments-Latest price'!LBWN</vt:lpstr>
      <vt:lpstr>'Lumber assessments-SpecificDate'!LBWN</vt:lpstr>
      <vt:lpstr>'Lumber Assessments-Latest price'!LBWO</vt:lpstr>
      <vt:lpstr>'Lumber assessments-SpecificDate'!LBWO</vt:lpstr>
      <vt:lpstr>'Lumber Assessments-Latest price'!LBWP</vt:lpstr>
      <vt:lpstr>'Lumber assessments-SpecificDate'!LBWP</vt:lpstr>
      <vt:lpstr>'Lumber Assessments-Latest price'!LBWQ</vt:lpstr>
      <vt:lpstr>'Lumber assessments-SpecificDate'!LBWQ</vt:lpstr>
      <vt:lpstr>'Lumber Assessments-Latest price'!LBWR</vt:lpstr>
      <vt:lpstr>'Lumber assessments-SpecificDate'!LBWR</vt:lpstr>
      <vt:lpstr>'Lumber Assessments-Latest price'!LBWS</vt:lpstr>
      <vt:lpstr>'Lumber assessments-SpecificDate'!LBWS</vt:lpstr>
      <vt:lpstr>'Lumber Assessments-Latest price'!LBWT</vt:lpstr>
      <vt:lpstr>'Lumber assessments-SpecificDate'!LBWT</vt:lpstr>
      <vt:lpstr>'Lumber Assessments-Latest price'!LBWU</vt:lpstr>
      <vt:lpstr>'Lumber assessments-SpecificDate'!LBWU</vt:lpstr>
      <vt:lpstr>'Lumber Assessments-Latest price'!LBWV</vt:lpstr>
      <vt:lpstr>'Lumber assessments-SpecificDate'!LBWV</vt:lpstr>
      <vt:lpstr>'Lumber Assessments-Latest price'!LBWW</vt:lpstr>
      <vt:lpstr>'Lumber assessments-SpecificDate'!LBWW</vt:lpstr>
      <vt:lpstr>'Lumber Assessments-Latest price'!LBWX</vt:lpstr>
      <vt:lpstr>'Lumber assessments-SpecificDate'!LBWX</vt:lpstr>
      <vt:lpstr>'Lumber Assessments-Latest price'!LBWY</vt:lpstr>
      <vt:lpstr>'Lumber assessments-SpecificDate'!LBWY</vt:lpstr>
      <vt:lpstr>'Lumber Assessments-Latest price'!LBWZ</vt:lpstr>
      <vt:lpstr>'Lumber assessments-SpecificDate'!LBWZ</vt:lpstr>
      <vt:lpstr>'Lumber Assessments-Latest price'!LBXB</vt:lpstr>
      <vt:lpstr>'Lumber assessments-SpecificDate'!LBXB</vt:lpstr>
      <vt:lpstr>'Lumber Assessments-Latest price'!LBXC</vt:lpstr>
      <vt:lpstr>'Lumber assessments-SpecificDate'!LBXC</vt:lpstr>
      <vt:lpstr>'Lumber Assessments-Latest price'!LBXD</vt:lpstr>
      <vt:lpstr>'Lumber assessments-SpecificDate'!LBXD</vt:lpstr>
      <vt:lpstr>'Lumber Assessments-Latest price'!LBXE</vt:lpstr>
      <vt:lpstr>'Lumber assessments-SpecificDate'!LBXE</vt:lpstr>
      <vt:lpstr>'Lumber Assessments-Latest price'!LBXH</vt:lpstr>
      <vt:lpstr>'Lumber assessments-SpecificDate'!LBXH</vt:lpstr>
      <vt:lpstr>'Lumber Assessments-Latest price'!LBXI</vt:lpstr>
      <vt:lpstr>'Lumber assessments-SpecificDate'!LBXI</vt:lpstr>
      <vt:lpstr>'Lumber Assessments-Latest price'!LBXJ</vt:lpstr>
      <vt:lpstr>'Lumber assessments-SpecificDate'!LBXJ</vt:lpstr>
      <vt:lpstr>'Lumber Assessments-Latest price'!LBXK</vt:lpstr>
      <vt:lpstr>'Lumber assessments-SpecificDate'!LBXK</vt:lpstr>
      <vt:lpstr>'Lumber Assessments-Latest price'!LBXL</vt:lpstr>
      <vt:lpstr>'Lumber assessments-SpecificDate'!LBXL</vt:lpstr>
      <vt:lpstr>'Lumber Assessments-Latest price'!LBXM</vt:lpstr>
      <vt:lpstr>'Lumber assessments-SpecificDate'!LBXM</vt:lpstr>
      <vt:lpstr>'Lumber Assessments-Latest price'!LBXN</vt:lpstr>
      <vt:lpstr>'Lumber assessments-SpecificDate'!LBXN</vt:lpstr>
      <vt:lpstr>'Lumber Assessments-Latest price'!LBXO</vt:lpstr>
      <vt:lpstr>'Lumber assessments-SpecificDate'!LBXO</vt:lpstr>
      <vt:lpstr>'Lumber Assessments-Latest price'!LBXP</vt:lpstr>
      <vt:lpstr>'Lumber assessments-SpecificDate'!LBXP</vt:lpstr>
      <vt:lpstr>'Lumber Assessments-Latest price'!LBXQ</vt:lpstr>
      <vt:lpstr>'Lumber assessments-SpecificDate'!LBXQ</vt:lpstr>
      <vt:lpstr>'Lumber Assessments-Latest price'!LBXR</vt:lpstr>
      <vt:lpstr>'Lumber assessments-SpecificDate'!LBXR</vt:lpstr>
      <vt:lpstr>'Lumber Assessments-Latest price'!LBXS</vt:lpstr>
      <vt:lpstr>'Lumber assessments-SpecificDate'!LBXS</vt:lpstr>
      <vt:lpstr>'Lumber Assessments-Latest price'!LBXV</vt:lpstr>
      <vt:lpstr>'Lumber assessments-SpecificDate'!LBXV</vt:lpstr>
      <vt:lpstr>'Lumber Assessments-Latest price'!LBXW</vt:lpstr>
      <vt:lpstr>'Lumber assessments-SpecificDate'!LBXW</vt:lpstr>
      <vt:lpstr>'Lumber Assessments-Latest price'!LBXX</vt:lpstr>
      <vt:lpstr>'Lumber assessments-SpecificDate'!LBXX</vt:lpstr>
      <vt:lpstr>'Lumber Assessments-Latest price'!LBXY</vt:lpstr>
      <vt:lpstr>'Lumber assessments-SpecificDate'!LBXY</vt:lpstr>
      <vt:lpstr>'Lumber Assessments-Latest price'!LBXZ</vt:lpstr>
      <vt:lpstr>'Lumber assessments-SpecificDate'!LBXZ</vt:lpstr>
      <vt:lpstr>'Lumber Assessments-Latest price'!LBYB</vt:lpstr>
      <vt:lpstr>'Lumber assessments-SpecificDate'!LBYB</vt:lpstr>
      <vt:lpstr>'Lumber Assessments-Latest price'!LBYC</vt:lpstr>
      <vt:lpstr>'Lumber assessments-SpecificDate'!LBYC</vt:lpstr>
      <vt:lpstr>'Lumber Assessments-Latest price'!LBYE</vt:lpstr>
      <vt:lpstr>'Lumber assessments-SpecificDate'!LBYE</vt:lpstr>
      <vt:lpstr>'Lumber Assessments-Latest price'!LBYG</vt:lpstr>
      <vt:lpstr>'Lumber assessments-SpecificDate'!LBYG</vt:lpstr>
      <vt:lpstr>'Lumber Assessments-Latest price'!LBYH</vt:lpstr>
      <vt:lpstr>'Lumber assessments-SpecificDate'!LBYH</vt:lpstr>
      <vt:lpstr>'Lumber Assessments-Latest price'!LBYI</vt:lpstr>
      <vt:lpstr>'Lumber assessments-SpecificDate'!LBYI</vt:lpstr>
      <vt:lpstr>'Lumber Assessments-Latest price'!LBYJ</vt:lpstr>
      <vt:lpstr>'Lumber assessments-SpecificDate'!LBYJ</vt:lpstr>
      <vt:lpstr>'Lumber Assessments-Latest price'!LBYK</vt:lpstr>
      <vt:lpstr>'Lumber assessments-SpecificDate'!LBYK</vt:lpstr>
      <vt:lpstr>'Lumber Assessments-Latest price'!LBYL</vt:lpstr>
      <vt:lpstr>'Lumber assessments-SpecificDate'!LBYL</vt:lpstr>
      <vt:lpstr>'Lumber Assessments-Latest price'!LBYN</vt:lpstr>
      <vt:lpstr>'Lumber assessments-SpecificDate'!LBYN</vt:lpstr>
      <vt:lpstr>'Lumber Assessments-Latest price'!LBYO</vt:lpstr>
      <vt:lpstr>'Lumber assessments-SpecificDate'!LBYO</vt:lpstr>
      <vt:lpstr>'Lumber Assessments-Latest price'!LBYP</vt:lpstr>
      <vt:lpstr>'Lumber assessments-SpecificDate'!LBYP</vt:lpstr>
      <vt:lpstr>'Lumber Assessments-Latest price'!LBYQ</vt:lpstr>
      <vt:lpstr>'Lumber assessments-SpecificDate'!LBYQ</vt:lpstr>
      <vt:lpstr>'Lumber Assessments-Latest price'!LBYS</vt:lpstr>
      <vt:lpstr>'Lumber assessments-SpecificDate'!LBYS</vt:lpstr>
      <vt:lpstr>'Lumber Assessments-Latest price'!LBYT</vt:lpstr>
      <vt:lpstr>'Lumber assessments-SpecificDate'!LBYT</vt:lpstr>
      <vt:lpstr>'Lumber Assessments-Latest price'!LBYU</vt:lpstr>
      <vt:lpstr>'Lumber assessments-SpecificDate'!LBYU</vt:lpstr>
      <vt:lpstr>'Lumber Assessments-Latest price'!LBYV</vt:lpstr>
      <vt:lpstr>'Lumber assessments-SpecificDate'!LBYV</vt:lpstr>
      <vt:lpstr>'Lumber Assessments-Latest price'!LBYW</vt:lpstr>
      <vt:lpstr>'Lumber assessments-SpecificDate'!LBYW</vt:lpstr>
      <vt:lpstr>'Lumber Assessments-Latest price'!LBYX</vt:lpstr>
      <vt:lpstr>'Lumber assessments-SpecificDate'!LBYX</vt:lpstr>
      <vt:lpstr>'Lumber Assessments-Latest price'!LBYY</vt:lpstr>
      <vt:lpstr>'Lumber assessments-SpecificDate'!LBYY</vt:lpstr>
      <vt:lpstr>'Lumber Assessments-Latest price'!LBYZ</vt:lpstr>
      <vt:lpstr>'Lumber assessments-SpecificDate'!LBYZ</vt:lpstr>
      <vt:lpstr>'Lumber Assessments-Latest price'!LBZA</vt:lpstr>
      <vt:lpstr>'Lumber assessments-SpecificDate'!LBZA</vt:lpstr>
      <vt:lpstr>'Lumber Assessments-Latest price'!LBZB</vt:lpstr>
      <vt:lpstr>'Lumber assessments-SpecificDate'!LBZB</vt:lpstr>
      <vt:lpstr>'Lumber Assessments-Latest price'!LBZC</vt:lpstr>
      <vt:lpstr>'Lumber assessments-SpecificDate'!LBZC</vt:lpstr>
      <vt:lpstr>'Lumber Assessments-Latest price'!LBZD</vt:lpstr>
      <vt:lpstr>'Lumber assessments-SpecificDate'!LBZD</vt:lpstr>
      <vt:lpstr>'Lumber Assessments-Latest price'!LBZE</vt:lpstr>
      <vt:lpstr>'Lumber assessments-SpecificDate'!LBZE</vt:lpstr>
      <vt:lpstr>'Lumber Assessments-Latest price'!LBZF</vt:lpstr>
      <vt:lpstr>'Lumber assessments-SpecificDate'!LBZF</vt:lpstr>
      <vt:lpstr>'Lumber Assessments-Latest price'!LBZG</vt:lpstr>
      <vt:lpstr>'Lumber assessments-SpecificDate'!LBZG</vt:lpstr>
      <vt:lpstr>'Lumber Assessments-Latest price'!LBZI</vt:lpstr>
      <vt:lpstr>'Lumber assessments-SpecificDate'!LBZI</vt:lpstr>
      <vt:lpstr>'Lumber Assessments-Latest price'!LBZJ</vt:lpstr>
      <vt:lpstr>'Lumber assessments-SpecificDate'!LBZJ</vt:lpstr>
      <vt:lpstr>'Lumber Assessments-Latest price'!LBZR</vt:lpstr>
      <vt:lpstr>'Lumber assessments-SpecificDate'!LBZR</vt:lpstr>
      <vt:lpstr>'Lumber Assessments-Latest price'!LBZS</vt:lpstr>
      <vt:lpstr>'Lumber assessments-SpecificDate'!LBZS</vt:lpstr>
      <vt:lpstr>'Lumber Assessments-Latest price'!LBZT</vt:lpstr>
      <vt:lpstr>'Lumber assessments-SpecificDate'!LBZT</vt:lpstr>
      <vt:lpstr>'Lumber Assessments-Latest price'!LBZV</vt:lpstr>
      <vt:lpstr>'Lumber assessments-SpecificDate'!LBZV</vt:lpstr>
      <vt:lpstr>'Lumber Assessments-Latest price'!LBZW</vt:lpstr>
      <vt:lpstr>'Lumber assessments-SpecificDate'!LBZW</vt:lpstr>
      <vt:lpstr>'Lumber Assessments-Latest price'!LBZX</vt:lpstr>
      <vt:lpstr>'Lumber assessments-SpecificDate'!LBZX</vt:lpstr>
      <vt:lpstr>'Lumber Assessments-Latest price'!LBZY</vt:lpstr>
      <vt:lpstr>'Lumber assessments-SpecificDate'!LBZY</vt:lpstr>
      <vt:lpstr>'Lumber Assessments-Latest price'!LBZZ</vt:lpstr>
      <vt:lpstr>'Lumber assessments-SpecificDate'!LBZZ</vt:lpstr>
      <vt:lpstr>'Lumber Assessments-Latest price'!LCAA</vt:lpstr>
      <vt:lpstr>'Lumber assessments-SpecificDate'!LCAA</vt:lpstr>
      <vt:lpstr>'Lumber Assessments-Latest price'!LCAC</vt:lpstr>
      <vt:lpstr>'Lumber assessments-SpecificDate'!LCAC</vt:lpstr>
      <vt:lpstr>'Lumber Assessments-Latest price'!LCAD</vt:lpstr>
      <vt:lpstr>'Lumber assessments-SpecificDate'!LCAD</vt:lpstr>
      <vt:lpstr>'Lumber Assessments-Latest price'!LCAE</vt:lpstr>
      <vt:lpstr>'Lumber assessments-SpecificDate'!LCAE</vt:lpstr>
      <vt:lpstr>'Lumber Assessments-Latest price'!LCAF</vt:lpstr>
      <vt:lpstr>'Lumber assessments-SpecificDate'!LCAF</vt:lpstr>
      <vt:lpstr>'Lumber Assessments-Latest price'!LCAG</vt:lpstr>
      <vt:lpstr>'Lumber assessments-SpecificDate'!LCAG</vt:lpstr>
      <vt:lpstr>'Lumber Assessments-Latest price'!LCAH</vt:lpstr>
      <vt:lpstr>'Lumber assessments-SpecificDate'!LCAH</vt:lpstr>
      <vt:lpstr>'Lumber Assessments-Latest price'!LCAI</vt:lpstr>
      <vt:lpstr>'Lumber assessments-SpecificDate'!LCAI</vt:lpstr>
      <vt:lpstr>'Lumber Assessments-Latest price'!LCAJ</vt:lpstr>
      <vt:lpstr>'Lumber assessments-SpecificDate'!LCAJ</vt:lpstr>
      <vt:lpstr>'Lumber Assessments-Latest price'!LCAK</vt:lpstr>
      <vt:lpstr>'Lumber assessments-SpecificDate'!LCAK</vt:lpstr>
      <vt:lpstr>'Lumber Assessments-Latest price'!LCAL</vt:lpstr>
      <vt:lpstr>'Lumber assessments-SpecificDate'!LCAL</vt:lpstr>
      <vt:lpstr>'Lumber Assessments-Latest price'!LCAM</vt:lpstr>
      <vt:lpstr>'Lumber assessments-SpecificDate'!LCAM</vt:lpstr>
      <vt:lpstr>'Lumber Assessments-Latest price'!LCAN</vt:lpstr>
      <vt:lpstr>'Lumber assessments-SpecificDate'!LCAN</vt:lpstr>
      <vt:lpstr>'Lumber Assessments-Latest price'!LCAO</vt:lpstr>
      <vt:lpstr>'Lumber assessments-SpecificDate'!LCAO</vt:lpstr>
      <vt:lpstr>'Lumber Assessments-Latest price'!LCAP</vt:lpstr>
      <vt:lpstr>'Lumber assessments-SpecificDate'!LCAP</vt:lpstr>
      <vt:lpstr>'Lumber Assessments-Latest price'!LCAQ</vt:lpstr>
      <vt:lpstr>'Lumber assessments-SpecificDate'!LCAQ</vt:lpstr>
      <vt:lpstr>'Lumber Assessments-Latest price'!LCAR</vt:lpstr>
      <vt:lpstr>'Lumber assessments-SpecificDate'!LCAR</vt:lpstr>
      <vt:lpstr>'Lumber Assessments-Latest price'!LCAS</vt:lpstr>
      <vt:lpstr>'Lumber assessments-SpecificDate'!LCAS</vt:lpstr>
      <vt:lpstr>'Lumber Assessments-Latest price'!LCAT</vt:lpstr>
      <vt:lpstr>'Lumber assessments-SpecificDate'!LCAT</vt:lpstr>
      <vt:lpstr>'Lumber Assessments-Latest price'!LCAU</vt:lpstr>
      <vt:lpstr>'Lumber assessments-SpecificDate'!LCAU</vt:lpstr>
      <vt:lpstr>'Lumber Assessments-Latest price'!LCAX</vt:lpstr>
      <vt:lpstr>'Lumber assessments-SpecificDate'!LCAX</vt:lpstr>
      <vt:lpstr>'Lumber Assessments-Latest price'!LCAY</vt:lpstr>
      <vt:lpstr>'Lumber assessments-SpecificDate'!LCAY</vt:lpstr>
      <vt:lpstr>'Lumber Assessments-Latest price'!LCAZ</vt:lpstr>
      <vt:lpstr>'Lumber assessments-SpecificDate'!LCAZ</vt:lpstr>
      <vt:lpstr>'Lumber Assessments-Latest price'!LCBA</vt:lpstr>
      <vt:lpstr>'Lumber assessments-SpecificDate'!LCBA</vt:lpstr>
      <vt:lpstr>'Lumber Assessments-Latest price'!LCBB</vt:lpstr>
      <vt:lpstr>'Lumber assessments-SpecificDate'!LCBB</vt:lpstr>
      <vt:lpstr>'Lumber Assessments-Latest price'!LCBC</vt:lpstr>
      <vt:lpstr>'Lumber assessments-SpecificDate'!LCBC</vt:lpstr>
      <vt:lpstr>'Lumber Assessments-Latest price'!LCBD</vt:lpstr>
      <vt:lpstr>'Lumber assessments-SpecificDate'!LCBD</vt:lpstr>
      <vt:lpstr>'Lumber Assessments-Latest price'!LCBE</vt:lpstr>
      <vt:lpstr>'Lumber assessments-SpecificDate'!LCBE</vt:lpstr>
      <vt:lpstr>'Lumber Assessments-Latest price'!LCBF</vt:lpstr>
      <vt:lpstr>'Lumber assessments-SpecificDate'!LCBF</vt:lpstr>
      <vt:lpstr>'Lumber Assessments-Latest price'!LCBG</vt:lpstr>
      <vt:lpstr>'Lumber assessments-SpecificDate'!LCBG</vt:lpstr>
      <vt:lpstr>'Lumber Assessments-Latest price'!LCBH</vt:lpstr>
      <vt:lpstr>'Lumber assessments-SpecificDate'!LCBH</vt:lpstr>
      <vt:lpstr>'Lumber Assessments-Latest price'!LCBI</vt:lpstr>
      <vt:lpstr>'Lumber assessments-SpecificDate'!LCBI</vt:lpstr>
      <vt:lpstr>'Lumber Assessments-Latest price'!LCBJ</vt:lpstr>
      <vt:lpstr>'Lumber assessments-SpecificDate'!LCBJ</vt:lpstr>
      <vt:lpstr>'Lumber Assessments-Latest price'!LCBK</vt:lpstr>
      <vt:lpstr>'Lumber assessments-SpecificDate'!LCBK</vt:lpstr>
      <vt:lpstr>'Lumber Assessments-Latest price'!LCBL</vt:lpstr>
      <vt:lpstr>'Lumber assessments-SpecificDate'!LCBL</vt:lpstr>
      <vt:lpstr>'Lumber Assessments-Latest price'!LCBM</vt:lpstr>
      <vt:lpstr>'Lumber assessments-SpecificDate'!LCBM</vt:lpstr>
      <vt:lpstr>'Lumber Assessments-Latest price'!LCBN</vt:lpstr>
      <vt:lpstr>'Lumber assessments-SpecificDate'!LCBN</vt:lpstr>
      <vt:lpstr>'Lumber Assessments-Latest price'!LCBO</vt:lpstr>
      <vt:lpstr>'Lumber assessments-SpecificDate'!LCBO</vt:lpstr>
      <vt:lpstr>'Lumber Assessments-Latest price'!LCBQ</vt:lpstr>
      <vt:lpstr>'Lumber assessments-SpecificDate'!LCBQ</vt:lpstr>
      <vt:lpstr>'Lumber Assessments-Latest price'!LCBR</vt:lpstr>
      <vt:lpstr>'Lumber assessments-SpecificDate'!LCBR</vt:lpstr>
      <vt:lpstr>'Lumber Assessments-Latest price'!LCBS</vt:lpstr>
      <vt:lpstr>'Lumber assessments-SpecificDate'!LCBS</vt:lpstr>
      <vt:lpstr>'Lumber Assessments-Latest price'!LCBT</vt:lpstr>
      <vt:lpstr>'Lumber assessments-SpecificDate'!LCBT</vt:lpstr>
      <vt:lpstr>'Lumber Assessments-Latest price'!LCBU</vt:lpstr>
      <vt:lpstr>'Lumber assessments-SpecificDate'!LCBU</vt:lpstr>
      <vt:lpstr>'Lumber Assessments-Latest price'!LCBW</vt:lpstr>
      <vt:lpstr>'Lumber assessments-SpecificDate'!LCBW</vt:lpstr>
      <vt:lpstr>'Lumber Assessments-Latest price'!LCBX</vt:lpstr>
      <vt:lpstr>'Lumber assessments-SpecificDate'!LCBX</vt:lpstr>
      <vt:lpstr>'Lumber Assessments-Latest price'!LCBY</vt:lpstr>
      <vt:lpstr>'Lumber assessments-SpecificDate'!LCBY</vt:lpstr>
      <vt:lpstr>'Lumber Assessments-Latest price'!LCBZ</vt:lpstr>
      <vt:lpstr>'Lumber assessments-SpecificDate'!LCBZ</vt:lpstr>
      <vt:lpstr>'Lumber Assessments-Latest price'!LCCA</vt:lpstr>
      <vt:lpstr>'Lumber assessments-SpecificDate'!LCCA</vt:lpstr>
      <vt:lpstr>'Lumber Assessments-Latest price'!LCCB</vt:lpstr>
      <vt:lpstr>'Lumber assessments-SpecificDate'!LCCB</vt:lpstr>
      <vt:lpstr>'Lumber Assessments-Latest price'!LCCC</vt:lpstr>
      <vt:lpstr>'Lumber assessments-SpecificDate'!LCCC</vt:lpstr>
      <vt:lpstr>'Lumber Assessments-Latest price'!LCCD</vt:lpstr>
      <vt:lpstr>'Lumber assessments-SpecificDate'!LCCD</vt:lpstr>
      <vt:lpstr>'Lumber Assessments-Latest price'!LCCE</vt:lpstr>
      <vt:lpstr>'Lumber assessments-SpecificDate'!LCCE</vt:lpstr>
      <vt:lpstr>'Lumber Assessments-Latest price'!LCCG</vt:lpstr>
      <vt:lpstr>'Lumber assessments-SpecificDate'!LCCG</vt:lpstr>
      <vt:lpstr>'Lumber Assessments-Latest price'!LCCH</vt:lpstr>
      <vt:lpstr>'Lumber assessments-SpecificDate'!LCCH</vt:lpstr>
      <vt:lpstr>'Lumber Assessments-Latest price'!LCCI</vt:lpstr>
      <vt:lpstr>'Lumber assessments-SpecificDate'!LCCI</vt:lpstr>
      <vt:lpstr>'Lumber Assessments-Latest price'!LCCJ</vt:lpstr>
      <vt:lpstr>'Lumber assessments-SpecificDate'!LCCJ</vt:lpstr>
      <vt:lpstr>'Lumber Assessments-Latest price'!LCCK</vt:lpstr>
      <vt:lpstr>'Lumber assessments-SpecificDate'!LCCK</vt:lpstr>
      <vt:lpstr>'Lumber Assessments-Latest price'!LCCM</vt:lpstr>
      <vt:lpstr>'Lumber assessments-SpecificDate'!LCCM</vt:lpstr>
      <vt:lpstr>'Lumber Assessments-Latest price'!LCCN</vt:lpstr>
      <vt:lpstr>'Lumber assessments-SpecificDate'!LCCN</vt:lpstr>
      <vt:lpstr>'Lumber Assessments-Latest price'!LCCO</vt:lpstr>
      <vt:lpstr>'Lumber assessments-SpecificDate'!LCCO</vt:lpstr>
      <vt:lpstr>'Lumber Assessments-Latest price'!LCCP</vt:lpstr>
      <vt:lpstr>'Lumber assessments-SpecificDate'!LCCP</vt:lpstr>
      <vt:lpstr>'Lumber Assessments-Latest price'!LCCQ</vt:lpstr>
      <vt:lpstr>'Lumber assessments-SpecificDate'!LCCQ</vt:lpstr>
      <vt:lpstr>'Lumber Assessments-Latest price'!LCCS</vt:lpstr>
      <vt:lpstr>'Lumber assessments-SpecificDate'!LCCS</vt:lpstr>
      <vt:lpstr>'Lumber Assessments-Latest price'!LCCT</vt:lpstr>
      <vt:lpstr>'Lumber assessments-SpecificDate'!LCCT</vt:lpstr>
      <vt:lpstr>'Lumber Assessments-Latest price'!LCCU</vt:lpstr>
      <vt:lpstr>'Lumber assessments-SpecificDate'!LCCU</vt:lpstr>
      <vt:lpstr>'Lumber Assessments-Latest price'!LCCV</vt:lpstr>
      <vt:lpstr>'Lumber assessments-SpecificDate'!LCCV</vt:lpstr>
      <vt:lpstr>'Lumber Assessments-Latest price'!LCCW</vt:lpstr>
      <vt:lpstr>'Lumber assessments-SpecificDate'!LCCW</vt:lpstr>
      <vt:lpstr>'Lumber Assessments-Latest price'!LCCY</vt:lpstr>
      <vt:lpstr>'Lumber assessments-SpecificDate'!LCCY</vt:lpstr>
      <vt:lpstr>'Lumber Assessments-Latest price'!LCCZ</vt:lpstr>
      <vt:lpstr>'Lumber assessments-SpecificDate'!LCCZ</vt:lpstr>
      <vt:lpstr>'Lumber Assessments-Latest price'!LCDA</vt:lpstr>
      <vt:lpstr>'Lumber assessments-SpecificDate'!LCDA</vt:lpstr>
      <vt:lpstr>'Lumber Assessments-Latest price'!LCDB</vt:lpstr>
      <vt:lpstr>'Lumber assessments-SpecificDate'!LCDB</vt:lpstr>
      <vt:lpstr>'Lumber Assessments-Latest price'!LCDC</vt:lpstr>
      <vt:lpstr>'Lumber assessments-SpecificDate'!LCDC</vt:lpstr>
      <vt:lpstr>'Lumber Assessments-Latest price'!LCDE</vt:lpstr>
      <vt:lpstr>'Lumber assessments-SpecificDate'!LCDE</vt:lpstr>
      <vt:lpstr>'Lumber Assessments-Latest price'!LCDF</vt:lpstr>
      <vt:lpstr>'Lumber assessments-SpecificDate'!LCDF</vt:lpstr>
      <vt:lpstr>'Lumber Assessments-Latest price'!LCDG</vt:lpstr>
      <vt:lpstr>'Lumber assessments-SpecificDate'!LCDG</vt:lpstr>
      <vt:lpstr>'Lumber Assessments-Latest price'!LCDH</vt:lpstr>
      <vt:lpstr>'Lumber assessments-SpecificDate'!LCDH</vt:lpstr>
      <vt:lpstr>'Lumber Assessments-Latest price'!LCDI</vt:lpstr>
      <vt:lpstr>'Lumber assessments-SpecificDate'!LCDI</vt:lpstr>
      <vt:lpstr>'Lumber Assessments-Latest price'!LCDK</vt:lpstr>
      <vt:lpstr>'Lumber assessments-SpecificDate'!LCDK</vt:lpstr>
      <vt:lpstr>'Lumber Assessments-Latest price'!LCDL</vt:lpstr>
      <vt:lpstr>'Lumber assessments-SpecificDate'!LCDL</vt:lpstr>
      <vt:lpstr>'Lumber Assessments-Latest price'!LCDM</vt:lpstr>
      <vt:lpstr>'Lumber assessments-SpecificDate'!LCDM</vt:lpstr>
      <vt:lpstr>'Lumber Assessments-Latest price'!LCDN</vt:lpstr>
      <vt:lpstr>'Lumber assessments-SpecificDate'!LCDN</vt:lpstr>
      <vt:lpstr>'Lumber Assessments-Latest price'!LCDO</vt:lpstr>
      <vt:lpstr>'Lumber assessments-SpecificDate'!LCDO</vt:lpstr>
      <vt:lpstr>'Lumber Assessments-Latest price'!LCDQ</vt:lpstr>
      <vt:lpstr>'Lumber assessments-SpecificDate'!LCDQ</vt:lpstr>
      <vt:lpstr>'Lumber Assessments-Latest price'!LCDR</vt:lpstr>
      <vt:lpstr>'Lumber assessments-SpecificDate'!LCDR</vt:lpstr>
      <vt:lpstr>'Lumber Assessments-Latest price'!LCDS</vt:lpstr>
      <vt:lpstr>'Lumber assessments-SpecificDate'!LCDS</vt:lpstr>
      <vt:lpstr>'Lumber Assessments-Latest price'!LCDT</vt:lpstr>
      <vt:lpstr>'Lumber assessments-SpecificDate'!LCDT</vt:lpstr>
      <vt:lpstr>'Lumber Assessments-Latest price'!LCDU</vt:lpstr>
      <vt:lpstr>'Lumber assessments-SpecificDate'!LCDU</vt:lpstr>
      <vt:lpstr>'Lumber Assessments-Latest price'!LCED</vt:lpstr>
      <vt:lpstr>'Lumber assessments-SpecificDate'!LCED</vt:lpstr>
      <vt:lpstr>'Lumber Assessments-Latest price'!LCEE</vt:lpstr>
      <vt:lpstr>'Lumber assessments-SpecificDate'!LCEE</vt:lpstr>
      <vt:lpstr>'Lumber Assessments-Latest price'!LCEF</vt:lpstr>
      <vt:lpstr>'Lumber assessments-SpecificDate'!LCEF</vt:lpstr>
      <vt:lpstr>'Lumber Assessments-Latest price'!LCEG</vt:lpstr>
      <vt:lpstr>'Lumber assessments-SpecificDate'!LCEG</vt:lpstr>
      <vt:lpstr>'Lumber Assessments-Latest price'!LCEH</vt:lpstr>
      <vt:lpstr>'Lumber assessments-SpecificDate'!LCEH</vt:lpstr>
      <vt:lpstr>'Lumber Assessments-Latest price'!LCEL</vt:lpstr>
      <vt:lpstr>'Lumber assessments-SpecificDate'!LCEL</vt:lpstr>
      <vt:lpstr>'Lumber Assessments-Latest price'!LCEM</vt:lpstr>
      <vt:lpstr>'Lumber assessments-SpecificDate'!LCEM</vt:lpstr>
      <vt:lpstr>'Lumber Assessments-Latest price'!LCEO</vt:lpstr>
      <vt:lpstr>'Lumber assessments-SpecificDate'!LCEO</vt:lpstr>
      <vt:lpstr>'Lumber Assessments-Latest price'!LCEP</vt:lpstr>
      <vt:lpstr>'Lumber assessments-SpecificDate'!LCEP</vt:lpstr>
      <vt:lpstr>'Lumber Assessments-Latest price'!LCEQ</vt:lpstr>
      <vt:lpstr>'Lumber assessments-SpecificDate'!LCEQ</vt:lpstr>
      <vt:lpstr>'Lumber Assessments-Latest price'!LCER</vt:lpstr>
      <vt:lpstr>'Lumber assessments-SpecificDate'!LCER</vt:lpstr>
      <vt:lpstr>'Lumber Assessments-Latest price'!LCES</vt:lpstr>
      <vt:lpstr>'Lumber assessments-SpecificDate'!LCES</vt:lpstr>
      <vt:lpstr>'Lumber Assessments-Latest price'!LCET</vt:lpstr>
      <vt:lpstr>'Lumber assessments-SpecificDate'!LCET</vt:lpstr>
      <vt:lpstr>'Lumber Assessments-Latest price'!LCEU</vt:lpstr>
      <vt:lpstr>'Lumber assessments-SpecificDate'!LCEU</vt:lpstr>
      <vt:lpstr>'Lumber Assessments-Latest price'!LCEV</vt:lpstr>
      <vt:lpstr>'Lumber assessments-SpecificDate'!LCEV</vt:lpstr>
      <vt:lpstr>'Lumber Assessments-Latest price'!LCEW</vt:lpstr>
      <vt:lpstr>'Lumber assessments-SpecificDate'!LCEW</vt:lpstr>
      <vt:lpstr>'Lumber Assessments-Latest price'!LCEX</vt:lpstr>
      <vt:lpstr>'Lumber assessments-SpecificDate'!LCEX</vt:lpstr>
      <vt:lpstr>'Lumber Assessments-Latest price'!LCEY</vt:lpstr>
      <vt:lpstr>'Lumber assessments-SpecificDate'!LCEY</vt:lpstr>
      <vt:lpstr>'Lumber Assessments-Latest price'!LCEZ</vt:lpstr>
      <vt:lpstr>'Lumber assessments-SpecificDate'!LCEZ</vt:lpstr>
      <vt:lpstr>'Lumber Assessments-Latest price'!LCFA</vt:lpstr>
      <vt:lpstr>'Lumber assessments-SpecificDate'!LCFA</vt:lpstr>
      <vt:lpstr>'Lumber Assessments-Latest price'!LCFB</vt:lpstr>
      <vt:lpstr>'Lumber assessments-SpecificDate'!LCFB</vt:lpstr>
      <vt:lpstr>'Lumber Assessments-Latest price'!LCFC</vt:lpstr>
      <vt:lpstr>'Lumber assessments-SpecificDate'!LCFC</vt:lpstr>
      <vt:lpstr>'Lumber Assessments-Latest price'!LCFD</vt:lpstr>
      <vt:lpstr>'Lumber assessments-SpecificDate'!LCFD</vt:lpstr>
      <vt:lpstr>'Lumber Assessments-Latest price'!LCFE</vt:lpstr>
      <vt:lpstr>'Lumber assessments-SpecificDate'!LCFE</vt:lpstr>
      <vt:lpstr>'Lumber Assessments-Latest price'!LCFF</vt:lpstr>
      <vt:lpstr>'Lumber assessments-SpecificDate'!LCFF</vt:lpstr>
      <vt:lpstr>'Lumber Assessments-Latest price'!LCFG</vt:lpstr>
      <vt:lpstr>'Lumber assessments-SpecificDate'!LCFG</vt:lpstr>
      <vt:lpstr>'Lumber Assessments-Latest price'!LCFH</vt:lpstr>
      <vt:lpstr>'Lumber assessments-SpecificDate'!LCFH</vt:lpstr>
      <vt:lpstr>'Lumber Assessments-Latest price'!LCFI</vt:lpstr>
      <vt:lpstr>'Lumber assessments-SpecificDate'!LCFI</vt:lpstr>
      <vt:lpstr>'Lumber Assessments-Latest price'!LCFJ</vt:lpstr>
      <vt:lpstr>'Lumber assessments-SpecificDate'!LCFJ</vt:lpstr>
      <vt:lpstr>'Lumber Assessments-Latest price'!LCFK</vt:lpstr>
      <vt:lpstr>'Lumber assessments-SpecificDate'!LCFK</vt:lpstr>
      <vt:lpstr>'Lumber Assessments-Latest price'!LCFL</vt:lpstr>
      <vt:lpstr>'Lumber assessments-SpecificDate'!LCFL</vt:lpstr>
      <vt:lpstr>'Lumber Assessments-Latest price'!LCFM</vt:lpstr>
      <vt:lpstr>'Lumber assessments-SpecificDate'!LCFM</vt:lpstr>
      <vt:lpstr>'Lumber Assessments-Latest price'!LCFN</vt:lpstr>
      <vt:lpstr>'Lumber assessments-SpecificDate'!LCFN</vt:lpstr>
      <vt:lpstr>'Lumber Assessments-Latest price'!LCFO</vt:lpstr>
      <vt:lpstr>'Lumber assessments-SpecificDate'!LCFO</vt:lpstr>
      <vt:lpstr>'Lumber Assessments-Latest price'!LCFP</vt:lpstr>
      <vt:lpstr>'Lumber assessments-SpecificDate'!LCFP</vt:lpstr>
      <vt:lpstr>'Lumber Assessments-Latest price'!LCFQ</vt:lpstr>
      <vt:lpstr>'Lumber assessments-SpecificDate'!LCFQ</vt:lpstr>
      <vt:lpstr>'Lumber Assessments-Latest price'!LCFR</vt:lpstr>
      <vt:lpstr>'Lumber assessments-SpecificDate'!LCFR</vt:lpstr>
      <vt:lpstr>'Lumber Assessments-Latest price'!LCFS</vt:lpstr>
      <vt:lpstr>'Lumber assessments-SpecificDate'!LCFS</vt:lpstr>
      <vt:lpstr>'Lumber Assessments-Latest price'!LCFT</vt:lpstr>
      <vt:lpstr>'Lumber assessments-SpecificDate'!LCFT</vt:lpstr>
      <vt:lpstr>'Lumber Assessments-Latest price'!LCFU</vt:lpstr>
      <vt:lpstr>'Lumber assessments-SpecificDate'!LCFU</vt:lpstr>
      <vt:lpstr>'Lumber Assessments-Latest price'!LCFV</vt:lpstr>
      <vt:lpstr>'Lumber assessments-SpecificDate'!LCFV</vt:lpstr>
      <vt:lpstr>'Lumber Assessments-Latest price'!LCFW</vt:lpstr>
      <vt:lpstr>'Lumber assessments-SpecificDate'!LCFW</vt:lpstr>
      <vt:lpstr>'Lumber Assessments-Latest price'!LCFX</vt:lpstr>
      <vt:lpstr>'Lumber assessments-SpecificDate'!LCFX</vt:lpstr>
      <vt:lpstr>'Lumber Assessments-Latest price'!LCFY</vt:lpstr>
      <vt:lpstr>'Lumber assessments-SpecificDate'!LCFY</vt:lpstr>
      <vt:lpstr>'Lumber Assessments-Latest price'!LCFZ</vt:lpstr>
      <vt:lpstr>'Lumber assessments-SpecificDate'!LCFZ</vt:lpstr>
      <vt:lpstr>'Lumber Assessments-Latest price'!LCGA</vt:lpstr>
      <vt:lpstr>'Lumber assessments-SpecificDate'!LCGA</vt:lpstr>
      <vt:lpstr>'Lumber Assessments-Latest price'!LCGB</vt:lpstr>
      <vt:lpstr>'Lumber assessments-SpecificDate'!LCGB</vt:lpstr>
      <vt:lpstr>'Lumber Assessments-Latest price'!LCGC</vt:lpstr>
      <vt:lpstr>'Lumber assessments-SpecificDate'!LCGC</vt:lpstr>
      <vt:lpstr>'Lumber Assessments-Latest price'!LCGD</vt:lpstr>
      <vt:lpstr>'Lumber assessments-SpecificDate'!LCGD</vt:lpstr>
      <vt:lpstr>'Lumber Assessments-Latest price'!LCGE</vt:lpstr>
      <vt:lpstr>'Lumber assessments-SpecificDate'!LCGE</vt:lpstr>
      <vt:lpstr>'Lumber Assessments-Latest price'!LCGF</vt:lpstr>
      <vt:lpstr>'Lumber assessments-SpecificDate'!LCGF</vt:lpstr>
      <vt:lpstr>'Lumber Assessments-Latest price'!LCGG</vt:lpstr>
      <vt:lpstr>'Lumber assessments-SpecificDate'!LCGG</vt:lpstr>
      <vt:lpstr>'Lumber Assessments-Latest price'!LCGH</vt:lpstr>
      <vt:lpstr>'Lumber assessments-SpecificDate'!LCGH</vt:lpstr>
      <vt:lpstr>'Lumber Assessments-Latest price'!LCGI</vt:lpstr>
      <vt:lpstr>'Lumber assessments-SpecificDate'!LCGI</vt:lpstr>
      <vt:lpstr>'Lumber Assessments-Latest price'!LCGJ</vt:lpstr>
      <vt:lpstr>'Lumber assessments-SpecificDate'!LCGJ</vt:lpstr>
      <vt:lpstr>'Lumber Assessments-Latest price'!LCGK</vt:lpstr>
      <vt:lpstr>'Lumber assessments-SpecificDate'!LCGK</vt:lpstr>
      <vt:lpstr>'Lumber Assessments-Latest price'!LCGL</vt:lpstr>
      <vt:lpstr>'Lumber assessments-SpecificDate'!LCGL</vt:lpstr>
      <vt:lpstr>'Lumber Assessments-Latest price'!LCGM</vt:lpstr>
      <vt:lpstr>'Lumber assessments-SpecificDate'!LCGM</vt:lpstr>
      <vt:lpstr>'Lumber Assessments-Latest price'!LCGN</vt:lpstr>
      <vt:lpstr>'Lumber assessments-SpecificDate'!LCGN</vt:lpstr>
      <vt:lpstr>'Lumber Assessments-Latest price'!LCGO</vt:lpstr>
      <vt:lpstr>'Lumber assessments-SpecificDate'!LCGO</vt:lpstr>
      <vt:lpstr>'Lumber Assessments-Latest price'!LCGP</vt:lpstr>
      <vt:lpstr>'Lumber assessments-SpecificDate'!LCGP</vt:lpstr>
      <vt:lpstr>'Lumber Assessments-Latest price'!LCGQ</vt:lpstr>
      <vt:lpstr>'Lumber assessments-SpecificDate'!LCGQ</vt:lpstr>
      <vt:lpstr>'Lumber Assessments-Latest price'!LCGR</vt:lpstr>
      <vt:lpstr>'Lumber assessments-SpecificDate'!LCGR</vt:lpstr>
      <vt:lpstr>'Lumber Assessments-Latest price'!LCGS</vt:lpstr>
      <vt:lpstr>'Lumber assessments-SpecificDate'!LCGS</vt:lpstr>
      <vt:lpstr>'Lumber Assessments-Latest price'!LCGT</vt:lpstr>
      <vt:lpstr>'Lumber assessments-SpecificDate'!LCGT</vt:lpstr>
      <vt:lpstr>'Lumber Assessments-Latest price'!LCGU</vt:lpstr>
      <vt:lpstr>'Lumber assessments-SpecificDate'!LCGU</vt:lpstr>
      <vt:lpstr>'Lumber Assessments-Latest price'!LCGV</vt:lpstr>
      <vt:lpstr>'Lumber assessments-SpecificDate'!LCGV</vt:lpstr>
      <vt:lpstr>'Lumber Assessments-Latest price'!LCGW</vt:lpstr>
      <vt:lpstr>'Lumber assessments-SpecificDate'!LCGW</vt:lpstr>
      <vt:lpstr>'Lumber Assessments-Latest price'!LCGX</vt:lpstr>
      <vt:lpstr>'Lumber assessments-SpecificDate'!LCGX</vt:lpstr>
      <vt:lpstr>'Lumber Assessments-Latest price'!LCGY</vt:lpstr>
      <vt:lpstr>'Lumber assessments-SpecificDate'!LCGY</vt:lpstr>
      <vt:lpstr>'Lumber Assessments-Latest price'!LCGZ</vt:lpstr>
      <vt:lpstr>'Lumber assessments-SpecificDate'!LCGZ</vt:lpstr>
      <vt:lpstr>'Lumber Assessments-Latest price'!LCHA</vt:lpstr>
      <vt:lpstr>'Lumber assessments-SpecificDate'!LCHA</vt:lpstr>
      <vt:lpstr>'Lumber Assessments-Latest price'!LCHB</vt:lpstr>
      <vt:lpstr>'Lumber assessments-SpecificDate'!LCHB</vt:lpstr>
      <vt:lpstr>'Lumber Assessments-Latest price'!LCHC</vt:lpstr>
      <vt:lpstr>'Lumber assessments-SpecificDate'!LCHC</vt:lpstr>
      <vt:lpstr>'Lumber Assessments-Latest price'!LCHD</vt:lpstr>
      <vt:lpstr>'Lumber assessments-SpecificDate'!LCHD</vt:lpstr>
      <vt:lpstr>'Lumber Assessments-Latest price'!LCHE</vt:lpstr>
      <vt:lpstr>'Lumber assessments-SpecificDate'!LCHE</vt:lpstr>
      <vt:lpstr>'Lumber Assessments-Latest price'!LCHF</vt:lpstr>
      <vt:lpstr>'Lumber assessments-SpecificDate'!LCHF</vt:lpstr>
      <vt:lpstr>'Lumber Assessments-Latest price'!LCHG</vt:lpstr>
      <vt:lpstr>'Lumber assessments-SpecificDate'!LCHG</vt:lpstr>
      <vt:lpstr>'Lumber Assessments-Latest price'!LCHH</vt:lpstr>
      <vt:lpstr>'Lumber assessments-SpecificDate'!LCHH</vt:lpstr>
      <vt:lpstr>'Lumber Assessments-Latest price'!LCHI</vt:lpstr>
      <vt:lpstr>'Lumber assessments-SpecificDate'!LCHI</vt:lpstr>
      <vt:lpstr>'Lumber Assessments-Latest price'!LCHJ</vt:lpstr>
      <vt:lpstr>'Lumber assessments-SpecificDate'!LCHJ</vt:lpstr>
      <vt:lpstr>'Lumber Assessments-Latest price'!LCHK</vt:lpstr>
      <vt:lpstr>'Lumber assessments-SpecificDate'!LCHK</vt:lpstr>
      <vt:lpstr>'Lumber Assessments-Latest price'!LCHL</vt:lpstr>
      <vt:lpstr>'Lumber assessments-SpecificDate'!LCHL</vt:lpstr>
      <vt:lpstr>'Lumber Assessments-Latest price'!LCHM</vt:lpstr>
      <vt:lpstr>'Lumber assessments-SpecificDate'!LCHM</vt:lpstr>
      <vt:lpstr>'Lumber Assessments-Latest price'!LCHN</vt:lpstr>
      <vt:lpstr>'Lumber assessments-SpecificDate'!LCHN</vt:lpstr>
      <vt:lpstr>'Lumber Assessments-Latest price'!LCHO</vt:lpstr>
      <vt:lpstr>'Lumber assessments-SpecificDate'!LCHO</vt:lpstr>
      <vt:lpstr>'Lumber Assessments-Latest price'!LCHP</vt:lpstr>
      <vt:lpstr>'Lumber assessments-SpecificDate'!LCHP</vt:lpstr>
      <vt:lpstr>'Lumber Assessments-Latest price'!LCHQ</vt:lpstr>
      <vt:lpstr>'Lumber assessments-SpecificDate'!LCHQ</vt:lpstr>
      <vt:lpstr>'Lumber Assessments-Latest price'!LCHR</vt:lpstr>
      <vt:lpstr>'Lumber assessments-SpecificDate'!LCHR</vt:lpstr>
      <vt:lpstr>'Lumber Assessments-Latest price'!LCHS</vt:lpstr>
      <vt:lpstr>'Lumber assessments-SpecificDate'!LCHS</vt:lpstr>
      <vt:lpstr>'Lumber Assessments-Latest price'!LCHT</vt:lpstr>
      <vt:lpstr>'Lumber assessments-SpecificDate'!LCHT</vt:lpstr>
      <vt:lpstr>'Lumber Assessments-Latest price'!LCHU</vt:lpstr>
      <vt:lpstr>'Lumber assessments-SpecificDate'!LCHU</vt:lpstr>
      <vt:lpstr>'Lumber Assessments-Latest price'!LCHV</vt:lpstr>
      <vt:lpstr>'Lumber assessments-SpecificDate'!LCHV</vt:lpstr>
      <vt:lpstr>'Lumber Assessments-Latest price'!LCHW</vt:lpstr>
      <vt:lpstr>'Lumber assessments-SpecificDate'!LCHW</vt:lpstr>
      <vt:lpstr>'Lumber Assessments-Latest price'!LCHX</vt:lpstr>
      <vt:lpstr>'Lumber assessments-SpecificDate'!LCHX</vt:lpstr>
      <vt:lpstr>'Lumber Assessments-Latest price'!LCHY</vt:lpstr>
      <vt:lpstr>'Lumber assessments-SpecificDate'!LCHY</vt:lpstr>
      <vt:lpstr>'Lumber Assessments-Latest price'!LCHZ</vt:lpstr>
      <vt:lpstr>'Lumber assessments-SpecificDate'!LCHZ</vt:lpstr>
      <vt:lpstr>'Lumber Assessments-Latest price'!LCIA</vt:lpstr>
      <vt:lpstr>'Lumber assessments-SpecificDate'!LCIA</vt:lpstr>
      <vt:lpstr>'Lumber Assessments-Latest price'!LCIB</vt:lpstr>
      <vt:lpstr>'Lumber assessments-SpecificDate'!LCIB</vt:lpstr>
      <vt:lpstr>'Lumber Assessments-Latest price'!LCIC</vt:lpstr>
      <vt:lpstr>'Lumber assessments-SpecificDate'!LCIC</vt:lpstr>
      <vt:lpstr>'Lumber Assessments-Latest price'!LCID</vt:lpstr>
      <vt:lpstr>'Lumber assessments-SpecificDate'!LCID</vt:lpstr>
      <vt:lpstr>'Lumber Assessments-Latest price'!LCIE</vt:lpstr>
      <vt:lpstr>'Lumber assessments-SpecificDate'!LCIE</vt:lpstr>
      <vt:lpstr>'Lumber Assessments-Latest price'!LCIF</vt:lpstr>
      <vt:lpstr>'Lumber assessments-SpecificDate'!LCIF</vt:lpstr>
      <vt:lpstr>'Lumber Assessments-Latest price'!LCIG</vt:lpstr>
      <vt:lpstr>'Lumber assessments-SpecificDate'!LCIG</vt:lpstr>
      <vt:lpstr>'Lumber Assessments-Latest price'!LCIH</vt:lpstr>
      <vt:lpstr>'Lumber assessments-SpecificDate'!LCIH</vt:lpstr>
      <vt:lpstr>'Lumber Assessments-Latest price'!LCII</vt:lpstr>
      <vt:lpstr>'Lumber assessments-SpecificDate'!LCII</vt:lpstr>
      <vt:lpstr>'Lumber Assessments-Latest price'!LCIJ</vt:lpstr>
      <vt:lpstr>'Lumber assessments-SpecificDate'!LCIJ</vt:lpstr>
      <vt:lpstr>'Lumber Assessments-Latest price'!LCIK</vt:lpstr>
      <vt:lpstr>'Lumber assessments-SpecificDate'!LCIK</vt:lpstr>
      <vt:lpstr>'Lumber Assessments-Latest price'!LCIL</vt:lpstr>
      <vt:lpstr>'Lumber assessments-SpecificDate'!LCIL</vt:lpstr>
      <vt:lpstr>'Lumber Assessments-Latest price'!LCIM</vt:lpstr>
      <vt:lpstr>'Lumber assessments-SpecificDate'!LCIM</vt:lpstr>
      <vt:lpstr>'Lumber Assessments-Latest price'!LCIN</vt:lpstr>
      <vt:lpstr>'Lumber assessments-SpecificDate'!LCIN</vt:lpstr>
      <vt:lpstr>'Lumber Assessments-Latest price'!LCIO</vt:lpstr>
      <vt:lpstr>'Lumber assessments-SpecificDate'!LCIO</vt:lpstr>
      <vt:lpstr>'Lumber Assessments-Latest price'!LCIP</vt:lpstr>
      <vt:lpstr>'Lumber assessments-SpecificDate'!LCIP</vt:lpstr>
      <vt:lpstr>'Lumber Assessments-Latest price'!LCIQ</vt:lpstr>
      <vt:lpstr>'Lumber assessments-SpecificDate'!LCIQ</vt:lpstr>
      <vt:lpstr>'Lumber Assessments-Latest price'!LCIR</vt:lpstr>
      <vt:lpstr>'Lumber assessments-SpecificDate'!LCIR</vt:lpstr>
      <vt:lpstr>'Lumber Assessments-Latest price'!LCIS</vt:lpstr>
      <vt:lpstr>'Lumber assessments-SpecificDate'!LCIS</vt:lpstr>
      <vt:lpstr>'Lumber Assessments-Latest price'!LCIT</vt:lpstr>
      <vt:lpstr>'Lumber assessments-SpecificDate'!LCIT</vt:lpstr>
      <vt:lpstr>'Lumber Assessments-Latest price'!LCIU</vt:lpstr>
      <vt:lpstr>'Lumber assessments-SpecificDate'!LCIU</vt:lpstr>
      <vt:lpstr>'Lumber Assessments-Latest price'!LCIV</vt:lpstr>
      <vt:lpstr>'Lumber assessments-SpecificDate'!LCIV</vt:lpstr>
      <vt:lpstr>'Lumber Assessments-Latest price'!LCIW</vt:lpstr>
      <vt:lpstr>'Lumber assessments-SpecificDate'!LCIW</vt:lpstr>
      <vt:lpstr>'Lumber Assessments-Latest price'!LCIX</vt:lpstr>
      <vt:lpstr>'Lumber assessments-SpecificDate'!LCIX</vt:lpstr>
      <vt:lpstr>'Lumber Assessments-Latest price'!LCIY</vt:lpstr>
      <vt:lpstr>'Lumber assessments-SpecificDate'!LCIY</vt:lpstr>
      <vt:lpstr>'Lumber Assessments-Latest price'!LCIZ</vt:lpstr>
      <vt:lpstr>'Lumber assessments-SpecificDate'!LCIZ</vt:lpstr>
      <vt:lpstr>'Lumber Assessments-Latest price'!LCJA</vt:lpstr>
      <vt:lpstr>'Lumber assessments-SpecificDate'!LCJA</vt:lpstr>
      <vt:lpstr>'Lumber Assessments-Latest price'!LCJB</vt:lpstr>
      <vt:lpstr>'Lumber assessments-SpecificDate'!LCJB</vt:lpstr>
      <vt:lpstr>'Lumber Assessments-Latest price'!LCJC</vt:lpstr>
      <vt:lpstr>'Lumber assessments-SpecificDate'!LCJC</vt:lpstr>
      <vt:lpstr>'Lumber Assessments-Latest price'!LCJD</vt:lpstr>
      <vt:lpstr>'Lumber assessments-SpecificDate'!LCJD</vt:lpstr>
      <vt:lpstr>'Lumber Assessments-Latest price'!LCJE</vt:lpstr>
      <vt:lpstr>'Lumber assessments-SpecificDate'!LCJE</vt:lpstr>
      <vt:lpstr>'Lumber Assessments-Latest price'!LCJF</vt:lpstr>
      <vt:lpstr>'Lumber assessments-SpecificDate'!LCJF</vt:lpstr>
      <vt:lpstr>'Lumber Assessments-Latest price'!LCJG</vt:lpstr>
      <vt:lpstr>'Lumber assessments-SpecificDate'!LCJG</vt:lpstr>
      <vt:lpstr>'Lumber Assessments-Latest price'!LCJH</vt:lpstr>
      <vt:lpstr>'Lumber assessments-SpecificDate'!LCJH</vt:lpstr>
      <vt:lpstr>'Lumber Assessments-Latest price'!LCJI</vt:lpstr>
      <vt:lpstr>'Lumber assessments-SpecificDate'!LCJI</vt:lpstr>
      <vt:lpstr>'Lumber Assessments-Latest price'!LCJJ</vt:lpstr>
      <vt:lpstr>'Lumber assessments-SpecificDate'!LCJJ</vt:lpstr>
      <vt:lpstr>'Lumber Assessments-Latest price'!LCJK</vt:lpstr>
      <vt:lpstr>'Lumber assessments-SpecificDate'!LCJK</vt:lpstr>
      <vt:lpstr>'Lumber Assessments-Latest price'!LCJL</vt:lpstr>
      <vt:lpstr>'Lumber assessments-SpecificDate'!LCJL</vt:lpstr>
      <vt:lpstr>'Lumber Assessments-Latest price'!LCJM</vt:lpstr>
      <vt:lpstr>'Lumber assessments-SpecificDate'!LCJM</vt:lpstr>
      <vt:lpstr>'Lumber Assessments-Latest price'!LCJN</vt:lpstr>
      <vt:lpstr>'Lumber assessments-SpecificDate'!LCJN</vt:lpstr>
      <vt:lpstr>'Lumber Assessments-Latest price'!LCJO</vt:lpstr>
      <vt:lpstr>'Lumber assessments-SpecificDate'!LCJO</vt:lpstr>
      <vt:lpstr>'Lumber Assessments-Latest price'!LCJP</vt:lpstr>
      <vt:lpstr>'Lumber assessments-SpecificDate'!LCJP</vt:lpstr>
      <vt:lpstr>'Lumber Assessments-Latest price'!LCJQ</vt:lpstr>
      <vt:lpstr>'Lumber assessments-SpecificDate'!LCJQ</vt:lpstr>
      <vt:lpstr>'Lumber Assessments-Latest price'!LCJR</vt:lpstr>
      <vt:lpstr>'Lumber assessments-SpecificDate'!LCJR</vt:lpstr>
      <vt:lpstr>'Lumber Assessments-Latest price'!LCJS</vt:lpstr>
      <vt:lpstr>'Lumber assessments-SpecificDate'!LCJS</vt:lpstr>
      <vt:lpstr>'Lumber Assessments-Latest price'!LCJT</vt:lpstr>
      <vt:lpstr>'Lumber assessments-SpecificDate'!LCJT</vt:lpstr>
      <vt:lpstr>'Lumber Assessments-Latest price'!LCJU</vt:lpstr>
      <vt:lpstr>'Lumber assessments-SpecificDate'!LCJU</vt:lpstr>
      <vt:lpstr>'Lumber Assessments-Latest price'!LCJV</vt:lpstr>
      <vt:lpstr>'Lumber assessments-SpecificDate'!LCJV</vt:lpstr>
      <vt:lpstr>'Lumber Assessments-Latest price'!LCJW</vt:lpstr>
      <vt:lpstr>'Lumber assessments-SpecificDate'!LCJW</vt:lpstr>
      <vt:lpstr>'Lumber Assessments-Latest price'!LCJX</vt:lpstr>
      <vt:lpstr>'Lumber assessments-SpecificDate'!LCJX</vt:lpstr>
      <vt:lpstr>'Lumber Assessments-Latest price'!LCJY</vt:lpstr>
      <vt:lpstr>'Lumber assessments-SpecificDate'!LCJY</vt:lpstr>
      <vt:lpstr>'Lumber Assessments-Latest price'!LCJZ</vt:lpstr>
      <vt:lpstr>'Lumber assessments-SpecificDate'!LCJZ</vt:lpstr>
      <vt:lpstr>'Lumber Assessments-Latest price'!LCKA</vt:lpstr>
      <vt:lpstr>'Lumber assessments-SpecificDate'!LCKA</vt:lpstr>
      <vt:lpstr>'Lumber Assessments-Latest price'!LCKB</vt:lpstr>
      <vt:lpstr>'Lumber assessments-SpecificDate'!LCKB</vt:lpstr>
      <vt:lpstr>'Lumber Assessments-Latest price'!LCKC</vt:lpstr>
      <vt:lpstr>'Lumber assessments-SpecificDate'!LCKC</vt:lpstr>
      <vt:lpstr>'Lumber Assessments-Latest price'!LCKD</vt:lpstr>
      <vt:lpstr>'Lumber assessments-SpecificDate'!LCKD</vt:lpstr>
      <vt:lpstr>'Lumber Assessments-Latest price'!LCKE</vt:lpstr>
      <vt:lpstr>'Lumber assessments-SpecificDate'!LCKE</vt:lpstr>
      <vt:lpstr>'Lumber Assessments-Latest price'!LCKF</vt:lpstr>
      <vt:lpstr>'Lumber assessments-SpecificDate'!LCKF</vt:lpstr>
      <vt:lpstr>'Lumber Assessments-Latest price'!LCKG</vt:lpstr>
      <vt:lpstr>'Lumber assessments-SpecificDate'!LCKG</vt:lpstr>
      <vt:lpstr>'Lumber Assessments-Latest price'!LCKH</vt:lpstr>
      <vt:lpstr>'Lumber assessments-SpecificDate'!LCKH</vt:lpstr>
      <vt:lpstr>'Lumber Assessments-Latest price'!LCKI</vt:lpstr>
      <vt:lpstr>'Lumber assessments-SpecificDate'!LCKI</vt:lpstr>
      <vt:lpstr>'Lumber Assessments-Latest price'!LCKJ</vt:lpstr>
      <vt:lpstr>'Lumber assessments-SpecificDate'!LCKJ</vt:lpstr>
      <vt:lpstr>'Lumber Assessments-Latest price'!LCKK</vt:lpstr>
      <vt:lpstr>'Lumber assessments-SpecificDate'!LCKK</vt:lpstr>
      <vt:lpstr>'Lumber Assessments-Latest price'!LCKL</vt:lpstr>
      <vt:lpstr>'Lumber assessments-SpecificDate'!LCKL</vt:lpstr>
      <vt:lpstr>'Lumber Assessments-Latest price'!LCKM</vt:lpstr>
      <vt:lpstr>'Lumber assessments-SpecificDate'!LCKM</vt:lpstr>
      <vt:lpstr>'Lumber Assessments-Latest price'!LCKN</vt:lpstr>
      <vt:lpstr>'Lumber assessments-SpecificDate'!LCKN</vt:lpstr>
      <vt:lpstr>'Lumber Assessments-Latest price'!LCKO</vt:lpstr>
      <vt:lpstr>'Lumber assessments-SpecificDate'!LCKO</vt:lpstr>
      <vt:lpstr>'Lumber Assessments-Latest price'!LCKP</vt:lpstr>
      <vt:lpstr>'Lumber assessments-SpecificDate'!LCKP</vt:lpstr>
      <vt:lpstr>'Lumber Assessments-Latest price'!LCKQ</vt:lpstr>
      <vt:lpstr>'Lumber assessments-SpecificDate'!LCKQ</vt:lpstr>
      <vt:lpstr>'Lumber Assessments-Latest price'!LCKR</vt:lpstr>
      <vt:lpstr>'Lumber assessments-SpecificDate'!LCKR</vt:lpstr>
      <vt:lpstr>'Lumber Assessments-Latest price'!LCKS</vt:lpstr>
      <vt:lpstr>'Lumber assessments-SpecificDate'!LCKS</vt:lpstr>
      <vt:lpstr>'Lumber Assessments-Latest price'!LCKT</vt:lpstr>
      <vt:lpstr>'Lumber assessments-SpecificDate'!LCKT</vt:lpstr>
      <vt:lpstr>'Lumber Assessments-Latest price'!LCKU</vt:lpstr>
      <vt:lpstr>'Lumber assessments-SpecificDate'!LCKU</vt:lpstr>
      <vt:lpstr>'Lumber Assessments-Latest price'!LCKV</vt:lpstr>
      <vt:lpstr>'Lumber assessments-SpecificDate'!LCKV</vt:lpstr>
      <vt:lpstr>'Lumber Assessments-Latest price'!LCKW</vt:lpstr>
      <vt:lpstr>'Lumber assessments-SpecificDate'!LCKW</vt:lpstr>
      <vt:lpstr>'Lumber Assessments-Latest price'!LCKX</vt:lpstr>
      <vt:lpstr>'Lumber assessments-SpecificDate'!LCKX</vt:lpstr>
      <vt:lpstr>'Lumber Assessments-Latest price'!LCKY</vt:lpstr>
      <vt:lpstr>'Lumber assessments-SpecificDate'!LCKY</vt:lpstr>
      <vt:lpstr>'Lumber Assessments-Latest price'!LCKZ</vt:lpstr>
      <vt:lpstr>'Lumber assessments-SpecificDate'!LCKZ</vt:lpstr>
      <vt:lpstr>'Lumber Assessments-Latest price'!LCLA</vt:lpstr>
      <vt:lpstr>'Lumber assessments-SpecificDate'!LCLA</vt:lpstr>
      <vt:lpstr>'Lumber Assessments-Latest price'!LCLB</vt:lpstr>
      <vt:lpstr>'Lumber assessments-SpecificDate'!LCLB</vt:lpstr>
      <vt:lpstr>'Lumber Assessments-Latest price'!LCLC</vt:lpstr>
      <vt:lpstr>'Lumber assessments-SpecificDate'!LCLC</vt:lpstr>
      <vt:lpstr>'Lumber Assessments-Latest price'!LCLD</vt:lpstr>
      <vt:lpstr>'Lumber assessments-SpecificDate'!LCLD</vt:lpstr>
      <vt:lpstr>'Lumber Assessments-Latest price'!LCLE</vt:lpstr>
      <vt:lpstr>'Lumber assessments-SpecificDate'!LCLE</vt:lpstr>
      <vt:lpstr>'Lumber Assessments-Latest price'!LCLF</vt:lpstr>
      <vt:lpstr>'Lumber assessments-SpecificDate'!LCLF</vt:lpstr>
      <vt:lpstr>'Lumber Assessments-Latest price'!LCLG</vt:lpstr>
      <vt:lpstr>'Lumber assessments-SpecificDate'!LCLG</vt:lpstr>
      <vt:lpstr>'Lumber Assessments-Latest price'!LCLH</vt:lpstr>
      <vt:lpstr>'Lumber assessments-SpecificDate'!LCLH</vt:lpstr>
      <vt:lpstr>'Lumber Assessments-Latest price'!LCLI</vt:lpstr>
      <vt:lpstr>'Lumber assessments-SpecificDate'!LCLI</vt:lpstr>
      <vt:lpstr>'Lumber Assessments-Latest price'!LCLJ</vt:lpstr>
      <vt:lpstr>'Lumber assessments-SpecificDate'!LCLJ</vt:lpstr>
      <vt:lpstr>'Lumber Assessments-Latest price'!LCLK</vt:lpstr>
      <vt:lpstr>'Lumber assessments-SpecificDate'!LCLK</vt:lpstr>
      <vt:lpstr>'Lumber Assessments-Latest price'!LCLL</vt:lpstr>
      <vt:lpstr>'Lumber assessments-SpecificDate'!LCLL</vt:lpstr>
      <vt:lpstr>'Lumber Assessments-Latest price'!LCLM</vt:lpstr>
      <vt:lpstr>'Lumber assessments-SpecificDate'!LCLM</vt:lpstr>
      <vt:lpstr>'Lumber Assessments-Latest price'!LCLN</vt:lpstr>
      <vt:lpstr>'Lumber assessments-SpecificDate'!LCLN</vt:lpstr>
      <vt:lpstr>'Lumber Assessments-Latest price'!LCLO</vt:lpstr>
      <vt:lpstr>'Lumber assessments-SpecificDate'!LCLO</vt:lpstr>
      <vt:lpstr>'Lumber Assessments-Latest price'!LCLP</vt:lpstr>
      <vt:lpstr>'Lumber assessments-SpecificDate'!LCLP</vt:lpstr>
      <vt:lpstr>'Lumber Assessments-Latest price'!LCLQ</vt:lpstr>
      <vt:lpstr>'Lumber assessments-SpecificDate'!LCLQ</vt:lpstr>
      <vt:lpstr>'Lumber Assessments-Latest price'!LCLR</vt:lpstr>
      <vt:lpstr>'Lumber assessments-SpecificDate'!LCLR</vt:lpstr>
      <vt:lpstr>'Lumber Assessments-Latest price'!LCLS</vt:lpstr>
      <vt:lpstr>'Lumber assessments-SpecificDate'!LCLS</vt:lpstr>
      <vt:lpstr>'Lumber Assessments-Latest price'!LCLT</vt:lpstr>
      <vt:lpstr>'Lumber assessments-SpecificDate'!LCLT</vt:lpstr>
      <vt:lpstr>'Lumber Assessments-Latest price'!LCLU</vt:lpstr>
      <vt:lpstr>'Lumber assessments-SpecificDate'!LCLU</vt:lpstr>
      <vt:lpstr>'Lumber Assessments-Latest price'!LCLW</vt:lpstr>
      <vt:lpstr>'Lumber assessments-SpecificDate'!LCLW</vt:lpstr>
      <vt:lpstr>'Lumber Assessments-Latest price'!LCLX</vt:lpstr>
      <vt:lpstr>'Lumber assessments-SpecificDate'!LCLX</vt:lpstr>
      <vt:lpstr>'Lumber Assessments-Latest price'!LCLY</vt:lpstr>
      <vt:lpstr>'Lumber assessments-SpecificDate'!LCLY</vt:lpstr>
      <vt:lpstr>'Lumber Assessments-Latest price'!LCLZ</vt:lpstr>
      <vt:lpstr>'Lumber assessments-SpecificDate'!LCLZ</vt:lpstr>
      <vt:lpstr>'Lumber Assessments-Latest price'!LCMA</vt:lpstr>
      <vt:lpstr>'Lumber assessments-SpecificDate'!LCMA</vt:lpstr>
      <vt:lpstr>'Lumber Assessments-Latest price'!LCMB</vt:lpstr>
      <vt:lpstr>'Lumber assessments-SpecificDate'!LCMB</vt:lpstr>
      <vt:lpstr>'Lumber Assessments-Latest price'!LCMC</vt:lpstr>
      <vt:lpstr>'Lumber assessments-SpecificDate'!LCMC</vt:lpstr>
      <vt:lpstr>'Lumber Assessments-Latest price'!LCMD</vt:lpstr>
      <vt:lpstr>'Lumber assessments-SpecificDate'!LCMD</vt:lpstr>
      <vt:lpstr>'Lumber Assessments-Latest price'!LCME</vt:lpstr>
      <vt:lpstr>'Lumber assessments-SpecificDate'!LCME</vt:lpstr>
      <vt:lpstr>'Lumber Assessments-Latest price'!LCMF</vt:lpstr>
      <vt:lpstr>'Lumber assessments-SpecificDate'!LCMF</vt:lpstr>
      <vt:lpstr>'Lumber Assessments-Latest price'!LCMG</vt:lpstr>
      <vt:lpstr>'Lumber assessments-SpecificDate'!LCMG</vt:lpstr>
      <vt:lpstr>'Lumber Assessments-Latest price'!LCMH</vt:lpstr>
      <vt:lpstr>'Lumber assessments-SpecificDate'!LCMH</vt:lpstr>
      <vt:lpstr>'Lumber Assessments-Latest price'!LCMI</vt:lpstr>
      <vt:lpstr>'Lumber assessments-SpecificDate'!LCMI</vt:lpstr>
      <vt:lpstr>'Lumber Assessments-Latest price'!LCMJ</vt:lpstr>
      <vt:lpstr>'Lumber assessments-SpecificDate'!LCMJ</vt:lpstr>
      <vt:lpstr>'Lumber Assessments-Latest price'!LCMK</vt:lpstr>
      <vt:lpstr>'Lumber assessments-SpecificDate'!LCMK</vt:lpstr>
      <vt:lpstr>'Lumber Assessments-Latest price'!LCML</vt:lpstr>
      <vt:lpstr>'Lumber assessments-SpecificDate'!LCML</vt:lpstr>
      <vt:lpstr>'Lumber Assessments-Latest price'!LCMM</vt:lpstr>
      <vt:lpstr>'Lumber assessments-SpecificDate'!LCMM</vt:lpstr>
      <vt:lpstr>'Lumber Assessments-Latest price'!LCMN</vt:lpstr>
      <vt:lpstr>'Lumber assessments-SpecificDate'!LCMN</vt:lpstr>
      <vt:lpstr>'Lumber Assessments-Latest price'!LCMO</vt:lpstr>
      <vt:lpstr>'Lumber assessments-SpecificDate'!LCMO</vt:lpstr>
      <vt:lpstr>'Lumber Assessments-Latest price'!LCMP</vt:lpstr>
      <vt:lpstr>'Lumber assessments-SpecificDate'!LCMP</vt:lpstr>
      <vt:lpstr>'Lumber Assessments-Latest price'!LCMQ</vt:lpstr>
      <vt:lpstr>'Lumber assessments-SpecificDate'!LCMQ</vt:lpstr>
      <vt:lpstr>'Lumber Assessments-Latest price'!LCMR</vt:lpstr>
      <vt:lpstr>'Lumber assessments-SpecificDate'!LCMR</vt:lpstr>
      <vt:lpstr>'Lumber Assessments-Latest price'!LCMS</vt:lpstr>
      <vt:lpstr>'Lumber assessments-SpecificDate'!LCMS</vt:lpstr>
      <vt:lpstr>'Lumber Assessments-Latest price'!LCMT</vt:lpstr>
      <vt:lpstr>'Lumber assessments-SpecificDate'!LCMT</vt:lpstr>
      <vt:lpstr>'Lumber Assessments-Latest price'!LCMV</vt:lpstr>
      <vt:lpstr>'Lumber assessments-SpecificDate'!LCMV</vt:lpstr>
      <vt:lpstr>'Lumber Assessments-Latest price'!LCMW</vt:lpstr>
      <vt:lpstr>'Lumber assessments-SpecificDate'!LCMW</vt:lpstr>
      <vt:lpstr>'Lumber Assessments-Latest price'!LCMX</vt:lpstr>
      <vt:lpstr>'Lumber assessments-SpecificDate'!LCMX</vt:lpstr>
      <vt:lpstr>'Lumber Assessments-Latest price'!LCMY</vt:lpstr>
      <vt:lpstr>'Lumber assessments-SpecificDate'!LCMY</vt:lpstr>
      <vt:lpstr>'Lumber Assessments-Latest price'!LCMZ</vt:lpstr>
      <vt:lpstr>'Lumber assessments-SpecificDate'!LCMZ</vt:lpstr>
      <vt:lpstr>'Lumber Assessments-Latest price'!LCNA</vt:lpstr>
      <vt:lpstr>'Lumber assessments-SpecificDate'!LCNA</vt:lpstr>
      <vt:lpstr>'Lumber Assessments-Latest price'!LCNB</vt:lpstr>
      <vt:lpstr>'Lumber assessments-SpecificDate'!LCNB</vt:lpstr>
      <vt:lpstr>'Lumber Assessments-Latest price'!LCNC</vt:lpstr>
      <vt:lpstr>'Lumber assessments-SpecificDate'!LCNC</vt:lpstr>
      <vt:lpstr>'Lumber Assessments-Latest price'!LCND</vt:lpstr>
      <vt:lpstr>'Lumber assessments-SpecificDate'!LCND</vt:lpstr>
      <vt:lpstr>'Lumber Assessments-Latest price'!LCNE</vt:lpstr>
      <vt:lpstr>'Lumber assessments-SpecificDate'!LCNE</vt:lpstr>
      <vt:lpstr>'Lumber Assessments-Latest price'!LCNF</vt:lpstr>
      <vt:lpstr>'Lumber assessments-SpecificDate'!LCNF</vt:lpstr>
      <vt:lpstr>'Lumber Assessments-Latest price'!LCNG</vt:lpstr>
      <vt:lpstr>'Lumber assessments-SpecificDate'!LCNG</vt:lpstr>
      <vt:lpstr>'Lumber Assessments-Latest price'!LCNH</vt:lpstr>
      <vt:lpstr>'Lumber assessments-SpecificDate'!LCNH</vt:lpstr>
      <vt:lpstr>'Lumber Assessments-Latest price'!LCNI</vt:lpstr>
      <vt:lpstr>'Lumber assessments-SpecificDate'!LCNI</vt:lpstr>
      <vt:lpstr>'Lumber Assessments-Latest price'!LCNJ</vt:lpstr>
      <vt:lpstr>'Lumber assessments-SpecificDate'!LCNJ</vt:lpstr>
      <vt:lpstr>'Lumber Assessments-Latest price'!LCNK</vt:lpstr>
      <vt:lpstr>'Lumber assessments-SpecificDate'!LCNK</vt:lpstr>
      <vt:lpstr>'Lumber Assessments-Latest price'!LCNL</vt:lpstr>
      <vt:lpstr>'Lumber assessments-SpecificDate'!LCNL</vt:lpstr>
      <vt:lpstr>'Lumber Assessments-Latest price'!LCNM</vt:lpstr>
      <vt:lpstr>'Lumber assessments-SpecificDate'!LCNM</vt:lpstr>
      <vt:lpstr>'Lumber Assessments-Latest price'!LCNN</vt:lpstr>
      <vt:lpstr>'Lumber assessments-SpecificDate'!LCNN</vt:lpstr>
      <vt:lpstr>'Lumber Assessments-Latest price'!LCNO</vt:lpstr>
      <vt:lpstr>'Lumber assessments-SpecificDate'!LCNO</vt:lpstr>
      <vt:lpstr>'Lumber Assessments-Latest price'!LCNP</vt:lpstr>
      <vt:lpstr>'Lumber assessments-SpecificDate'!LCNP</vt:lpstr>
      <vt:lpstr>'Lumber Assessments-Latest price'!LCNQ</vt:lpstr>
      <vt:lpstr>'Lumber assessments-SpecificDate'!LCNQ</vt:lpstr>
      <vt:lpstr>'Lumber Assessments-Latest price'!LCNR</vt:lpstr>
      <vt:lpstr>'Lumber assessments-SpecificDate'!LCNR</vt:lpstr>
      <vt:lpstr>'Lumber Assessments-Latest price'!LCNS</vt:lpstr>
      <vt:lpstr>'Lumber assessments-SpecificDate'!LCNS</vt:lpstr>
      <vt:lpstr>'Lumber Assessments-Latest price'!LCNT</vt:lpstr>
      <vt:lpstr>'Lumber assessments-SpecificDate'!LCNT</vt:lpstr>
      <vt:lpstr>'Lumber Assessments-Latest price'!LCNU</vt:lpstr>
      <vt:lpstr>'Lumber assessments-SpecificDate'!LCNU</vt:lpstr>
      <vt:lpstr>'Lumber Assessments-Latest price'!LCNV</vt:lpstr>
      <vt:lpstr>'Lumber assessments-SpecificDate'!LCNV</vt:lpstr>
      <vt:lpstr>'Lumber Assessments-Latest price'!LCNW</vt:lpstr>
      <vt:lpstr>'Lumber assessments-SpecificDate'!LCNW</vt:lpstr>
      <vt:lpstr>'Lumber Assessments-Latest price'!LCNX</vt:lpstr>
      <vt:lpstr>'Lumber assessments-SpecificDate'!LCNX</vt:lpstr>
      <vt:lpstr>'Lumber Assessments-Latest price'!LCNY</vt:lpstr>
      <vt:lpstr>'Lumber assessments-SpecificDate'!LCNY</vt:lpstr>
      <vt:lpstr>'Lumber Assessments-Latest price'!LCNZ</vt:lpstr>
      <vt:lpstr>'Lumber assessments-SpecificDate'!LCNZ</vt:lpstr>
      <vt:lpstr>'Lumber Assessments-Latest price'!LCOA</vt:lpstr>
      <vt:lpstr>'Lumber assessments-SpecificDate'!LCOA</vt:lpstr>
      <vt:lpstr>'Lumber Assessments-Latest price'!LCOB</vt:lpstr>
      <vt:lpstr>'Lumber assessments-SpecificDate'!LCOB</vt:lpstr>
      <vt:lpstr>'Lumber Assessments-Latest price'!LCOC</vt:lpstr>
      <vt:lpstr>'Lumber assessments-SpecificDate'!LCOC</vt:lpstr>
      <vt:lpstr>'Lumber Assessments-Latest price'!LCOD</vt:lpstr>
      <vt:lpstr>'Lumber assessments-SpecificDate'!LCOD</vt:lpstr>
      <vt:lpstr>'Lumber Assessments-Latest price'!LCOE</vt:lpstr>
      <vt:lpstr>'Lumber assessments-SpecificDate'!LCOE</vt:lpstr>
      <vt:lpstr>'Lumber Assessments-Latest price'!LCOF</vt:lpstr>
      <vt:lpstr>'Lumber assessments-SpecificDate'!LCOF</vt:lpstr>
      <vt:lpstr>'Lumber Assessments-Latest price'!LCOG</vt:lpstr>
      <vt:lpstr>'Lumber assessments-SpecificDate'!LCOG</vt:lpstr>
      <vt:lpstr>'Lumber Assessments-Latest price'!LCOH</vt:lpstr>
      <vt:lpstr>'Lumber assessments-SpecificDate'!LCOH</vt:lpstr>
      <vt:lpstr>'Lumber Assessments-Latest price'!LCOI</vt:lpstr>
      <vt:lpstr>'Lumber assessments-SpecificDate'!LCOI</vt:lpstr>
      <vt:lpstr>'Lumber Assessments-Latest price'!LCOJ</vt:lpstr>
      <vt:lpstr>'Lumber assessments-SpecificDate'!LCOJ</vt:lpstr>
      <vt:lpstr>'Lumber Assessments-Latest price'!LCOK</vt:lpstr>
      <vt:lpstr>'Lumber assessments-SpecificDate'!LCOK</vt:lpstr>
      <vt:lpstr>'Lumber Assessments-Latest price'!LCOL</vt:lpstr>
      <vt:lpstr>'Lumber assessments-SpecificDate'!LCOL</vt:lpstr>
      <vt:lpstr>'Lumber Assessments-Latest price'!LCOM</vt:lpstr>
      <vt:lpstr>'Lumber assessments-SpecificDate'!LCOM</vt:lpstr>
      <vt:lpstr>'Lumber Assessments-Latest price'!LCON</vt:lpstr>
      <vt:lpstr>'Lumber assessments-SpecificDate'!LCON</vt:lpstr>
      <vt:lpstr>'Lumber Assessments-Latest price'!LCOO</vt:lpstr>
      <vt:lpstr>'Lumber assessments-SpecificDate'!LCOO</vt:lpstr>
      <vt:lpstr>'Lumber Assessments-Latest price'!LCOP</vt:lpstr>
      <vt:lpstr>'Lumber assessments-SpecificDate'!LCOP</vt:lpstr>
      <vt:lpstr>'Lumber Assessments-Latest price'!LCOQ</vt:lpstr>
      <vt:lpstr>'Lumber assessments-SpecificDate'!LCOQ</vt:lpstr>
      <vt:lpstr>'Lumber Assessments-Latest price'!LCOR</vt:lpstr>
      <vt:lpstr>'Lumber assessments-SpecificDate'!LCOR</vt:lpstr>
      <vt:lpstr>'Lumber Assessments-Latest price'!LCOW</vt:lpstr>
      <vt:lpstr>'Lumber assessments-SpecificDate'!LCOW</vt:lpstr>
      <vt:lpstr>'Lumber Assessments-Latest price'!LCOX</vt:lpstr>
      <vt:lpstr>'Lumber assessments-SpecificDate'!LCOX</vt:lpstr>
      <vt:lpstr>'Lumber Assessments-Latest price'!LCOY</vt:lpstr>
      <vt:lpstr>'Lumber assessments-SpecificDate'!LCOY</vt:lpstr>
      <vt:lpstr>'Lumber Assessments-Latest price'!LCOZ</vt:lpstr>
      <vt:lpstr>'Lumber assessments-SpecificDate'!LCOZ</vt:lpstr>
      <vt:lpstr>'Lumber Assessments-Latest price'!LCPA</vt:lpstr>
      <vt:lpstr>'Lumber assessments-SpecificDate'!LCPA</vt:lpstr>
      <vt:lpstr>'Lumber Assessments-Latest price'!LCPB</vt:lpstr>
      <vt:lpstr>'Lumber assessments-SpecificDate'!LCPB</vt:lpstr>
      <vt:lpstr>'Lumber Assessments-Latest price'!LCPC</vt:lpstr>
      <vt:lpstr>'Lumber assessments-SpecificDate'!LCPC</vt:lpstr>
      <vt:lpstr>'Lumber Assessments-Latest price'!LCPD</vt:lpstr>
      <vt:lpstr>'Lumber assessments-SpecificDate'!LCPD</vt:lpstr>
      <vt:lpstr>'Lumber Assessments-Latest price'!LCPE</vt:lpstr>
      <vt:lpstr>'Lumber assessments-SpecificDate'!LCPE</vt:lpstr>
      <vt:lpstr>'Lumber Assessments-Latest price'!LCPF</vt:lpstr>
      <vt:lpstr>'Lumber assessments-SpecificDate'!LCPF</vt:lpstr>
      <vt:lpstr>'Lumber Assessments-Latest price'!LCPG</vt:lpstr>
      <vt:lpstr>'Lumber assessments-SpecificDate'!LCPG</vt:lpstr>
      <vt:lpstr>'Lumber Assessments-Latest price'!LCPH</vt:lpstr>
      <vt:lpstr>'Lumber assessments-SpecificDate'!LCPH</vt:lpstr>
      <vt:lpstr>'Lumber Assessments-Latest price'!LCPI</vt:lpstr>
      <vt:lpstr>'Lumber assessments-SpecificDate'!LCPI</vt:lpstr>
      <vt:lpstr>'Lumber Assessments-Latest price'!LCPJ</vt:lpstr>
      <vt:lpstr>'Lumber assessments-SpecificDate'!LCPJ</vt:lpstr>
      <vt:lpstr>'Lumber Assessments-Latest price'!LCPK</vt:lpstr>
      <vt:lpstr>'Lumber assessments-SpecificDate'!LCPK</vt:lpstr>
      <vt:lpstr>'Lumber Assessments-Latest price'!LCPL</vt:lpstr>
      <vt:lpstr>'Lumber assessments-SpecificDate'!LCPL</vt:lpstr>
      <vt:lpstr>'Lumber Assessments-Latest price'!LCPM</vt:lpstr>
      <vt:lpstr>'Lumber assessments-SpecificDate'!LCPM</vt:lpstr>
      <vt:lpstr>'Lumber Assessments-Latest price'!LCPN</vt:lpstr>
      <vt:lpstr>'Lumber assessments-SpecificDate'!LCPN</vt:lpstr>
      <vt:lpstr>'Lumber Assessments-Latest price'!LCPO</vt:lpstr>
      <vt:lpstr>'Lumber assessments-SpecificDate'!LCPO</vt:lpstr>
      <vt:lpstr>'Lumber Assessments-Latest price'!LCPP</vt:lpstr>
      <vt:lpstr>'Lumber assessments-SpecificDate'!LCPP</vt:lpstr>
      <vt:lpstr>'Lumber Assessments-Latest price'!LCPR</vt:lpstr>
      <vt:lpstr>'Lumber assessments-SpecificDate'!LCPR</vt:lpstr>
      <vt:lpstr>'Lumber Assessments-Latest price'!LCPS</vt:lpstr>
      <vt:lpstr>'Lumber assessments-SpecificDate'!LCPS</vt:lpstr>
      <vt:lpstr>'Lumber Assessments-Latest price'!LCPT</vt:lpstr>
      <vt:lpstr>'Lumber assessments-SpecificDate'!LCPT</vt:lpstr>
      <vt:lpstr>'Lumber Assessments-Latest price'!LCPU</vt:lpstr>
      <vt:lpstr>'Lumber assessments-SpecificDate'!LCPU</vt:lpstr>
      <vt:lpstr>'Lumber Assessments-Latest price'!LCPV</vt:lpstr>
      <vt:lpstr>'Lumber assessments-SpecificDate'!LCPV</vt:lpstr>
      <vt:lpstr>'Lumber Assessments-Latest price'!LCPW</vt:lpstr>
      <vt:lpstr>'Lumber assessments-SpecificDate'!LCPW</vt:lpstr>
      <vt:lpstr>'Lumber Assessments-Latest price'!LCPX</vt:lpstr>
      <vt:lpstr>'Lumber assessments-SpecificDate'!LCPX</vt:lpstr>
      <vt:lpstr>'Lumber Assessments-Latest price'!LCPY</vt:lpstr>
      <vt:lpstr>'Lumber assessments-SpecificDate'!LCPY</vt:lpstr>
      <vt:lpstr>'Lumber Assessments-Latest price'!LCPZ</vt:lpstr>
      <vt:lpstr>'Lumber assessments-SpecificDate'!LCPZ</vt:lpstr>
      <vt:lpstr>'Lumber Assessments-Latest price'!LCQA</vt:lpstr>
      <vt:lpstr>'Lumber assessments-SpecificDate'!LCQA</vt:lpstr>
      <vt:lpstr>'Lumber Assessments-Latest price'!LCQB</vt:lpstr>
      <vt:lpstr>'Lumber assessments-SpecificDate'!LCQB</vt:lpstr>
      <vt:lpstr>'Lumber Assessments-Latest price'!LCQC</vt:lpstr>
      <vt:lpstr>'Lumber assessments-SpecificDate'!LCQC</vt:lpstr>
      <vt:lpstr>'Lumber Assessments-Latest price'!LCQD</vt:lpstr>
      <vt:lpstr>'Lumber assessments-SpecificDate'!LCQD</vt:lpstr>
      <vt:lpstr>'Lumber Assessments-Latest price'!LCQE</vt:lpstr>
      <vt:lpstr>'Lumber assessments-SpecificDate'!LCQE</vt:lpstr>
      <vt:lpstr>'Lumber Assessments-Latest price'!LCQF</vt:lpstr>
      <vt:lpstr>'Lumber assessments-SpecificDate'!LCQF</vt:lpstr>
      <vt:lpstr>'Lumber Assessments-Latest price'!LCQG</vt:lpstr>
      <vt:lpstr>'Lumber assessments-SpecificDate'!LCQG</vt:lpstr>
      <vt:lpstr>'Lumber Assessments-Latest price'!LCQH</vt:lpstr>
      <vt:lpstr>'Lumber assessments-SpecificDate'!LCQH</vt:lpstr>
      <vt:lpstr>'Lumber Assessments-Latest price'!LCQI</vt:lpstr>
      <vt:lpstr>'Lumber assessments-SpecificDate'!LCQI</vt:lpstr>
      <vt:lpstr>'Lumber Assessments-Latest price'!LCQJ</vt:lpstr>
      <vt:lpstr>'Lumber assessments-SpecificDate'!LCQJ</vt:lpstr>
      <vt:lpstr>'Lumber Assessments-Latest price'!LCQK</vt:lpstr>
      <vt:lpstr>'Lumber assessments-SpecificDate'!LCQK</vt:lpstr>
      <vt:lpstr>'Lumber Assessments-Latest price'!LCQL</vt:lpstr>
      <vt:lpstr>'Lumber assessments-SpecificDate'!LCQL</vt:lpstr>
      <vt:lpstr>'Lumber Assessments-Latest price'!LCQM</vt:lpstr>
      <vt:lpstr>'Lumber assessments-SpecificDate'!LCQM</vt:lpstr>
      <vt:lpstr>'Lumber Assessments-Latest price'!LCQN</vt:lpstr>
      <vt:lpstr>'Lumber assessments-SpecificDate'!LCQN</vt:lpstr>
      <vt:lpstr>'Lumber Assessments-Latest price'!LCQO</vt:lpstr>
      <vt:lpstr>'Lumber assessments-SpecificDate'!LCQO</vt:lpstr>
      <vt:lpstr>'Lumber Assessments-Latest price'!LCQP</vt:lpstr>
      <vt:lpstr>'Lumber assessments-SpecificDate'!LCQP</vt:lpstr>
      <vt:lpstr>'Lumber Assessments-Latest price'!LCQQ</vt:lpstr>
      <vt:lpstr>'Lumber assessments-SpecificDate'!LCQQ</vt:lpstr>
      <vt:lpstr>'Lumber Assessments-Latest price'!LCQR</vt:lpstr>
      <vt:lpstr>'Lumber assessments-SpecificDate'!LCQR</vt:lpstr>
      <vt:lpstr>'Lumber Assessments-Latest price'!LCQS</vt:lpstr>
      <vt:lpstr>'Lumber assessments-SpecificDate'!LCQS</vt:lpstr>
      <vt:lpstr>'Lumber Assessments-Latest price'!LCQT</vt:lpstr>
      <vt:lpstr>'Lumber assessments-SpecificDate'!LCQT</vt:lpstr>
      <vt:lpstr>'Lumber Assessments-Latest price'!LCQU</vt:lpstr>
      <vt:lpstr>'Lumber assessments-SpecificDate'!LCQU</vt:lpstr>
      <vt:lpstr>'Lumber Assessments-Latest price'!LCQV</vt:lpstr>
      <vt:lpstr>'Lumber assessments-SpecificDate'!LCQV</vt:lpstr>
      <vt:lpstr>'Lumber Assessments-Latest price'!LCQW</vt:lpstr>
      <vt:lpstr>'Lumber assessments-SpecificDate'!LCQW</vt:lpstr>
      <vt:lpstr>'Lumber Assessments-Latest price'!LCQX</vt:lpstr>
      <vt:lpstr>'Lumber assessments-SpecificDate'!LCQX</vt:lpstr>
      <vt:lpstr>'Lumber Assessments-Latest price'!LCQY</vt:lpstr>
      <vt:lpstr>'Lumber assessments-SpecificDate'!LCQY</vt:lpstr>
      <vt:lpstr>'Lumber Assessments-Latest price'!LCQZ</vt:lpstr>
      <vt:lpstr>'Lumber assessments-SpecificDate'!LCQZ</vt:lpstr>
      <vt:lpstr>'Lumber Assessments-Latest price'!LCRA</vt:lpstr>
      <vt:lpstr>'Lumber assessments-SpecificDate'!LCRA</vt:lpstr>
      <vt:lpstr>'Lumber Assessments-Latest price'!LCRB</vt:lpstr>
      <vt:lpstr>'Lumber assessments-SpecificDate'!LCRB</vt:lpstr>
      <vt:lpstr>'Lumber Assessments-Latest price'!LCRC</vt:lpstr>
      <vt:lpstr>'Lumber assessments-SpecificDate'!LCRC</vt:lpstr>
      <vt:lpstr>'Lumber Assessments-Latest price'!LCRD</vt:lpstr>
      <vt:lpstr>'Lumber assessments-SpecificDate'!LCRD</vt:lpstr>
      <vt:lpstr>'Lumber Assessments-Latest price'!LCRE</vt:lpstr>
      <vt:lpstr>'Lumber assessments-SpecificDate'!LCRE</vt:lpstr>
      <vt:lpstr>'Lumber Assessments-Latest price'!LCRF</vt:lpstr>
      <vt:lpstr>'Lumber assessments-SpecificDate'!LCRF</vt:lpstr>
      <vt:lpstr>'Lumber Assessments-Latest price'!LCRG</vt:lpstr>
      <vt:lpstr>'Lumber assessments-SpecificDate'!LCRG</vt:lpstr>
      <vt:lpstr>'Lumber Assessments-Latest price'!LCRH</vt:lpstr>
      <vt:lpstr>'Lumber assessments-SpecificDate'!LCRH</vt:lpstr>
      <vt:lpstr>'Lumber Assessments-Latest price'!LCRI</vt:lpstr>
      <vt:lpstr>'Lumber assessments-SpecificDate'!LCRI</vt:lpstr>
      <vt:lpstr>'Lumber Assessments-Latest price'!LCRJ</vt:lpstr>
      <vt:lpstr>'Lumber assessments-SpecificDate'!LCRJ</vt:lpstr>
      <vt:lpstr>'Lumber Assessments-Latest price'!LCRK</vt:lpstr>
      <vt:lpstr>'Lumber assessments-SpecificDate'!LCRK</vt:lpstr>
      <vt:lpstr>'Lumber Assessments-Latest price'!LCRL</vt:lpstr>
      <vt:lpstr>'Lumber assessments-SpecificDate'!LCRL</vt:lpstr>
      <vt:lpstr>'Lumber Assessments-Latest price'!LCRM</vt:lpstr>
      <vt:lpstr>'Lumber assessments-SpecificDate'!LCRM</vt:lpstr>
      <vt:lpstr>'Lumber Assessments-Latest price'!LCRN</vt:lpstr>
      <vt:lpstr>'Lumber assessments-SpecificDate'!LCRN</vt:lpstr>
      <vt:lpstr>'Lumber Assessments-Latest price'!LCRO</vt:lpstr>
      <vt:lpstr>'Lumber assessments-SpecificDate'!LCRO</vt:lpstr>
      <vt:lpstr>'Lumber Assessments-Latest price'!LCRP</vt:lpstr>
      <vt:lpstr>'Lumber assessments-SpecificDate'!LCRP</vt:lpstr>
      <vt:lpstr>'Lumber Assessments-Latest price'!LCRQ</vt:lpstr>
      <vt:lpstr>'Lumber assessments-SpecificDate'!LCRQ</vt:lpstr>
      <vt:lpstr>'Lumber Assessments-Latest price'!LCRR</vt:lpstr>
      <vt:lpstr>'Lumber assessments-SpecificDate'!LCRR</vt:lpstr>
      <vt:lpstr>'Lumber Assessments-Latest price'!LCRS</vt:lpstr>
      <vt:lpstr>'Lumber assessments-SpecificDate'!LCRS</vt:lpstr>
      <vt:lpstr>'Lumber Assessments-Latest price'!LCRT</vt:lpstr>
      <vt:lpstr>'Lumber assessments-SpecificDate'!LCRT</vt:lpstr>
      <vt:lpstr>'Lumber Assessments-Latest price'!LCRU</vt:lpstr>
      <vt:lpstr>'Lumber assessments-SpecificDate'!LCRU</vt:lpstr>
      <vt:lpstr>'Lumber Assessments-Latest price'!LCRV</vt:lpstr>
      <vt:lpstr>'Lumber assessments-SpecificDate'!LCRV</vt:lpstr>
      <vt:lpstr>'Lumber Assessments-Latest price'!LCRW</vt:lpstr>
      <vt:lpstr>'Lumber assessments-SpecificDate'!LCRW</vt:lpstr>
      <vt:lpstr>'Lumber Assessments-Latest price'!LCRX</vt:lpstr>
      <vt:lpstr>'Lumber assessments-SpecificDate'!LCRX</vt:lpstr>
      <vt:lpstr>'Lumber Assessments-Latest price'!LCRY</vt:lpstr>
      <vt:lpstr>'Lumber assessments-SpecificDate'!LCRY</vt:lpstr>
      <vt:lpstr>'Lumber Assessments-Latest price'!LCRZ</vt:lpstr>
      <vt:lpstr>'Lumber assessments-SpecificDate'!LCRZ</vt:lpstr>
      <vt:lpstr>'Lumber Assessments-Latest price'!LCSA</vt:lpstr>
      <vt:lpstr>'Lumber assessments-SpecificDate'!LCSA</vt:lpstr>
      <vt:lpstr>'Lumber Assessments-Latest price'!LCSB</vt:lpstr>
      <vt:lpstr>'Lumber assessments-SpecificDate'!LCSB</vt:lpstr>
      <vt:lpstr>'Lumber Assessments-Latest price'!LCSC</vt:lpstr>
      <vt:lpstr>'Lumber assessments-SpecificDate'!LCSC</vt:lpstr>
      <vt:lpstr>'Lumber Assessments-Latest price'!LCSD</vt:lpstr>
      <vt:lpstr>'Lumber assessments-SpecificDate'!LCSD</vt:lpstr>
      <vt:lpstr>'Lumber Assessments-Latest price'!LCSE</vt:lpstr>
      <vt:lpstr>'Lumber assessments-SpecificDate'!LCSE</vt:lpstr>
      <vt:lpstr>'Lumber Assessments-Latest price'!LCSF</vt:lpstr>
      <vt:lpstr>'Lumber assessments-SpecificDate'!LCSF</vt:lpstr>
      <vt:lpstr>'Lumber Assessments-Latest price'!LCSG</vt:lpstr>
      <vt:lpstr>'Lumber assessments-SpecificDate'!LCSG</vt:lpstr>
      <vt:lpstr>'Lumber assessments-SpecificDate'!LCXQ</vt:lpstr>
      <vt:lpstr>LCXQ</vt:lpstr>
      <vt:lpstr>'Lumber assessments-SpecificDate'!LCXR</vt:lpstr>
      <vt:lpstr>LCXR</vt:lpstr>
      <vt:lpstr>'Lumber assessments-SpecificDate'!LCXS</vt:lpstr>
      <vt:lpstr>LCXS</vt:lpstr>
      <vt:lpstr>'Lumber assessments-SpecificDate'!LCXT</vt:lpstr>
      <vt:lpstr>LCXT</vt:lpstr>
      <vt:lpstr>'Lumber assessments-SpecificDate'!LCXU</vt:lpstr>
      <vt:lpstr>LCXU</vt:lpstr>
      <vt:lpstr>'Lumber Assessments-Latest price'!LCXV</vt:lpstr>
      <vt:lpstr>'Lumber assessments-SpecificDate'!LCXV</vt:lpstr>
      <vt:lpstr>'Lumber Assessments-Latest price'!LCXW</vt:lpstr>
      <vt:lpstr>'Lumber assessments-SpecificDate'!LCXW</vt:lpstr>
      <vt:lpstr>'Lumber Assessments-Latest price'!LCXX</vt:lpstr>
      <vt:lpstr>'Lumber assessments-SpecificDate'!LCXX</vt:lpstr>
      <vt:lpstr>'Lumber Assessments-Latest price'!LCYA</vt:lpstr>
      <vt:lpstr>'Lumber assessments-SpecificDate'!LCYA</vt:lpstr>
      <vt:lpstr>'Lumber Assessments-Latest price'!LCYB</vt:lpstr>
      <vt:lpstr>'Lumber assessments-SpecificDate'!LCYB</vt:lpstr>
      <vt:lpstr>'Lumber Assessments-Latest price'!LCYC</vt:lpstr>
      <vt:lpstr>'Lumber assessments-SpecificDate'!LCYC</vt:lpstr>
      <vt:lpstr>'Lumber Assessments-Latest price'!LCYD</vt:lpstr>
      <vt:lpstr>'Lumber assessments-SpecificDate'!LCYD</vt:lpstr>
      <vt:lpstr>'Lumber Assessments-Latest price'!LCYE</vt:lpstr>
      <vt:lpstr>'Lumber assessments-SpecificDate'!LCYE</vt:lpstr>
      <vt:lpstr>'Lumber Assessments-Latest price'!LCYF</vt:lpstr>
      <vt:lpstr>'Lumber assessments-SpecificDate'!LCYF</vt:lpstr>
      <vt:lpstr>'Lumber Assessments-Latest price'!LCYG</vt:lpstr>
      <vt:lpstr>'Lumber assessments-SpecificDate'!LCYG</vt:lpstr>
      <vt:lpstr>'Lumber Assessments-Latest price'!LCYH</vt:lpstr>
      <vt:lpstr>'Lumber Assessments-Latest price'!LCYI</vt:lpstr>
      <vt:lpstr>'Lumber assessments-SpecificDate'!LCYI</vt:lpstr>
      <vt:lpstr>'Lumber Assessments-Latest price'!LCYJ</vt:lpstr>
      <vt:lpstr>'Lumber assessments-SpecificDate'!LCYJ</vt:lpstr>
      <vt:lpstr>'Lumber Assessments-Latest price'!LCYK</vt:lpstr>
      <vt:lpstr>'Lumber Assessments-Latest price'!LCYL</vt:lpstr>
      <vt:lpstr>'Lumber assessments-SpecificDate'!LCYL</vt:lpstr>
      <vt:lpstr>'Lumber assessments-SpecificDate'!LHYH</vt:lpstr>
      <vt:lpstr>'Lumber assessments-SpecificDate'!LHYK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RL Lumber Price Guide</dc:title>
  <dc:subject/>
  <dc:creator>RL Staff</dc:creator>
  <cp:keywords/>
  <dc:description/>
  <cp:lastModifiedBy>Fitzgerald, Amber (UK)</cp:lastModifiedBy>
  <cp:revision/>
  <dcterms:created xsi:type="dcterms:W3CDTF">1999-03-15T21:51:51Z</dcterms:created>
  <dcterms:modified xsi:type="dcterms:W3CDTF">2025-07-15T13:08:40Z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0x0101002E7BFD7DDE2EAE49AAC78A68AB7AA4C6</vt:lpwstr>
  </property>
  <property fmtid="{D5CDD505-2E9C-101B-9397-08002B2CF9AE}" pid="3" name="Order">
    <vt:r8>1100</vt:r8>
  </property>
  <property fmtid="{D5CDD505-2E9C-101B-9397-08002B2CF9AE}" pid="4" name="_ExtendedDescription">
    <vt:lpwstr/>
  </property>
</Properties>
</file>