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fmpra-my.sharepoint.com/personal/amber_fitzgerald_fastmarkets_com/Documents/Desktop/Changes/Random Lengths/2025/2025 open consultation/xls and dbf files/Live versions/updated files for July 2025/"/>
    </mc:Choice>
  </mc:AlternateContent>
  <xr:revisionPtr revIDLastSave="15" documentId="8_{D7D18227-F4A9-4B37-8B43-24FEC50B624E}" xr6:coauthVersionLast="47" xr6:coauthVersionMax="47" xr10:uidLastSave="{50FF3156-5688-4BD9-ADD0-C4B106791B40}"/>
  <bookViews>
    <workbookView xWindow="28680" yWindow="-120" windowWidth="29040" windowHeight="15720" tabRatio="469" xr2:uid="{00000000-000D-0000-FFFF-FFFF00000000}"/>
  </bookViews>
  <sheets>
    <sheet name="Midweek-Latest price" sheetId="9" r:id="rId1"/>
    <sheet name="Midweek-Specific date" sheetId="8" r:id="rId2"/>
  </sheets>
  <definedNames>
    <definedName name="__Rpt" localSheetId="0">'Midweek-Latest price'!$A$101</definedName>
    <definedName name="__Rpt">'Midweek-Specific date'!$A$101</definedName>
    <definedName name="_prtRpt" localSheetId="0">'Midweek-Latest price'!$A$101:$Q$158</definedName>
    <definedName name="_prtRpt">'Midweek-Specific date'!$A$101:$Q$158</definedName>
    <definedName name="_varPrvMidWkLbr" localSheetId="0">'Midweek-Latest price'!$J$22</definedName>
    <definedName name="_varPrvMidWkLbr">'Midweek-Specific date'!$J$22</definedName>
    <definedName name="_varPrvMidWkPnl" localSheetId="0">'Midweek-Latest price'!$K$22</definedName>
    <definedName name="_varPrvMidWkPnl">'Midweek-Specific date'!$K$22</definedName>
    <definedName name="_varPrvWkLbr" localSheetId="0">'Midweek-Latest price'!$H$22</definedName>
    <definedName name="_varPrvWkLbr">'Midweek-Specific date'!$H$22</definedName>
    <definedName name="_varPrvWkPnl" localSheetId="0">'Midweek-Latest price'!$I$22</definedName>
    <definedName name="_varPrvWkPnl">'Midweek-Specific date'!$I$22</definedName>
    <definedName name="_varPubDate" localSheetId="0">'Midweek-Latest price'!$B$22</definedName>
    <definedName name="_varPubDate">'Midweek-Specific date'!$B$22</definedName>
    <definedName name="MAAB" localSheetId="0">'Midweek-Latest price'!$B$115</definedName>
    <definedName name="MAAB" localSheetId="1">'Midweek-Specific date'!$B$115</definedName>
    <definedName name="MAAC" localSheetId="0">'Midweek-Latest price'!$B$116</definedName>
    <definedName name="MAAC" localSheetId="1">'Midweek-Specific date'!$B$116</definedName>
    <definedName name="MAAD" localSheetId="0">'Midweek-Latest price'!$B$117</definedName>
    <definedName name="MAAD" localSheetId="1">'Midweek-Specific date'!$B$117</definedName>
    <definedName name="MAAE" localSheetId="0">'Midweek-Latest price'!$B$118</definedName>
    <definedName name="MAAE" localSheetId="1">'Midweek-Specific date'!$B$118</definedName>
    <definedName name="MAAF" localSheetId="0">'Midweek-Latest price'!$B$120</definedName>
    <definedName name="MAAF" localSheetId="1">'Midweek-Specific date'!$B$120</definedName>
    <definedName name="MAAG" localSheetId="0">'Midweek-Latest price'!$B$126</definedName>
    <definedName name="MAAG" localSheetId="1">'Midweek-Specific date'!$B$126</definedName>
    <definedName name="MAAH" localSheetId="0">'Midweek-Latest price'!$C$112</definedName>
    <definedName name="MAAH" localSheetId="1">'Midweek-Specific date'!$C$112</definedName>
    <definedName name="MAAI" localSheetId="0">'Midweek-Latest price'!$C$115</definedName>
    <definedName name="MAAI" localSheetId="1">'Midweek-Specific date'!$C$115</definedName>
    <definedName name="MAAJ" localSheetId="0">'Midweek-Latest price'!$C$116</definedName>
    <definedName name="MAAJ" localSheetId="1">'Midweek-Specific date'!$C$116</definedName>
    <definedName name="MAAK" localSheetId="0">'Midweek-Latest price'!$C$117</definedName>
    <definedName name="MAAK" localSheetId="1">'Midweek-Specific date'!$C$117</definedName>
    <definedName name="MAAL" localSheetId="0">'Midweek-Latest price'!$C$118</definedName>
    <definedName name="MAAL" localSheetId="1">'Midweek-Specific date'!$C$118</definedName>
    <definedName name="MAAM" localSheetId="0">'Midweek-Latest price'!$C$120</definedName>
    <definedName name="MAAM" localSheetId="1">'Midweek-Specific date'!$C$120</definedName>
    <definedName name="MAAN" localSheetId="0">'Midweek-Latest price'!$C$126</definedName>
    <definedName name="MAAN" localSheetId="1">'Midweek-Specific date'!$C$126</definedName>
    <definedName name="MAAP" localSheetId="0">'Midweek-Latest price'!$D$115</definedName>
    <definedName name="MAAP" localSheetId="1">'Midweek-Specific date'!$D$115</definedName>
    <definedName name="MAAQ" localSheetId="0">'Midweek-Latest price'!$D$116</definedName>
    <definedName name="MAAQ" localSheetId="1">'Midweek-Specific date'!$D$116</definedName>
    <definedName name="MAAR" localSheetId="0">'Midweek-Latest price'!$D$117</definedName>
    <definedName name="MAAR" localSheetId="1">'Midweek-Specific date'!$D$117</definedName>
    <definedName name="MAAS" localSheetId="0">'Midweek-Latest price'!$D$118</definedName>
    <definedName name="MAAS" localSheetId="1">'Midweek-Specific date'!$D$118</definedName>
    <definedName name="MAAT" localSheetId="0">'Midweek-Latest price'!$D$120</definedName>
    <definedName name="MAAT" localSheetId="1">'Midweek-Specific date'!$D$120</definedName>
    <definedName name="MAAV" localSheetId="0">'Midweek-Latest price'!$E$115</definedName>
    <definedName name="MAAV" localSheetId="1">'Midweek-Specific date'!$E$115</definedName>
    <definedName name="MAAW" localSheetId="0">'Midweek-Latest price'!$E$116</definedName>
    <definedName name="MAAW" localSheetId="1">'Midweek-Specific date'!$E$116</definedName>
    <definedName name="MAAX" localSheetId="0">'Midweek-Latest price'!$E$117</definedName>
    <definedName name="MAAX" localSheetId="1">'Midweek-Specific date'!$E$117</definedName>
    <definedName name="MAAY" localSheetId="0">'Midweek-Latest price'!$E$118</definedName>
    <definedName name="MAAY" localSheetId="1">'Midweek-Specific date'!$E$118</definedName>
    <definedName name="MAAZ" localSheetId="0">'Midweek-Latest price'!$E$120</definedName>
    <definedName name="MAAZ" localSheetId="1">'Midweek-Specific date'!$E$120</definedName>
    <definedName name="MABA" localSheetId="0">'Midweek-Latest price'!$E$126</definedName>
    <definedName name="MABA" localSheetId="1">'Midweek-Specific date'!$E$126</definedName>
    <definedName name="MABB" localSheetId="0">'Midweek-Latest price'!$F$112</definedName>
    <definedName name="MABB" localSheetId="1">'Midweek-Specific date'!$F$112</definedName>
    <definedName name="MABC" localSheetId="0">'Midweek-Latest price'!$F$115</definedName>
    <definedName name="MABC" localSheetId="1">'Midweek-Specific date'!$F$115</definedName>
    <definedName name="MABD" localSheetId="0">'Midweek-Latest price'!$F$116</definedName>
    <definedName name="MABD" localSheetId="1">'Midweek-Specific date'!$F$116</definedName>
    <definedName name="MABE" localSheetId="0">'Midweek-Latest price'!$F$117</definedName>
    <definedName name="MABE" localSheetId="1">'Midweek-Specific date'!$F$117</definedName>
    <definedName name="MABF" localSheetId="0">'Midweek-Latest price'!$F$118</definedName>
    <definedName name="MABF" localSheetId="1">'Midweek-Specific date'!$F$118</definedName>
    <definedName name="MABG" localSheetId="0">'Midweek-Latest price'!$F$120</definedName>
    <definedName name="MABG" localSheetId="1">'Midweek-Specific date'!$F$120</definedName>
    <definedName name="MABH" localSheetId="0">'Midweek-Latest price'!$F$126</definedName>
    <definedName name="MABH" localSheetId="1">'Midweek-Specific date'!$F$126</definedName>
    <definedName name="MABI" localSheetId="0">'Midweek-Latest price'!$I$114</definedName>
    <definedName name="MABI" localSheetId="1">'Midweek-Specific date'!$I$114</definedName>
    <definedName name="MABJ" localSheetId="0">'Midweek-Latest price'!$I$115</definedName>
    <definedName name="MABJ" localSheetId="1">'Midweek-Specific date'!$I$115</definedName>
    <definedName name="MABK" localSheetId="0">'Midweek-Latest price'!$I$116</definedName>
    <definedName name="MABK" localSheetId="1">'Midweek-Specific date'!$I$116</definedName>
    <definedName name="MABL" localSheetId="0">'Midweek-Latest price'!$I$117</definedName>
    <definedName name="MABL" localSheetId="1">'Midweek-Specific date'!$I$117</definedName>
    <definedName name="MABM" localSheetId="0">'Midweek-Latest price'!$I$118</definedName>
    <definedName name="MABM" localSheetId="1">'Midweek-Specific date'!$I$118</definedName>
    <definedName name="MABN" localSheetId="0">'Midweek-Latest price'!$I$120</definedName>
    <definedName name="MABN" localSheetId="1">'Midweek-Specific date'!$I$120</definedName>
    <definedName name="MABP" localSheetId="0">'Midweek-Latest price'!$J$114</definedName>
    <definedName name="MABP" localSheetId="1">'Midweek-Specific date'!$J$114</definedName>
    <definedName name="MABQ" localSheetId="0">'Midweek-Latest price'!$J$115</definedName>
    <definedName name="MABQ" localSheetId="1">'Midweek-Specific date'!$J$115</definedName>
    <definedName name="MABR" localSheetId="0">'Midweek-Latest price'!$J$116</definedName>
    <definedName name="MABR" localSheetId="1">'Midweek-Specific date'!$J$116</definedName>
    <definedName name="MABS" localSheetId="0">'Midweek-Latest price'!$J$117</definedName>
    <definedName name="MABS" localSheetId="1">'Midweek-Specific date'!$J$117</definedName>
    <definedName name="MABT" localSheetId="0">'Midweek-Latest price'!$J$118</definedName>
    <definedName name="MABT" localSheetId="1">'Midweek-Specific date'!$J$118</definedName>
    <definedName name="MABU" localSheetId="0">'Midweek-Latest price'!$J$120</definedName>
    <definedName name="MABU" localSheetId="1">'Midweek-Specific date'!$J$120</definedName>
    <definedName name="MABW" localSheetId="0">'Midweek-Latest price'!$K$114</definedName>
    <definedName name="MABW" localSheetId="1">'Midweek-Specific date'!$K$114</definedName>
    <definedName name="MABX" localSheetId="0">'Midweek-Latest price'!$K$115</definedName>
    <definedName name="MABX" localSheetId="1">'Midweek-Specific date'!$K$115</definedName>
    <definedName name="MABY" localSheetId="0">'Midweek-Latest price'!$K$116</definedName>
    <definedName name="MABY" localSheetId="1">'Midweek-Specific date'!$K$116</definedName>
    <definedName name="MABZ" localSheetId="0">'Midweek-Latest price'!$K$117</definedName>
    <definedName name="MABZ" localSheetId="1">'Midweek-Specific date'!$K$117</definedName>
    <definedName name="MACA" localSheetId="0">'Midweek-Latest price'!$K$118</definedName>
    <definedName name="MACA" localSheetId="1">'Midweek-Specific date'!$K$118</definedName>
    <definedName name="MACB" localSheetId="0">'Midweek-Latest price'!$K$120</definedName>
    <definedName name="MACB" localSheetId="1">'Midweek-Specific date'!$K$120</definedName>
    <definedName name="MACG" localSheetId="0">'Midweek-Latest price'!$H$126</definedName>
    <definedName name="MACG" localSheetId="1">'Midweek-Specific date'!$H$126</definedName>
    <definedName name="MACO" localSheetId="0">'Midweek-Latest price'!$M$114</definedName>
    <definedName name="MACO" localSheetId="1">'Midweek-Specific date'!$M$114</definedName>
    <definedName name="MACP" localSheetId="0">'Midweek-Latest price'!$M$115</definedName>
    <definedName name="MACP" localSheetId="1">'Midweek-Specific date'!$M$115</definedName>
    <definedName name="MACQ" localSheetId="0">'Midweek-Latest price'!$M$116</definedName>
    <definedName name="MACQ" localSheetId="1">'Midweek-Specific date'!$M$116</definedName>
    <definedName name="MACR" localSheetId="0">'Midweek-Latest price'!$M$117</definedName>
    <definedName name="MACR" localSheetId="1">'Midweek-Specific date'!$M$117</definedName>
    <definedName name="MACS" localSheetId="0">'Midweek-Latest price'!$M$120</definedName>
    <definedName name="MACS" localSheetId="1">'Midweek-Specific date'!$M$120</definedName>
    <definedName name="MACT" localSheetId="0">'Midweek-Latest price'!$M$125</definedName>
    <definedName name="MACT" localSheetId="1">'Midweek-Specific date'!$M$125</definedName>
    <definedName name="MACU" localSheetId="0">'Midweek-Latest price'!$N$114</definedName>
    <definedName name="MACU" localSheetId="1">'Midweek-Specific date'!$N$114</definedName>
    <definedName name="MACV" localSheetId="0">'Midweek-Latest price'!$N$115</definedName>
    <definedName name="MACV" localSheetId="1">'Midweek-Specific date'!$N$115</definedName>
    <definedName name="MACW" localSheetId="0">'Midweek-Latest price'!$N$116</definedName>
    <definedName name="MACW" localSheetId="1">'Midweek-Specific date'!$N$116</definedName>
    <definedName name="MACX" localSheetId="0">'Midweek-Latest price'!$N$120</definedName>
    <definedName name="MACX" localSheetId="1">'Midweek-Specific date'!$N$120</definedName>
    <definedName name="MACY" localSheetId="0">'Midweek-Latest price'!$N$125</definedName>
    <definedName name="MACY" localSheetId="1">'Midweek-Specific date'!$N$125</definedName>
    <definedName name="MACZ" localSheetId="0">'Midweek-Latest price'!$P$112</definedName>
    <definedName name="MACZ" localSheetId="1">'Midweek-Specific date'!$P$112</definedName>
    <definedName name="MADA" localSheetId="0">'Midweek-Latest price'!$P$115</definedName>
    <definedName name="MADA" localSheetId="1">'Midweek-Specific date'!$P$115</definedName>
    <definedName name="MADB" localSheetId="0">'Midweek-Latest price'!$P$116</definedName>
    <definedName name="MADB" localSheetId="1">'Midweek-Specific date'!$P$116</definedName>
    <definedName name="MADC" localSheetId="0">'Midweek-Latest price'!$P$117</definedName>
    <definedName name="MADC" localSheetId="1">'Midweek-Specific date'!$P$117</definedName>
    <definedName name="MADD" localSheetId="0">'Midweek-Latest price'!$P$118</definedName>
    <definedName name="MADD" localSheetId="1">'Midweek-Specific date'!$P$118</definedName>
    <definedName name="MADE" localSheetId="0">'Midweek-Latest price'!$P$120</definedName>
    <definedName name="MADE" localSheetId="1">'Midweek-Specific date'!$P$120</definedName>
    <definedName name="MADG" localSheetId="0">'Midweek-Latest price'!$Q$112</definedName>
    <definedName name="MADG" localSheetId="1">'Midweek-Specific date'!$Q$112</definedName>
    <definedName name="MADH" localSheetId="0">'Midweek-Latest price'!$Q$115</definedName>
    <definedName name="MADH" localSheetId="1">'Midweek-Specific date'!$Q$115</definedName>
    <definedName name="MADI" localSheetId="0">'Midweek-Latest price'!$Q$116</definedName>
    <definedName name="MADI" localSheetId="1">'Midweek-Specific date'!$Q$116</definedName>
    <definedName name="MADJ" localSheetId="0">'Midweek-Latest price'!$Q$117</definedName>
    <definedName name="MADJ" localSheetId="1">'Midweek-Specific date'!$Q$117</definedName>
    <definedName name="MADK" localSheetId="0">'Midweek-Latest price'!$Q$118</definedName>
    <definedName name="MADK" localSheetId="1">'Midweek-Specific date'!$Q$118</definedName>
    <definedName name="MADL" localSheetId="0">'Midweek-Latest price'!$F$135</definedName>
    <definedName name="MADL" localSheetId="1">'Midweek-Specific date'!$F$135</definedName>
    <definedName name="MADM" localSheetId="0">'Midweek-Latest price'!$G$135</definedName>
    <definedName name="MADM" localSheetId="1">'Midweek-Specific date'!$G$135</definedName>
    <definedName name="MADN" localSheetId="0">'Midweek-Latest price'!$H$135</definedName>
    <definedName name="MADN" localSheetId="1">'Midweek-Specific date'!$H$135</definedName>
    <definedName name="MADO" localSheetId="0">'Midweek-Latest price'!$B$143</definedName>
    <definedName name="MADO" localSheetId="1">'Midweek-Specific date'!$B$143</definedName>
    <definedName name="MADP" localSheetId="0">'Midweek-Latest price'!$B$144</definedName>
    <definedName name="MADP" localSheetId="1">'Midweek-Specific date'!$B$144</definedName>
    <definedName name="MADQ" localSheetId="0">'Midweek-Latest price'!$B$145</definedName>
    <definedName name="MADQ" localSheetId="1">'Midweek-Specific date'!$B$145</definedName>
    <definedName name="MADR" localSheetId="0">'Midweek-Latest price'!$B$146</definedName>
    <definedName name="MADR" localSheetId="1">'Midweek-Specific date'!$B$146</definedName>
    <definedName name="MADS" localSheetId="0">'Midweek-Latest price'!$B$147</definedName>
    <definedName name="MADS" localSheetId="1">'Midweek-Specific date'!$B$147</definedName>
    <definedName name="MADT" localSheetId="0">'Midweek-Latest price'!$C$145</definedName>
    <definedName name="MADT" localSheetId="1">'Midweek-Specific date'!$C$145</definedName>
    <definedName name="MADU" localSheetId="0">'Midweek-Latest price'!$C$146</definedName>
    <definedName name="MADU" localSheetId="1">'Midweek-Specific date'!$C$146</definedName>
    <definedName name="MADV" localSheetId="0">'Midweek-Latest price'!$E$143</definedName>
    <definedName name="MADV" localSheetId="1">'Midweek-Specific date'!$E$143</definedName>
    <definedName name="MADW" localSheetId="0">'Midweek-Latest price'!$E$144</definedName>
    <definedName name="MADW" localSheetId="1">'Midweek-Specific date'!$E$144</definedName>
    <definedName name="MADX" localSheetId="0">'Midweek-Latest price'!$E$145</definedName>
    <definedName name="MADX" localSheetId="1">'Midweek-Specific date'!$E$145</definedName>
    <definedName name="MADY" localSheetId="0">'Midweek-Latest price'!$E$146</definedName>
    <definedName name="MADY" localSheetId="1">'Midweek-Specific date'!$E$146</definedName>
    <definedName name="MADZ" localSheetId="0">'Midweek-Latest price'!$E$147</definedName>
    <definedName name="MADZ" localSheetId="1">'Midweek-Specific date'!$E$147</definedName>
    <definedName name="MAEA" localSheetId="0">'Midweek-Latest price'!$F$143</definedName>
    <definedName name="MAEA" localSheetId="1">'Midweek-Specific date'!$F$143</definedName>
    <definedName name="MAEB" localSheetId="0">'Midweek-Latest price'!$F$144</definedName>
    <definedName name="MAEB" localSheetId="1">'Midweek-Specific date'!$F$144</definedName>
    <definedName name="MAEC" localSheetId="0">'Midweek-Latest price'!$F$145</definedName>
    <definedName name="MAEC" localSheetId="1">'Midweek-Specific date'!$F$145</definedName>
    <definedName name="MAED" localSheetId="0">'Midweek-Latest price'!$F$146</definedName>
    <definedName name="MAED" localSheetId="1">'Midweek-Specific date'!$F$146</definedName>
    <definedName name="MAEE" localSheetId="0">'Midweek-Latest price'!$F$147</definedName>
    <definedName name="MAEE" localSheetId="1">'Midweek-Specific date'!$F$147</definedName>
    <definedName name="MAEF" localSheetId="0">'Midweek-Latest price'!$G$143</definedName>
    <definedName name="MAEF" localSheetId="1">'Midweek-Specific date'!$G$143</definedName>
    <definedName name="MAEG" localSheetId="0">'Midweek-Latest price'!$G$144</definedName>
    <definedName name="MAEG" localSheetId="1">'Midweek-Specific date'!$G$144</definedName>
    <definedName name="MAEH" localSheetId="0">'Midweek-Latest price'!$G$145</definedName>
    <definedName name="MAEH" localSheetId="1">'Midweek-Specific date'!$G$145</definedName>
    <definedName name="MAEI" localSheetId="0">'Midweek-Latest price'!$G$146</definedName>
    <definedName name="MAEI" localSheetId="1">'Midweek-Specific date'!$G$146</definedName>
    <definedName name="MAEJ" localSheetId="0">'Midweek-Latest price'!$G$147</definedName>
    <definedName name="MAEJ" localSheetId="1">'Midweek-Specific date'!$G$147</definedName>
    <definedName name="MAEK" localSheetId="0">'Midweek-Latest price'!$I$143</definedName>
    <definedName name="MAEK" localSheetId="1">'Midweek-Specific date'!$I$143</definedName>
    <definedName name="MAEL" localSheetId="0">'Midweek-Latest price'!$I$144</definedName>
    <definedName name="MAEL" localSheetId="1">'Midweek-Specific date'!$I$144</definedName>
    <definedName name="MAEM" localSheetId="0">'Midweek-Latest price'!$I$145</definedName>
    <definedName name="MAEM" localSheetId="1">'Midweek-Specific date'!$I$145</definedName>
    <definedName name="MAEN" localSheetId="0">'Midweek-Latest price'!$I$146</definedName>
    <definedName name="MAEN" localSheetId="1">'Midweek-Specific date'!$I$146</definedName>
    <definedName name="MAEO" localSheetId="0">'Midweek-Latest price'!$I$147</definedName>
    <definedName name="MAEO" localSheetId="1">'Midweek-Specific date'!$I$147</definedName>
    <definedName name="MAEP" localSheetId="0">'Midweek-Latest price'!$L$143</definedName>
    <definedName name="MAEP" localSheetId="1">'Midweek-Specific date'!$L$143</definedName>
    <definedName name="MAEQ" localSheetId="0">'Midweek-Latest price'!$L$147</definedName>
    <definedName name="MAEQ" localSheetId="1">'Midweek-Specific date'!$L$147</definedName>
    <definedName name="MAER" localSheetId="0">'Midweek-Latest price'!$N$143</definedName>
    <definedName name="MAER" localSheetId="1">'Midweek-Specific date'!$N$143</definedName>
    <definedName name="MAES" localSheetId="0">'Midweek-Latest price'!$N$147</definedName>
    <definedName name="MAES" localSheetId="1">'Midweek-Specific date'!$N$147</definedName>
    <definedName name="MAET" localSheetId="0">'Midweek-Latest price'!$O$143</definedName>
    <definedName name="MAET" localSheetId="1">'Midweek-Specific date'!$O$143</definedName>
    <definedName name="MAEU" localSheetId="0">'Midweek-Latest price'!$P$143</definedName>
    <definedName name="MAEU" localSheetId="1">'Midweek-Specific date'!$P$143</definedName>
    <definedName name="MAEV" localSheetId="0">'Midweek-Latest price'!$P$147</definedName>
    <definedName name="MAEV" localSheetId="1">'Midweek-Specific date'!$P$147</definedName>
    <definedName name="MAEW" localSheetId="0">'Midweek-Latest price'!$B$156</definedName>
    <definedName name="MAEW" localSheetId="1">'Midweek-Specific date'!$B$156</definedName>
    <definedName name="MAEX" localSheetId="0">'Midweek-Latest price'!$B$158</definedName>
    <definedName name="MAEX" localSheetId="1">'Midweek-Specific date'!$B$158</definedName>
    <definedName name="MAFA" localSheetId="0">'Midweek-Latest price'!$D$156</definedName>
    <definedName name="MAFA" localSheetId="1">'Midweek-Specific date'!$D$156</definedName>
    <definedName name="MAFB" localSheetId="0">'Midweek-Latest price'!$D$158</definedName>
    <definedName name="MAFB" localSheetId="1">'Midweek-Specific date'!$D$158</definedName>
    <definedName name="MAFC" localSheetId="0">'Midweek-Latest price'!$E$156</definedName>
    <definedName name="MAFC" localSheetId="1">'Midweek-Specific date'!$E$156</definedName>
    <definedName name="MAFD" localSheetId="0">'Midweek-Latest price'!$E$158</definedName>
    <definedName name="MAFD" localSheetId="1">'Midweek-Specific date'!$E$158</definedName>
    <definedName name="MAFE" localSheetId="0">'Midweek-Latest price'!$F$156</definedName>
    <definedName name="MAFE" localSheetId="1">'Midweek-Specific date'!$F$156</definedName>
    <definedName name="MAFF" localSheetId="0">'Midweek-Latest price'!$F$158</definedName>
    <definedName name="MAFF" localSheetId="1">'Midweek-Specific date'!$F$158</definedName>
    <definedName name="MAFG" localSheetId="0">'Midweek-Latest price'!$H$156</definedName>
    <definedName name="MAFG" localSheetId="1">'Midweek-Specific date'!$H$156</definedName>
    <definedName name="MAFH" localSheetId="0">'Midweek-Latest price'!$H$158</definedName>
    <definedName name="MAFH" localSheetId="1">'Midweek-Specific date'!$H$158</definedName>
    <definedName name="MAFI" localSheetId="0">'Midweek-Latest price'!$I$156</definedName>
    <definedName name="MAFI" localSheetId="1">'Midweek-Specific date'!$I$156</definedName>
    <definedName name="MAFJ" localSheetId="0">'Midweek-Latest price'!$I$158</definedName>
    <definedName name="MAFJ" localSheetId="1">'Midweek-Specific date'!$I$158</definedName>
    <definedName name="MAFK" localSheetId="0">'Midweek-Latest price'!$J$156</definedName>
    <definedName name="MAFK" localSheetId="1">'Midweek-Specific date'!$J$156</definedName>
    <definedName name="MAFL" localSheetId="0">'Midweek-Latest price'!$J$158</definedName>
    <definedName name="MAFL" localSheetId="1">'Midweek-Specific date'!$J$158</definedName>
    <definedName name="MAFM" localSheetId="0">'Midweek-Latest price'!$K$156</definedName>
    <definedName name="MAFM" localSheetId="1">'Midweek-Specific date'!$K$156</definedName>
    <definedName name="MAFN" localSheetId="0">'Midweek-Latest price'!$K$158</definedName>
    <definedName name="MAFN" localSheetId="1">'Midweek-Specific date'!$K$158</definedName>
    <definedName name="MAFO" localSheetId="0">'Midweek-Latest price'!$L$156</definedName>
    <definedName name="MAFO" localSheetId="1">'Midweek-Specific date'!$L$156</definedName>
    <definedName name="MAFP" localSheetId="0">'Midweek-Latest price'!$G$156</definedName>
    <definedName name="MAFP" localSheetId="1">'Midweek-Specific date'!$G$156</definedName>
    <definedName name="MAFQ" localSheetId="0">'Midweek-Latest price'!$G$158</definedName>
    <definedName name="MAFQ" localSheetId="1">'Midweek-Specific date'!$G$158</definedName>
    <definedName name="MAFR" localSheetId="0">'Midweek-Latest price'!$N$117</definedName>
    <definedName name="MAFR" localSheetId="1">'Midweek-Specific date'!$N$117</definedName>
    <definedName name="MAFS" localSheetId="0">'Midweek-Latest price'!$C$156</definedName>
    <definedName name="MAFS" localSheetId="1">'Midweek-Specific date'!$C$156</definedName>
    <definedName name="MAFT" localSheetId="0">'Midweek-Latest price'!$C$158</definedName>
    <definedName name="MAFT" localSheetId="1">'Midweek-Specific date'!$C$158</definedName>
    <definedName name="MAFU" localSheetId="0">'Midweek-Latest price'!$B$157</definedName>
    <definedName name="MAFU" localSheetId="1">'Midweek-Specific date'!$B$157</definedName>
    <definedName name="MAFW" localSheetId="0">'Midweek-Latest price'!$C$157</definedName>
    <definedName name="MAFW" localSheetId="1">'Midweek-Specific date'!$C$157</definedName>
    <definedName name="MAFX" localSheetId="0">'Midweek-Latest price'!$D$157</definedName>
    <definedName name="MAFX" localSheetId="1">'Midweek-Specific date'!$D$157</definedName>
    <definedName name="MAFY" localSheetId="0">'Midweek-Latest price'!$E$157</definedName>
    <definedName name="MAFY" localSheetId="1">'Midweek-Specific date'!$E$157</definedName>
    <definedName name="MAFZ" localSheetId="0">'Midweek-Latest price'!$F$157</definedName>
    <definedName name="MAFZ" localSheetId="1">'Midweek-Specific date'!$F$157</definedName>
    <definedName name="MAGA" localSheetId="0">'Midweek-Latest price'!$G$157</definedName>
    <definedName name="MAGA" localSheetId="1">'Midweek-Specific date'!$G$157</definedName>
    <definedName name="MAGB" localSheetId="0">'Midweek-Latest price'!$H$157</definedName>
    <definedName name="MAGB" localSheetId="1">'Midweek-Specific date'!$H$157</definedName>
    <definedName name="MAGC" localSheetId="0">'Midweek-Latest price'!$I$157</definedName>
    <definedName name="MAGC" localSheetId="1">'Midweek-Specific date'!$I$157</definedName>
    <definedName name="MAGD" localSheetId="0">'Midweek-Latest price'!$J$157</definedName>
    <definedName name="MAGD" localSheetId="1">'Midweek-Specific date'!$J$157</definedName>
    <definedName name="MAGE" localSheetId="0">'Midweek-Latest price'!$K$157</definedName>
    <definedName name="MAGE" localSheetId="1">'Midweek-Specific date'!$K$157</definedName>
    <definedName name="MAGG" localSheetId="0">'Midweek-Latest price'!$C$105</definedName>
    <definedName name="MAGG" localSheetId="1">'Midweek-Specific date'!$C$105</definedName>
    <definedName name="MAGI" localSheetId="0">'Midweek-Latest price'!$D$105</definedName>
    <definedName name="MAGI" localSheetId="1">'Midweek-Specific date'!$D$105</definedName>
    <definedName name="MAGK" localSheetId="0">'Midweek-Latest price'!$E$105</definedName>
    <definedName name="MAGK" localSheetId="1">'Midweek-Specific date'!$E$105</definedName>
    <definedName name="MAGM" localSheetId="0">'Midweek-Latest price'!$C$104</definedName>
    <definedName name="MAGM" localSheetId="1">'Midweek-Specific date'!$C$104</definedName>
    <definedName name="MAGN" localSheetId="0">'Midweek-Latest price'!$D$104</definedName>
    <definedName name="MAGN" localSheetId="1">'Midweek-Specific date'!$D$104</definedName>
    <definedName name="MAGO" localSheetId="0">'Midweek-Latest price'!$E$104</definedName>
    <definedName name="MAGO" localSheetId="1">'Midweek-Specific date'!$E$104</definedName>
    <definedName name="MAGQ" localSheetId="0">'Midweek-Latest price'!$L$114</definedName>
    <definedName name="MAGQ" localSheetId="1">'Midweek-Specific date'!$L$114</definedName>
    <definedName name="MAGR" localSheetId="0">'Midweek-Latest price'!$L$115</definedName>
    <definedName name="MAGR" localSheetId="1">'Midweek-Specific date'!$L$115</definedName>
    <definedName name="MAGS" localSheetId="0">'Midweek-Latest price'!$L$116</definedName>
    <definedName name="MAGS" localSheetId="1">'Midweek-Specific date'!$L$116</definedName>
    <definedName name="MAGT" localSheetId="0">'Midweek-Latest price'!$L$117</definedName>
    <definedName name="MAGT" localSheetId="1">'Midweek-Specific date'!$L$117</definedName>
    <definedName name="MAGU" localSheetId="0">'Midweek-Latest price'!$L$118</definedName>
    <definedName name="MAGU" localSheetId="1">'Midweek-Specific date'!$L$118</definedName>
    <definedName name="MAGW" localSheetId="0">'Midweek-Latest price'!$L$125</definedName>
    <definedName name="MAGW" localSheetId="1">'Midweek-Specific date'!$L$125</definedName>
    <definedName name="MAGX" localSheetId="0">'Midweek-Latest price'!$C$147</definedName>
    <definedName name="MAGX" localSheetId="1">'Midweek-Specific date'!$C$147</definedName>
    <definedName name="MAGZ" localSheetId="0">'Midweek-Latest price'!$H$114</definedName>
    <definedName name="MAGZ" localSheetId="1">'Midweek-Specific date'!$H$114</definedName>
    <definedName name="MAHA" localSheetId="0">'Midweek-Latest price'!$H$115</definedName>
    <definedName name="MAHA" localSheetId="1">'Midweek-Specific date'!$H$115</definedName>
    <definedName name="MAHB" localSheetId="0">'Midweek-Latest price'!$H$120</definedName>
    <definedName name="MAHB" localSheetId="1">'Midweek-Specific date'!$H$120</definedName>
    <definedName name="MAHC" localSheetId="0">'Midweek-Latest price'!$F$134</definedName>
    <definedName name="MAHC" localSheetId="1">'Midweek-Specific date'!$F$134</definedName>
    <definedName name="MAHD" localSheetId="0">'Midweek-Latest price'!$G$134</definedName>
    <definedName name="MAHD" localSheetId="1">'Midweek-Specific date'!$G$134</definedName>
    <definedName name="MAHE" localSheetId="0">'Midweek-Latest price'!$H$134</definedName>
    <definedName name="MAHE" localSheetId="1">'Midweek-Specific date'!$H$134</definedName>
    <definedName name="MAHF" localSheetId="0">'Midweek-Latest price'!$D$114</definedName>
    <definedName name="MAHF" localSheetId="1">'Midweek-Specific date'!$D$114</definedName>
    <definedName name="MAHG" localSheetId="0">'Midweek-Latest price'!$B$128</definedName>
    <definedName name="MAHG" localSheetId="1">'Midweek-Specific date'!$B$128</definedName>
    <definedName name="MAHH" localSheetId="0">'Midweek-Latest price'!$E$128</definedName>
    <definedName name="MAHH" localSheetId="1">'Midweek-Specific date'!$E$128</definedName>
    <definedName name="MAHI" localSheetId="0">'Midweek-Latest price'!$F$128</definedName>
    <definedName name="MAHI" localSheetId="1">'Midweek-Specific date'!$F$128</definedName>
    <definedName name="MAHJ" localSheetId="0">'Midweek-Latest price'!$H$128</definedName>
    <definedName name="MAHJ" localSheetId="1">'Midweek-Specific date'!$H$128</definedName>
    <definedName name="MAHK" localSheetId="0">'Midweek-Latest price'!$L$127</definedName>
    <definedName name="MAHK" localSheetId="1">'Midweek-Specific date'!$L$127</definedName>
    <definedName name="MAHL" localSheetId="0">'Midweek-Latest price'!$M$127</definedName>
    <definedName name="MAHL" localSheetId="1">'Midweek-Specific date'!$M$127</definedName>
    <definedName name="MAHM" localSheetId="0">'Midweek-Latest price'!$N$127</definedName>
    <definedName name="MAHM" localSheetId="1">'Midweek-Specific date'!$N$127</definedName>
    <definedName name="MAHR" localSheetId="0">'Midweek-Latest price'!$J$125</definedName>
    <definedName name="MAHR" localSheetId="1">'Midweek-Specific date'!$J$125</definedName>
    <definedName name="MAHS" localSheetId="0">'Midweek-Latest price'!$P$126</definedName>
    <definedName name="MAHS" localSheetId="1">'Midweek-Specific date'!$P$126</definedName>
    <definedName name="MAHT" localSheetId="0">'Midweek-Latest price'!$P$128</definedName>
    <definedName name="MAHT" localSheetId="1">'Midweek-Specific date'!$P$128</definedName>
    <definedName name="MAHU" localSheetId="0">'Midweek-Latest price'!$B$114</definedName>
    <definedName name="MAHU" localSheetId="1">'Midweek-Specific date'!$B$114</definedName>
    <definedName name="MAHV" localSheetId="0">'Midweek-Latest price'!$E$114</definedName>
    <definedName name="MAHV" localSheetId="1">'Midweek-Specific date'!$E$114</definedName>
    <definedName name="MAHW" localSheetId="0">'Midweek-Latest price'!$L$120</definedName>
    <definedName name="MAHW" localSheetId="1">'Midweek-Specific date'!$L$120</definedName>
    <definedName name="MAHX" localSheetId="0">'Midweek-Latest price'!$C$114</definedName>
    <definedName name="MAHX" localSheetId="1">'Midweek-Specific date'!$C$114</definedName>
    <definedName name="MAHY" localSheetId="0">'Midweek-Latest price'!$C$128</definedName>
    <definedName name="MAHY" localSheetId="1">'Midweek-Specific date'!$C$128</definedName>
    <definedName name="MAHZ" localSheetId="0">'Midweek-Latest price'!$F$114</definedName>
    <definedName name="MAHZ" localSheetId="1">'Midweek-Specific date'!$F$114</definedName>
    <definedName name="MAIA" localSheetId="0">'Midweek-Latest price'!$L$126</definedName>
    <definedName name="MAIA" localSheetId="1">'Midweek-Specific date'!$L$126</definedName>
    <definedName name="MAIB" localSheetId="0">'Midweek-Latest price'!$L$128</definedName>
    <definedName name="MAIB" localSheetId="1">'Midweek-Specific date'!$L$128</definedName>
    <definedName name="MAIC" localSheetId="0">'Midweek-Latest price'!$P$114</definedName>
    <definedName name="MAIC" localSheetId="1">'Midweek-Specific date'!$P$114</definedName>
    <definedName name="MAID" localSheetId="0">'Midweek-Latest price'!$Q$114</definedName>
    <definedName name="MAID" localSheetId="1">'Midweek-Specific date'!$Q$114</definedName>
    <definedName name="MAIE" localSheetId="0">'Midweek-Latest price'!$G$114</definedName>
    <definedName name="MAIE" localSheetId="1">'Midweek-Specific date'!$G$114</definedName>
    <definedName name="MAIF" localSheetId="0">'Midweek-Latest price'!$G$115</definedName>
    <definedName name="MAIF" localSheetId="1">'Midweek-Specific date'!$G$115</definedName>
    <definedName name="MAIG" localSheetId="0">'Midweek-Latest price'!$G$116</definedName>
    <definedName name="MAIG" localSheetId="1">'Midweek-Specific date'!$G$116</definedName>
    <definedName name="MAIH" localSheetId="0">'Midweek-Latest price'!$G$117</definedName>
    <definedName name="MAIH" localSheetId="1">'Midweek-Specific date'!$G$117</definedName>
    <definedName name="MAII" localSheetId="0">'Midweek-Latest price'!$G$118</definedName>
    <definedName name="MAII" localSheetId="1">'Midweek-Specific date'!$G$118</definedName>
    <definedName name="MAIJ" localSheetId="0">'Midweek-Latest price'!$B$151</definedName>
    <definedName name="MAIJ" localSheetId="1">'Midweek-Specific date'!$B$151</definedName>
    <definedName name="MAIK" localSheetId="0">'Midweek-Latest price'!$C$151</definedName>
    <definedName name="MAIK" localSheetId="1">'Midweek-Specific date'!$C$151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8" l="1"/>
  <c r="C22" i="8"/>
  <c r="J117" i="8" a="1"/>
  <c r="L115" i="8" a="1"/>
  <c r="N114" i="8" a="1"/>
  <c r="J158" i="8" a="1"/>
  <c r="G145" i="8" a="1"/>
  <c r="H115" i="8" a="1"/>
  <c r="C116" i="8" a="1"/>
  <c r="G118" i="8" a="1"/>
  <c r="F157" i="8" a="1"/>
  <c r="I143" i="8" a="1"/>
  <c r="C158" i="8" a="1"/>
  <c r="J156" i="8" a="1"/>
  <c r="L156" i="8" a="1"/>
  <c r="I22" i="8" a="1"/>
  <c r="C117" i="8" a="1"/>
  <c r="B128" i="8" a="1"/>
  <c r="B118" i="8" a="1"/>
  <c r="P143" i="8" a="1"/>
  <c r="K117" i="8" a="1"/>
  <c r="B143" i="8" a="1"/>
  <c r="O143" i="8" a="1"/>
  <c r="K116" i="8" a="1"/>
  <c r="L116" i="8" a="1"/>
  <c r="D115" i="8" a="1"/>
  <c r="N115" i="8" a="1"/>
  <c r="K115" i="8" a="1"/>
  <c r="E156" i="8" a="1"/>
  <c r="M114" i="8" a="1"/>
  <c r="P116" i="8" a="1"/>
  <c r="C157" i="8" a="1"/>
  <c r="F158" i="8" a="1"/>
  <c r="K120" i="8" a="1"/>
  <c r="P126" i="8" a="1"/>
  <c r="E120" i="8" a="1"/>
  <c r="K158" i="8" a="1"/>
  <c r="K156" i="8" a="1"/>
  <c r="L125" i="8" a="1"/>
  <c r="H120" i="8" a="1"/>
  <c r="L143" i="8" a="1"/>
  <c r="G147" i="8" a="1"/>
  <c r="G115" i="8" a="1"/>
  <c r="K118" i="8" a="1"/>
  <c r="C115" i="8" a="1"/>
  <c r="I158" i="8" a="1"/>
  <c r="F146" i="8" a="1"/>
  <c r="C128" i="8" a="1"/>
  <c r="C120" i="8" a="1"/>
  <c r="C112" i="8" a="1"/>
  <c r="H134" i="8" a="1"/>
  <c r="C156" i="8" a="1"/>
  <c r="E128" i="8" a="1"/>
  <c r="E117" i="8" a="1"/>
  <c r="E146" i="8" a="1"/>
  <c r="M116" i="8" a="1"/>
  <c r="B157" i="8" a="1"/>
  <c r="Q115" i="8" a="1"/>
  <c r="H126" i="8" a="1"/>
  <c r="F134" i="8" a="1"/>
  <c r="E116" i="8" a="1"/>
  <c r="J22" i="8" a="1"/>
  <c r="G158" i="8" a="1"/>
  <c r="P117" i="8" a="1"/>
  <c r="I157" i="8" a="1"/>
  <c r="H22" i="8" a="1"/>
  <c r="E145" i="8" a="1"/>
  <c r="B146" i="8" a="1"/>
  <c r="B147" i="8" a="1"/>
  <c r="B116" i="8" a="1"/>
  <c r="I144" i="8" a="1"/>
  <c r="I146" i="8" a="1"/>
  <c r="M117" i="8" a="1"/>
  <c r="I115" i="8" a="1"/>
  <c r="P120" i="8" a="1"/>
  <c r="L127" i="8" a="1"/>
  <c r="B144" i="8" a="1"/>
  <c r="H135" i="8" a="1"/>
  <c r="L120" i="8" a="1"/>
  <c r="H158" i="8" a="1"/>
  <c r="I118" i="8" a="1"/>
  <c r="L147" i="8" a="1"/>
  <c r="I120" i="8" a="1"/>
  <c r="Q112" i="8" a="1"/>
  <c r="E118" i="8" a="1"/>
  <c r="P118" i="8" a="1"/>
  <c r="Q117" i="8" a="1"/>
  <c r="B158" i="8" a="1"/>
  <c r="E144" i="8" a="1"/>
  <c r="N143" i="8" a="1"/>
  <c r="B126" i="8" a="1"/>
  <c r="M115" i="8" a="1"/>
  <c r="D114" i="8" a="1"/>
  <c r="F116" i="8" a="1"/>
  <c r="D158" i="8" a="1"/>
  <c r="I116" i="8" a="1"/>
  <c r="H156" i="8" a="1"/>
  <c r="P128" i="8" a="1"/>
  <c r="C147" i="8" a="1"/>
  <c r="D117" i="8" a="1"/>
  <c r="Q116" i="8" a="1"/>
  <c r="D156" i="8" a="1"/>
  <c r="K22" i="8" a="1"/>
  <c r="E126" i="8" a="1"/>
  <c r="J116" i="8" a="1"/>
  <c r="C105" i="8" a="1"/>
  <c r="I156" i="8" a="1"/>
  <c r="P112" i="8" a="1"/>
  <c r="G156" i="8" a="1"/>
  <c r="B156" i="8" a="1"/>
  <c r="F144" i="8" a="1"/>
  <c r="F126" i="8" a="1"/>
  <c r="F117" i="8" a="1"/>
  <c r="L126" i="8" a="1"/>
  <c r="F128" i="8" a="1"/>
  <c r="P114" i="8" a="1"/>
  <c r="B114" i="8" a="1"/>
  <c r="J114" i="8" a="1"/>
  <c r="B145" i="8" a="1"/>
  <c r="N125" i="8" a="1"/>
  <c r="J118" i="8" a="1"/>
  <c r="B120" i="8" a="1"/>
  <c r="F114" i="8" a="1"/>
  <c r="N120" i="8" a="1"/>
  <c r="D120" i="8" a="1"/>
  <c r="C126" i="8" a="1"/>
  <c r="F156" i="8" a="1"/>
  <c r="N147" i="8" a="1"/>
  <c r="D116" i="8" a="1"/>
  <c r="C104" i="8" a="1"/>
  <c r="F118" i="8" a="1"/>
  <c r="M127" i="8" a="1"/>
  <c r="G143" i="8" a="1"/>
  <c r="I145" i="8" a="1"/>
  <c r="C114" i="8" a="1"/>
  <c r="C151" i="8" a="1"/>
  <c r="D118" i="8" a="1"/>
  <c r="E114" i="8" a="1"/>
  <c r="E158" i="8" a="1"/>
  <c r="J125" i="8" a="1"/>
  <c r="G135" i="8" a="1"/>
  <c r="M120" i="8" a="1"/>
  <c r="C118" i="8" a="1"/>
  <c r="F143" i="8" a="1"/>
  <c r="I147" i="8" a="1"/>
  <c r="B115" i="8" a="1"/>
  <c r="N117" i="8" a="1"/>
  <c r="G146" i="8" a="1"/>
  <c r="M125" i="8" a="1"/>
  <c r="F115" i="8" a="1"/>
  <c r="B117" i="8" a="1"/>
  <c r="F145" i="8" a="1"/>
  <c r="N116" i="8" a="1"/>
  <c r="G134" i="8" a="1"/>
  <c r="H128" i="8" a="1"/>
  <c r="F112" i="8" a="1"/>
  <c r="G144" i="8" a="1"/>
  <c r="Q118" i="8" a="1"/>
  <c r="B151" i="8" a="1"/>
  <c r="G116" i="8" a="1"/>
  <c r="P147" i="8" a="1"/>
  <c r="H114" i="8" a="1"/>
  <c r="L114" i="8" a="1"/>
  <c r="L118" i="8" a="1"/>
  <c r="J120" i="8" a="1"/>
  <c r="H157" i="8" a="1"/>
  <c r="F147" i="8" a="1"/>
  <c r="N127" i="8" a="1"/>
  <c r="E143" i="8" a="1"/>
  <c r="Q114" i="8" a="1"/>
  <c r="G114" i="8" a="1"/>
  <c r="D157" i="8" a="1"/>
  <c r="I117" i="8" a="1"/>
  <c r="K157" i="8" a="1"/>
  <c r="I114" i="8" a="1"/>
  <c r="K114" i="8" a="1"/>
  <c r="F135" i="8" a="1"/>
  <c r="E147" i="8" a="1"/>
  <c r="E157" i="8" a="1"/>
  <c r="C145" i="8" a="1"/>
  <c r="G157" i="8" a="1"/>
  <c r="G117" i="8" a="1"/>
  <c r="C146" i="8" a="1"/>
  <c r="L128" i="8" a="1"/>
  <c r="L117" i="8" a="1"/>
  <c r="F120" i="8" a="1"/>
  <c r="J115" i="8" a="1"/>
  <c r="P115" i="8" a="1"/>
  <c r="E115" i="8" a="1"/>
  <c r="J157" i="8" a="1"/>
  <c r="B22" i="9" a="1"/>
  <c r="H22" i="8" l="1"/>
  <c r="B22" i="9"/>
  <c r="K22" i="8"/>
  <c r="I22" i="8"/>
  <c r="J22" i="8"/>
  <c r="N120" i="8"/>
  <c r="P116" i="8"/>
  <c r="N143" i="8"/>
  <c r="D156" i="8"/>
  <c r="C112" i="8"/>
  <c r="H115" i="8"/>
  <c r="L117" i="8"/>
  <c r="M125" i="8"/>
  <c r="O143" i="8"/>
  <c r="E156" i="8"/>
  <c r="H114" i="8"/>
  <c r="B118" i="8"/>
  <c r="E145" i="8"/>
  <c r="C157" i="8"/>
  <c r="E115" i="8"/>
  <c r="P120" i="8"/>
  <c r="J115" i="8"/>
  <c r="E128" i="8"/>
  <c r="I146" i="8"/>
  <c r="B158" i="8"/>
  <c r="F117" i="8"/>
  <c r="F115" i="8"/>
  <c r="H120" i="8"/>
  <c r="M116" i="8"/>
  <c r="C126" i="8"/>
  <c r="E144" i="8"/>
  <c r="H156" i="8"/>
  <c r="B151" i="8"/>
  <c r="G144" i="8"/>
  <c r="F120" i="8"/>
  <c r="B117" i="8"/>
  <c r="C105" i="8"/>
  <c r="E126" i="8"/>
  <c r="I156" i="8"/>
  <c r="F112" i="8"/>
  <c r="B146" i="8"/>
  <c r="I115" i="8"/>
  <c r="L128" i="8"/>
  <c r="C116" i="8"/>
  <c r="P128" i="8"/>
  <c r="F147" i="8"/>
  <c r="F158" i="8"/>
  <c r="K114" i="8"/>
  <c r="N115" i="8"/>
  <c r="L120" i="8"/>
  <c r="K117" i="8"/>
  <c r="L126" i="8"/>
  <c r="B145" i="8"/>
  <c r="L156" i="8"/>
  <c r="G117" i="8"/>
  <c r="M127" i="8"/>
  <c r="P115" i="8"/>
  <c r="Q117" i="8"/>
  <c r="F118" i="8"/>
  <c r="N114" i="8"/>
  <c r="E118" i="8"/>
  <c r="P126" i="8"/>
  <c r="C145" i="8"/>
  <c r="B157" i="8"/>
  <c r="G114" i="8"/>
  <c r="B120" i="8"/>
  <c r="G146" i="8"/>
  <c r="K157" i="8"/>
  <c r="M115" i="8"/>
  <c r="B143" i="8"/>
  <c r="Q116" i="8"/>
  <c r="F135" i="8"/>
  <c r="N147" i="8"/>
  <c r="J158" i="8"/>
  <c r="K118" i="8"/>
  <c r="G116" i="8"/>
  <c r="J125" i="8"/>
  <c r="D118" i="8"/>
  <c r="N127" i="8"/>
  <c r="G145" i="8"/>
  <c r="E157" i="8"/>
  <c r="D115" i="8"/>
  <c r="G143" i="8"/>
  <c r="J156" i="8"/>
  <c r="B115" i="8"/>
  <c r="C146" i="8"/>
  <c r="E114" i="8"/>
  <c r="L125" i="8"/>
  <c r="L115" i="8"/>
  <c r="F144" i="8"/>
  <c r="G157" i="8"/>
  <c r="G115" i="8"/>
  <c r="B128" i="8"/>
  <c r="K120" i="8"/>
  <c r="P143" i="8"/>
  <c r="E143" i="8"/>
  <c r="C156" i="8"/>
  <c r="F114" i="8"/>
  <c r="F126" i="8"/>
  <c r="L116" i="8"/>
  <c r="H126" i="8"/>
  <c r="I118" i="8"/>
  <c r="F128" i="8"/>
  <c r="E146" i="8"/>
  <c r="I157" i="8"/>
  <c r="Q115" i="8"/>
  <c r="E116" i="8"/>
  <c r="J118" i="8"/>
  <c r="I145" i="8"/>
  <c r="P112" i="8"/>
  <c r="E158" i="8"/>
  <c r="F116" i="8"/>
  <c r="J117" i="8"/>
  <c r="I116" i="8"/>
  <c r="Q118" i="8"/>
  <c r="H128" i="8"/>
  <c r="F146" i="8"/>
  <c r="J157" i="8"/>
  <c r="Q114" i="8"/>
  <c r="N125" i="8"/>
  <c r="L147" i="8"/>
  <c r="I158" i="8"/>
  <c r="D117" i="8"/>
  <c r="Q112" i="8"/>
  <c r="N117" i="8"/>
  <c r="L143" i="8"/>
  <c r="G156" i="8"/>
  <c r="C115" i="8"/>
  <c r="C128" i="8"/>
  <c r="E117" i="8"/>
  <c r="B144" i="8"/>
  <c r="P118" i="8"/>
  <c r="F134" i="8"/>
  <c r="B147" i="8"/>
  <c r="C158" i="8"/>
  <c r="F157" i="8"/>
  <c r="E147" i="8"/>
  <c r="J116" i="8"/>
  <c r="P117" i="8"/>
  <c r="N116" i="8"/>
  <c r="E120" i="8"/>
  <c r="G134" i="8"/>
  <c r="C147" i="8"/>
  <c r="D158" i="8"/>
  <c r="B116" i="8"/>
  <c r="L127" i="8"/>
  <c r="B156" i="8"/>
  <c r="P114" i="8"/>
  <c r="I117" i="8"/>
  <c r="I114" i="8"/>
  <c r="C118" i="8"/>
  <c r="I144" i="8"/>
  <c r="K156" i="8"/>
  <c r="K115" i="8"/>
  <c r="I143" i="8"/>
  <c r="G118" i="8"/>
  <c r="J114" i="8"/>
  <c r="D120" i="8"/>
  <c r="G135" i="8"/>
  <c r="G147" i="8"/>
  <c r="G158" i="8"/>
  <c r="B114" i="8"/>
  <c r="L114" i="8"/>
  <c r="H157" i="8"/>
  <c r="C120" i="8"/>
  <c r="C114" i="8"/>
  <c r="C117" i="8"/>
  <c r="J120" i="8"/>
  <c r="H135" i="8"/>
  <c r="I147" i="8"/>
  <c r="H158" i="8"/>
  <c r="K116" i="8"/>
  <c r="H134" i="8"/>
  <c r="F156" i="8"/>
  <c r="D114" i="8"/>
  <c r="M117" i="8"/>
  <c r="M114" i="8"/>
  <c r="B126" i="8"/>
  <c r="F145" i="8"/>
  <c r="D157" i="8"/>
  <c r="D116" i="8"/>
  <c r="C104" i="8"/>
  <c r="L118" i="8"/>
  <c r="I120" i="8"/>
  <c r="M120" i="8"/>
  <c r="F143" i="8"/>
  <c r="P147" i="8"/>
  <c r="K158" i="8"/>
  <c r="C151" i="8"/>
  <c r="A101" i="8"/>
  <c r="E104" i="8" a="1"/>
  <c r="E105" i="8" a="1"/>
  <c r="D104" i="8" a="1"/>
  <c r="D105" i="8" a="1"/>
  <c r="G134" i="9" a="1"/>
  <c r="E117" i="9" a="1"/>
  <c r="G146" i="9" a="1"/>
  <c r="C112" i="9" a="1"/>
  <c r="G135" i="9" a="1"/>
  <c r="Q117" i="9" a="1"/>
  <c r="L114" i="9" a="1"/>
  <c r="D118" i="9" a="1"/>
  <c r="D157" i="9" a="1"/>
  <c r="P143" i="9" a="1"/>
  <c r="K114" i="9" a="1"/>
  <c r="P147" i="9" a="1"/>
  <c r="Q114" i="9" a="1"/>
  <c r="C128" i="9" a="1"/>
  <c r="C145" i="9" a="1"/>
  <c r="G143" i="9" a="1"/>
  <c r="J157" i="9" a="1"/>
  <c r="M117" i="9" a="1"/>
  <c r="M115" i="9" a="1"/>
  <c r="C126" i="9" a="1"/>
  <c r="I116" i="9" a="1"/>
  <c r="G158" i="9" a="1"/>
  <c r="I156" i="9" a="1"/>
  <c r="F128" i="9" a="1"/>
  <c r="J114" i="9" a="1"/>
  <c r="F145" i="9" a="1"/>
  <c r="N117" i="9" a="1"/>
  <c r="H128" i="9" a="1"/>
  <c r="H126" i="9" a="1"/>
  <c r="F158" i="9" a="1"/>
  <c r="L127" i="9" a="1"/>
  <c r="D120" i="9" a="1"/>
  <c r="F115" i="9" a="1"/>
  <c r="I118" i="9" a="1"/>
  <c r="B144" i="9" a="1"/>
  <c r="E120" i="9" a="1"/>
  <c r="P112" i="9" a="1"/>
  <c r="E146" i="9" a="1"/>
  <c r="I144" i="9" a="1"/>
  <c r="I114" i="9" a="1"/>
  <c r="C114" i="9" a="1"/>
  <c r="H115" i="9" a="1"/>
  <c r="M125" i="9" a="1"/>
  <c r="E144" i="9" a="1"/>
  <c r="L120" i="9" a="1"/>
  <c r="F118" i="9" a="1"/>
  <c r="F120" i="9" a="1"/>
  <c r="C151" i="9" a="1"/>
  <c r="B145" i="9" a="1"/>
  <c r="F114" i="9" a="1"/>
  <c r="G116" i="9" a="1"/>
  <c r="I115" i="9" a="1"/>
  <c r="N120" i="9" a="1"/>
  <c r="I147" i="9" a="1"/>
  <c r="M127" i="9" a="1"/>
  <c r="G117" i="9" a="1"/>
  <c r="B117" i="9" a="1"/>
  <c r="P114" i="9" a="1"/>
  <c r="N116" i="9" a="1"/>
  <c r="P115" i="9" a="1"/>
  <c r="L116" i="9" a="1"/>
  <c r="J120" i="9" a="1"/>
  <c r="N115" i="9" a="1"/>
  <c r="E145" i="9" a="1"/>
  <c r="F157" i="9" a="1"/>
  <c r="K157" i="9" a="1"/>
  <c r="P117" i="9" a="1"/>
  <c r="C157" i="9" a="1"/>
  <c r="F146" i="9" a="1"/>
  <c r="H158" i="9" a="1"/>
  <c r="B115" i="9" a="1"/>
  <c r="G145" i="9" a="1"/>
  <c r="L115" i="9" a="1"/>
  <c r="F147" i="9" a="1"/>
  <c r="N125" i="9" a="1"/>
  <c r="J117" i="9" a="1"/>
  <c r="B147" i="9" a="1"/>
  <c r="N143" i="9" a="1"/>
  <c r="F144" i="9" a="1"/>
  <c r="C116" i="9" a="1"/>
  <c r="I157" i="9" a="1"/>
  <c r="L125" i="9" a="1"/>
  <c r="B157" i="9" a="1"/>
  <c r="E157" i="9" a="1"/>
  <c r="M114" i="9" a="1"/>
  <c r="P126" i="9" a="1"/>
  <c r="F126" i="9" a="1"/>
  <c r="G144" i="9" a="1"/>
  <c r="P118" i="9" a="1"/>
  <c r="E128" i="9" a="1"/>
  <c r="I158" i="9" a="1"/>
  <c r="B116" i="9" a="1"/>
  <c r="I143" i="9" a="1"/>
  <c r="H120" i="9" a="1"/>
  <c r="H134" i="9" a="1"/>
  <c r="C115" i="9" a="1"/>
  <c r="I145" i="9" a="1"/>
  <c r="G114" i="9" a="1"/>
  <c r="D156" i="9" a="1"/>
  <c r="D116" i="9" a="1"/>
  <c r="I120" i="9" a="1"/>
  <c r="B146" i="9" a="1"/>
  <c r="B156" i="9" a="1"/>
  <c r="C147" i="9" a="1"/>
  <c r="F112" i="9" a="1"/>
  <c r="C117" i="9" a="1"/>
  <c r="O143" i="9" a="1"/>
  <c r="I117" i="9" a="1"/>
  <c r="B118" i="9" a="1"/>
  <c r="P128" i="9" a="1"/>
  <c r="B128" i="9" a="1"/>
  <c r="B126" i="9" a="1"/>
  <c r="M116" i="9" a="1"/>
  <c r="J125" i="9" a="1"/>
  <c r="B151" i="9" a="1"/>
  <c r="C104" i="9" a="1"/>
  <c r="P116" i="9" a="1"/>
  <c r="F116" i="9" a="1"/>
  <c r="N114" i="9" a="1"/>
  <c r="K115" i="9" a="1"/>
  <c r="H114" i="9" a="1"/>
  <c r="B158" i="9" a="1"/>
  <c r="H157" i="9" a="1"/>
  <c r="J156" i="9" a="1"/>
  <c r="E116" i="9" a="1"/>
  <c r="Q112" i="9" a="1"/>
  <c r="L143" i="9" a="1"/>
  <c r="M120" i="9" a="1"/>
  <c r="E158" i="9" a="1"/>
  <c r="J158" i="9" a="1"/>
  <c r="L126" i="9" a="1"/>
  <c r="C105" i="9" a="1"/>
  <c r="G147" i="9" a="1"/>
  <c r="E118" i="9" a="1"/>
  <c r="B143" i="9" a="1"/>
  <c r="L117" i="9" a="1"/>
  <c r="G118" i="9" a="1"/>
  <c r="C156" i="9" a="1"/>
  <c r="B120" i="9" a="1"/>
  <c r="D158" i="9" a="1"/>
  <c r="C120" i="9" a="1"/>
  <c r="H156" i="9" a="1"/>
  <c r="F135" i="9" a="1"/>
  <c r="L128" i="9" a="1"/>
  <c r="H135" i="9" a="1"/>
  <c r="C118" i="9" a="1"/>
  <c r="K118" i="9" a="1"/>
  <c r="D117" i="9" a="1"/>
  <c r="Q118" i="9" a="1"/>
  <c r="E147" i="9" a="1"/>
  <c r="K158" i="9" a="1"/>
  <c r="D115" i="9" a="1"/>
  <c r="F117" i="9" a="1"/>
  <c r="G156" i="9" a="1"/>
  <c r="C146" i="9" a="1"/>
  <c r="F156" i="9" a="1"/>
  <c r="E115" i="9" a="1"/>
  <c r="N147" i="9" a="1"/>
  <c r="Q115" i="9" a="1"/>
  <c r="K117" i="9" a="1"/>
  <c r="B114" i="9" a="1"/>
  <c r="L118" i="9" a="1"/>
  <c r="J115" i="9" a="1"/>
  <c r="E156" i="9" a="1"/>
  <c r="K22" i="9" a="1"/>
  <c r="Q116" i="9" a="1"/>
  <c r="P120" i="9" a="1"/>
  <c r="D114" i="9" a="1"/>
  <c r="G115" i="9" a="1"/>
  <c r="E143" i="9" a="1"/>
  <c r="F143" i="9" a="1"/>
  <c r="L156" i="9" a="1"/>
  <c r="J116" i="9" a="1"/>
  <c r="N127" i="9" a="1"/>
  <c r="E114" i="9" a="1"/>
  <c r="G157" i="9" a="1"/>
  <c r="I146" i="9" a="1"/>
  <c r="E126" i="9" a="1"/>
  <c r="F134" i="9" a="1"/>
  <c r="K120" i="9" a="1"/>
  <c r="L147" i="9" a="1"/>
  <c r="C158" i="9" a="1"/>
  <c r="K116" i="9" a="1"/>
  <c r="K156" i="9" a="1"/>
  <c r="J118" i="9" a="1"/>
  <c r="K22" i="9" l="1"/>
  <c r="F114" i="9"/>
  <c r="Q114" i="9"/>
  <c r="K115" i="9"/>
  <c r="F116" i="9"/>
  <c r="B117" i="9"/>
  <c r="M117" i="9"/>
  <c r="I118" i="9"/>
  <c r="F120" i="9"/>
  <c r="L125" i="9"/>
  <c r="L127" i="9"/>
  <c r="F134" i="9"/>
  <c r="I143" i="9"/>
  <c r="B145" i="9"/>
  <c r="G146" i="9"/>
  <c r="P147" i="9"/>
  <c r="I156" i="9"/>
  <c r="H157" i="9"/>
  <c r="H158" i="9"/>
  <c r="B115" i="9"/>
  <c r="L115" i="9"/>
  <c r="G116" i="9"/>
  <c r="C117" i="9"/>
  <c r="N117" i="9"/>
  <c r="J118" i="9"/>
  <c r="H120" i="9"/>
  <c r="M127" i="9"/>
  <c r="G134" i="9"/>
  <c r="G114" i="9"/>
  <c r="M125" i="9"/>
  <c r="L143" i="9"/>
  <c r="C145" i="9"/>
  <c r="I146" i="9"/>
  <c r="B151" i="9"/>
  <c r="J156" i="9"/>
  <c r="I158" i="9"/>
  <c r="I116" i="9"/>
  <c r="I157" i="9"/>
  <c r="D117" i="9"/>
  <c r="J157" i="9"/>
  <c r="C112" i="9"/>
  <c r="H114" i="9"/>
  <c r="C115" i="9"/>
  <c r="M115" i="9"/>
  <c r="F112" i="9"/>
  <c r="D115" i="9"/>
  <c r="N115" i="9"/>
  <c r="J116" i="9"/>
  <c r="E117" i="9"/>
  <c r="Q117" i="9"/>
  <c r="L118" i="9"/>
  <c r="J120" i="9"/>
  <c r="B128" i="9"/>
  <c r="F135" i="9"/>
  <c r="O143" i="9"/>
  <c r="F145" i="9"/>
  <c r="C147" i="9"/>
  <c r="B156" i="9"/>
  <c r="L156" i="9"/>
  <c r="K158" i="9"/>
  <c r="P112" i="9"/>
  <c r="K116" i="9"/>
  <c r="F117" i="9"/>
  <c r="K120" i="9"/>
  <c r="G135" i="9"/>
  <c r="E147" i="9"/>
  <c r="B157" i="9"/>
  <c r="Q112" i="9"/>
  <c r="I114" i="9"/>
  <c r="B126" i="9"/>
  <c r="K157" i="9"/>
  <c r="J114" i="9"/>
  <c r="E115" i="9"/>
  <c r="P115" i="9"/>
  <c r="B118" i="9"/>
  <c r="P118" i="9"/>
  <c r="C126" i="9"/>
  <c r="C128" i="9"/>
  <c r="P143" i="9"/>
  <c r="G145" i="9"/>
  <c r="B158" i="9"/>
  <c r="K114" i="9"/>
  <c r="C156" i="9"/>
  <c r="Q115" i="9"/>
  <c r="C118" i="9"/>
  <c r="L120" i="9"/>
  <c r="E128" i="9"/>
  <c r="B144" i="9"/>
  <c r="I145" i="9"/>
  <c r="D156" i="9"/>
  <c r="E144" i="9"/>
  <c r="E156" i="9"/>
  <c r="D158" i="9"/>
  <c r="N120" i="9"/>
  <c r="F144" i="9"/>
  <c r="E158" i="9"/>
  <c r="I115" i="9"/>
  <c r="D116" i="9"/>
  <c r="F118" i="9"/>
  <c r="L128" i="9"/>
  <c r="F158" i="9"/>
  <c r="P114" i="9"/>
  <c r="Q116" i="9"/>
  <c r="P128" i="9"/>
  <c r="N125" i="9"/>
  <c r="F115" i="9"/>
  <c r="L116" i="9"/>
  <c r="G117" i="9"/>
  <c r="Q118" i="9"/>
  <c r="E126" i="9"/>
  <c r="H135" i="9"/>
  <c r="F147" i="9"/>
  <c r="C157" i="9"/>
  <c r="C158" i="9"/>
  <c r="B143" i="9"/>
  <c r="G147" i="9"/>
  <c r="E118" i="9"/>
  <c r="H128" i="9"/>
  <c r="C146" i="9"/>
  <c r="F156" i="9"/>
  <c r="P116" i="9"/>
  <c r="P120" i="9"/>
  <c r="L147" i="9"/>
  <c r="E114" i="9"/>
  <c r="L117" i="9"/>
  <c r="J125" i="9"/>
  <c r="N147" i="9"/>
  <c r="B147" i="9"/>
  <c r="L114" i="9"/>
  <c r="M116" i="9"/>
  <c r="I117" i="9"/>
  <c r="D118" i="9"/>
  <c r="M120" i="9"/>
  <c r="B146" i="9"/>
  <c r="D157" i="9"/>
  <c r="H126" i="9"/>
  <c r="E143" i="9"/>
  <c r="I147" i="9"/>
  <c r="E157" i="9"/>
  <c r="D114" i="9"/>
  <c r="K117" i="9"/>
  <c r="L126" i="9"/>
  <c r="G144" i="9"/>
  <c r="F157" i="9"/>
  <c r="J115" i="9"/>
  <c r="E120" i="9"/>
  <c r="I120" i="9"/>
  <c r="C151" i="9"/>
  <c r="K156" i="9"/>
  <c r="J158" i="9"/>
  <c r="C104" i="9"/>
  <c r="B114" i="9"/>
  <c r="G115" i="9"/>
  <c r="B116" i="9"/>
  <c r="B120" i="9"/>
  <c r="F126" i="9"/>
  <c r="F128" i="9"/>
  <c r="C120" i="9"/>
  <c r="N114" i="9"/>
  <c r="D120" i="9"/>
  <c r="F143" i="9"/>
  <c r="G156" i="9"/>
  <c r="C105" i="9"/>
  <c r="G143" i="9"/>
  <c r="H156" i="9"/>
  <c r="P117" i="9"/>
  <c r="H134" i="9"/>
  <c r="C114" i="9"/>
  <c r="M114" i="9"/>
  <c r="H115" i="9"/>
  <c r="C116" i="9"/>
  <c r="N116" i="9"/>
  <c r="J117" i="9"/>
  <c r="G118" i="9"/>
  <c r="F146" i="9"/>
  <c r="G157" i="9"/>
  <c r="K118" i="9"/>
  <c r="E145" i="9"/>
  <c r="E146" i="9"/>
  <c r="P126" i="9"/>
  <c r="I144" i="9"/>
  <c r="G158" i="9"/>
  <c r="N127" i="9"/>
  <c r="E116" i="9"/>
  <c r="N143" i="9"/>
  <c r="C22" i="9"/>
  <c r="D22" i="9"/>
  <c r="A101" i="9"/>
  <c r="D104" i="8"/>
  <c r="E104" i="8"/>
  <c r="D105" i="8"/>
  <c r="E105" i="8"/>
  <c r="J22" i="9" a="1"/>
  <c r="I22" i="9" a="1"/>
  <c r="H22" i="9" a="1"/>
  <c r="J22" i="9" l="1"/>
  <c r="I22" i="9"/>
  <c r="H22" i="9"/>
  <c r="E105" i="9" a="1"/>
  <c r="D104" i="9" a="1"/>
  <c r="D105" i="9" a="1"/>
  <c r="E104" i="9" a="1"/>
  <c r="D104" i="9" l="1"/>
  <c r="D105" i="9"/>
  <c r="E105" i="9"/>
  <c r="E10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<sst xmlns="http://schemas.openxmlformats.org/spreadsheetml/2006/main" count="395" uniqueCount="115">
  <si>
    <t>RANDOM LENGTHS MIDWEEK REPORT</t>
  </si>
  <si>
    <t>Prv Week Lbr</t>
  </si>
  <si>
    <t>Prv Week Pnl</t>
  </si>
  <si>
    <t>Prv Midweek Lbr</t>
  </si>
  <si>
    <t>Prv Midweek Pnl</t>
  </si>
  <si>
    <t>Date</t>
  </si>
  <si>
    <t>Year</t>
  </si>
  <si>
    <t>Month</t>
  </si>
  <si>
    <t>Pub Date</t>
  </si>
  <si>
    <t>Midweek Composite:</t>
  </si>
  <si>
    <t>This week</t>
  </si>
  <si>
    <t>Friday prior</t>
  </si>
  <si>
    <t>Midweek prior</t>
  </si>
  <si>
    <t>Framing Lumber</t>
  </si>
  <si>
    <t>Structural Panel</t>
  </si>
  <si>
    <t>FRAMING LUMBER</t>
  </si>
  <si>
    <t>KILN DRIED</t>
  </si>
  <si>
    <t>GREEN</t>
  </si>
  <si>
    <t xml:space="preserve">    Spruce-Pine-Fir:</t>
  </si>
  <si>
    <t>Coast</t>
  </si>
  <si>
    <t>Inland WF or H-F:</t>
  </si>
  <si>
    <t>Douglas</t>
  </si>
  <si>
    <t xml:space="preserve">           Fir&amp;Larch:</t>
  </si>
  <si>
    <t>Southern Pine:</t>
  </si>
  <si>
    <t>Western</t>
  </si>
  <si>
    <t>Eastern</t>
  </si>
  <si>
    <t xml:space="preserve"> Douglas Fir:</t>
  </si>
  <si>
    <t>Std&amp;Btr</t>
  </si>
  <si>
    <t>Hem-Fir</t>
  </si>
  <si>
    <t>SPOKANE</t>
  </si>
  <si>
    <t>N. CALIF.</t>
  </si>
  <si>
    <t>Fir</t>
  </si>
  <si>
    <t>Inland</t>
  </si>
  <si>
    <t>CDN</t>
  </si>
  <si>
    <t>SPF-S</t>
  </si>
  <si>
    <t>WEST</t>
  </si>
  <si>
    <t>CENT</t>
  </si>
  <si>
    <t>EAST</t>
  </si>
  <si>
    <t>MILL</t>
  </si>
  <si>
    <t>BOS</t>
  </si>
  <si>
    <t>GL</t>
  </si>
  <si>
    <t xml:space="preserve"> PORTLAND</t>
  </si>
  <si>
    <t>NE</t>
  </si>
  <si>
    <t>2X4</t>
  </si>
  <si>
    <t>--</t>
  </si>
  <si>
    <t>#2&amp;Btr</t>
  </si>
  <si>
    <t>2x4</t>
  </si>
  <si>
    <t>2X6</t>
  </si>
  <si>
    <t>2X8</t>
  </si>
  <si>
    <t>2X10</t>
  </si>
  <si>
    <t>2X12</t>
  </si>
  <si>
    <t>#3/UTIL</t>
  </si>
  <si>
    <t>Fir&amp;</t>
  </si>
  <si>
    <t>ES-LP</t>
  </si>
  <si>
    <t>Southern Pine</t>
  </si>
  <si>
    <t>STUDS</t>
  </si>
  <si>
    <t>Larch</t>
  </si>
  <si>
    <t>2X4-8' Stud</t>
  </si>
  <si>
    <t>2X4-8' 2/2&amp;B</t>
  </si>
  <si>
    <t>2X4-9' Stud</t>
  </si>
  <si>
    <t>2X4-9' 2/2&amp;B</t>
  </si>
  <si>
    <t>COMMONS</t>
  </si>
  <si>
    <t>PONDEROSA PINE</t>
  </si>
  <si>
    <t>INLAND MILLS</t>
  </si>
  <si>
    <t>#3</t>
  </si>
  <si>
    <t>#4</t>
  </si>
  <si>
    <t>1X6</t>
  </si>
  <si>
    <t>1X12</t>
  </si>
  <si>
    <t>PLYWOOD</t>
  </si>
  <si>
    <t>SHEATHING</t>
  </si>
  <si>
    <t>SANDED</t>
  </si>
  <si>
    <t>UNDERLAYMENT</t>
  </si>
  <si>
    <t>WESTERN</t>
  </si>
  <si>
    <t>SOUTHERN</t>
  </si>
  <si>
    <t>CD</t>
  </si>
  <si>
    <t xml:space="preserve">         Rated</t>
  </si>
  <si>
    <t>AC</t>
  </si>
  <si>
    <t>C-X-band,T&amp;G</t>
  </si>
  <si>
    <t>CENTRAL</t>
  </si>
  <si>
    <t>3/8"</t>
  </si>
  <si>
    <t>1/4"</t>
  </si>
  <si>
    <t>23/32"</t>
  </si>
  <si>
    <t>1/2" 3P</t>
  </si>
  <si>
    <t>15/32" 3P</t>
  </si>
  <si>
    <t>11/32"</t>
  </si>
  <si>
    <t>CONCRETE FORM</t>
  </si>
  <si>
    <t>1/2" 4/5P</t>
  </si>
  <si>
    <t>15/32" 4P</t>
  </si>
  <si>
    <t>15/32"</t>
  </si>
  <si>
    <t>5/8" 4/5P</t>
  </si>
  <si>
    <t>19/32" 4P</t>
  </si>
  <si>
    <t>19/32"</t>
  </si>
  <si>
    <t>3/4" 4/5P</t>
  </si>
  <si>
    <t>3/4"</t>
  </si>
  <si>
    <t>CANADIAN SPRUCE PLYWOOD</t>
  </si>
  <si>
    <t>TOR</t>
  </si>
  <si>
    <t>VAN</t>
  </si>
  <si>
    <t>9.5mm-3/8"</t>
  </si>
  <si>
    <t>ORIENTED STRAND BOARD</t>
  </si>
  <si>
    <t>NORTH</t>
  </si>
  <si>
    <t>EASTERN</t>
  </si>
  <si>
    <t>SOUTH</t>
  </si>
  <si>
    <t>MID</t>
  </si>
  <si>
    <t>LOS</t>
  </si>
  <si>
    <t>CANADA</t>
  </si>
  <si>
    <t>ATLANTIC</t>
  </si>
  <si>
    <t>ANGELES</t>
  </si>
  <si>
    <t>SEATTLE</t>
  </si>
  <si>
    <t>DENVER</t>
  </si>
  <si>
    <t>PHOENIX</t>
  </si>
  <si>
    <t>TORONTO</t>
  </si>
  <si>
    <t>7/16"</t>
  </si>
  <si>
    <t>Week</t>
  </si>
  <si>
    <t>Issue</t>
  </si>
  <si>
    <r>
      <t>Random Lengths Midweek Reports</t>
    </r>
    <r>
      <rPr>
        <sz val="10"/>
        <rFont val="Arial"/>
        <family val="2"/>
      </rPr>
      <t xml:space="preserve"> are published</t>
    </r>
    <r>
      <rPr>
        <b/>
        <sz val="11"/>
        <color theme="1"/>
        <rFont val="Calibri"/>
        <family val="2"/>
        <scheme val="minor"/>
      </rPr>
      <t xml:space="preserve"> every </t>
    </r>
    <r>
      <rPr>
        <b/>
        <u/>
        <sz val="11"/>
        <color theme="1"/>
        <rFont val="Calibri"/>
        <family val="2"/>
        <scheme val="minor"/>
      </rPr>
      <t>Tuesday</t>
    </r>
    <r>
      <rPr>
        <b/>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</si>
</sst>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General_)"/>
    <numFmt numFmtId="165" formatCode="00"/>
    <numFmt numFmtId="166" formatCode="mm/dd/yy"/>
    <numFmt numFmtId="167" formatCode="\+#,##0;\–#,##0;0"/>
    <numFmt numFmtId="168" formatCode="\+#,##0.00;\–#,##0.00;0"/>
    <numFmt numFmtId="169" formatCode="[$-409]d\-mmm\-yyyy;@"/>
  </numFmts>
  <fonts count="22" x14ac:knownFonts="1">
    <font>
      <sz val="10"/>
      <name val="Arial"/>
      <family val="2"/>
    </font>
    <font>
      <sz val="10"/>
      <color indexed="8"/>
      <name val="Arial"/>
      <family val="2"/>
    </font>
    <font>
      <sz val="10"/>
      <name val="Arial"/>
      <family val="2"/>
    </font>
    <font>
      <sz val="10"/>
      <name val="Courier"/>
      <family val="3"/>
    </font>
    <font>
      <b/>
      <i/>
      <sz val="16"/>
      <color indexed="17"/>
      <name val="Arial"/>
      <family val="2"/>
    </font>
    <font>
      <i/>
      <sz val="10"/>
      <color indexed="12"/>
      <name val="Arial"/>
      <family val="2"/>
    </font>
    <font>
      <sz val="10"/>
      <color indexed="10"/>
      <name val="Arial"/>
      <family val="2"/>
    </font>
    <font>
      <sz val="10"/>
      <color indexed="17"/>
      <name val="Arial"/>
      <family val="2"/>
    </font>
    <font>
      <i/>
      <sz val="10"/>
      <color indexed="10"/>
      <name val="Arial"/>
      <family val="2"/>
    </font>
    <font>
      <sz val="10"/>
      <color indexed="12"/>
      <name val="Arial"/>
      <family val="2"/>
    </font>
    <font>
      <b/>
      <i/>
      <sz val="12"/>
      <color indexed="17"/>
      <name val="Arial"/>
      <family val="2"/>
    </font>
    <font>
      <b/>
      <sz val="12"/>
      <color indexed="10"/>
      <name val="Arial"/>
      <family val="2"/>
    </font>
    <font>
      <b/>
      <sz val="10"/>
      <color indexed="10"/>
      <name val="Arial"/>
      <family val="2"/>
    </font>
    <font>
      <sz val="8"/>
      <color indexed="12"/>
      <name val="Arial"/>
      <family val="2"/>
    </font>
    <font>
      <sz val="8"/>
      <name val="Arial"/>
      <family val="2"/>
    </font>
    <font>
      <b/>
      <sz val="8"/>
      <color indexed="12"/>
      <name val="Arial"/>
      <family val="2"/>
    </font>
    <font>
      <sz val="8"/>
      <color indexed="10"/>
      <name val="Arial"/>
      <family val="2"/>
    </font>
    <font>
      <b/>
      <i/>
      <sz val="10"/>
      <color indexed="17"/>
      <name val="Arial"/>
      <family val="2"/>
    </font>
    <font>
      <sz val="10"/>
      <color indexed="8"/>
      <name val="Courier"/>
      <family val="3"/>
    </font>
    <font>
      <b/>
      <sz val="10"/>
      <color indexed="8"/>
      <name val="Arial"/>
      <family val="2"/>
    </font>
    <font>
      <b/>
      <sz val="11"/>
      <color theme="1"/>
      <name val="Calibri"/>
      <family val="2"/>
      <scheme val="minor"/>
    </font>
    <font>
      <b/>
      <u/>
      <sz val="11"/>
      <color theme="1"/>
      <name val="Calibri"/>
      <family val="2"/>
      <scheme val="minor"/>
    </font>
  </fonts>
  <fills count="7">
    <fill>
      <patternFill patternType="none"/>
    </fill>
    <fill>
      <patternFill patternType="gray125"/>
    </fill>
    <fill>
      <patternFill patternType="solid">
        <fgColor indexed="46"/>
        <bgColor indexed="64"/>
      </patternFill>
    </fill>
    <fill>
      <patternFill patternType="solid">
        <fgColor indexed="29"/>
        <bgColor indexed="64"/>
      </patternFill>
    </fill>
    <fill>
      <patternFill patternType="solid">
        <fgColor indexed="41"/>
        <bgColor indexed="64"/>
      </patternFill>
    </fill>
    <fill>
      <patternFill patternType="solid">
        <fgColor theme="7" tint="0.59999389629810485"/>
        <bgColor indexed="64"/>
      </patternFill>
    </fill>
    <fill>
      <patternFill patternType="solid">
        <fgColor rgb="FFFFFF00"/>
        <bgColor indexed="64"/>
      </patternFill>
    </fill>
  </fills>
  <borders count="1">
    <border>
      <left/>
      <right/>
      <top/>
      <bottom/>
      <diagonal/>
    </border>
  </borders>
  <cellStyleXfs count="7">
    <xf numFmtId="164" fontId="0" fillId="0" borderId="0"/>
    <xf numFmtId="2" fontId="18" fillId="2" borderId="0">
      <alignment horizontal="right"/>
    </xf>
    <xf numFmtId="2" fontId="3" fillId="3" borderId="0">
      <alignment horizontal="right"/>
    </xf>
    <xf numFmtId="3" fontId="2" fillId="0" borderId="0">
      <alignment horizontal="right"/>
    </xf>
    <xf numFmtId="4" fontId="2" fillId="0" borderId="0">
      <alignment horizontal="right"/>
    </xf>
    <xf numFmtId="167" fontId="2" fillId="0" borderId="0">
      <alignment horizontal="right"/>
    </xf>
    <xf numFmtId="168" fontId="2" fillId="4" borderId="0">
      <alignment horizontal="right"/>
    </xf>
  </cellStyleXfs>
  <cellXfs count="99">
    <xf numFmtId="164" fontId="0" fillId="0" borderId="0" xfId="0"/>
    <xf numFmtId="164" fontId="13" fillId="0" borderId="0" xfId="0" applyFont="1" applyAlignment="1">
      <alignment horizontal="right"/>
    </xf>
    <xf numFmtId="164" fontId="4" fillId="0" borderId="0" xfId="0" quotePrefix="1" applyFont="1" applyAlignment="1">
      <alignment horizontal="left"/>
    </xf>
    <xf numFmtId="49" fontId="2" fillId="0" borderId="0" xfId="0" quotePrefix="1" applyNumberFormat="1" applyFont="1" applyAlignment="1">
      <alignment horizontal="left"/>
    </xf>
    <xf numFmtId="3" fontId="7" fillId="0" borderId="0" xfId="0" applyNumberFormat="1" applyFont="1"/>
    <xf numFmtId="1" fontId="2" fillId="0" borderId="0" xfId="0" applyNumberFormat="1" applyFont="1" applyAlignment="1">
      <alignment horizontal="left"/>
    </xf>
    <xf numFmtId="165" fontId="2" fillId="0" borderId="0" xfId="0" applyNumberFormat="1" applyFont="1" applyAlignment="1">
      <alignment horizontal="left"/>
    </xf>
    <xf numFmtId="164" fontId="8" fillId="0" borderId="0" xfId="0" quotePrefix="1" applyFont="1" applyAlignment="1">
      <alignment horizontal="right"/>
    </xf>
    <xf numFmtId="164" fontId="2" fillId="0" borderId="0" xfId="0" applyFont="1"/>
    <xf numFmtId="49" fontId="9" fillId="0" borderId="0" xfId="0" quotePrefix="1" applyNumberFormat="1" applyFont="1" applyAlignment="1">
      <alignment horizontal="left"/>
    </xf>
    <xf numFmtId="164" fontId="2" fillId="0" borderId="0" xfId="0" quotePrefix="1" applyFont="1" applyAlignment="1">
      <alignment horizontal="left"/>
    </xf>
    <xf numFmtId="3" fontId="8" fillId="0" borderId="0" xfId="0" applyNumberFormat="1" applyFont="1" applyAlignment="1">
      <alignment horizontal="right"/>
    </xf>
    <xf numFmtId="3" fontId="2" fillId="0" borderId="0" xfId="0" applyNumberFormat="1" applyFont="1" applyAlignment="1">
      <alignment horizontal="left"/>
    </xf>
    <xf numFmtId="164" fontId="0" fillId="0" borderId="0" xfId="0" applyAlignment="1">
      <alignment horizontal="right"/>
    </xf>
    <xf numFmtId="49" fontId="6" fillId="0" borderId="0" xfId="0" applyNumberFormat="1" applyFont="1" applyAlignment="1">
      <alignment horizontal="left"/>
    </xf>
    <xf numFmtId="3" fontId="5" fillId="0" borderId="0" xfId="0" applyNumberFormat="1" applyFont="1" applyAlignment="1">
      <alignment horizontal="center"/>
    </xf>
    <xf numFmtId="1" fontId="2" fillId="0" borderId="0" xfId="0" applyNumberFormat="1" applyFont="1" applyAlignment="1">
      <alignment horizontal="center"/>
    </xf>
    <xf numFmtId="165" fontId="2" fillId="0" borderId="0" xfId="0" applyNumberFormat="1" applyFont="1" applyAlignment="1">
      <alignment horizontal="center"/>
    </xf>
    <xf numFmtId="3" fontId="2" fillId="0" borderId="0" xfId="3">
      <alignment horizontal="right"/>
    </xf>
    <xf numFmtId="164" fontId="11" fillId="0" borderId="0" xfId="0" applyFont="1"/>
    <xf numFmtId="3" fontId="1" fillId="0" borderId="0" xfId="3" applyFont="1">
      <alignment horizontal="right"/>
    </xf>
    <xf numFmtId="166" fontId="17" fillId="0" borderId="0" xfId="0" quotePrefix="1" applyNumberFormat="1" applyFont="1" applyAlignment="1">
      <alignment horizontal="left"/>
    </xf>
    <xf numFmtId="3" fontId="10" fillId="0" borderId="0" xfId="0" quotePrefix="1" applyNumberFormat="1" applyFont="1" applyAlignment="1">
      <alignment horizontal="left"/>
    </xf>
    <xf numFmtId="164" fontId="13" fillId="0" borderId="0" xfId="0" applyFont="1" applyAlignment="1">
      <alignment horizontal="left"/>
    </xf>
    <xf numFmtId="3" fontId="11" fillId="0" borderId="0" xfId="0" quotePrefix="1" applyNumberFormat="1" applyFont="1" applyAlignment="1">
      <alignment horizontal="left"/>
    </xf>
    <xf numFmtId="3" fontId="12" fillId="0" borderId="0" xfId="0" quotePrefix="1" applyNumberFormat="1" applyFont="1" applyAlignment="1">
      <alignment horizontal="left"/>
    </xf>
    <xf numFmtId="164" fontId="13" fillId="0" borderId="0" xfId="0" quotePrefix="1" applyFont="1" applyAlignment="1">
      <alignment horizontal="left"/>
    </xf>
    <xf numFmtId="164" fontId="13" fillId="0" borderId="0" xfId="0" quotePrefix="1" applyFont="1" applyAlignment="1">
      <alignment horizontal="centerContinuous"/>
    </xf>
    <xf numFmtId="164" fontId="13" fillId="0" borderId="0" xfId="0" applyFont="1" applyAlignment="1">
      <alignment horizontal="centerContinuous"/>
    </xf>
    <xf numFmtId="164" fontId="13" fillId="0" borderId="0" xfId="0" quotePrefix="1" applyFont="1"/>
    <xf numFmtId="164" fontId="13" fillId="0" borderId="0" xfId="0" quotePrefix="1" applyFont="1" applyAlignment="1">
      <alignment horizontal="right"/>
    </xf>
    <xf numFmtId="164" fontId="14" fillId="0" borderId="0" xfId="0" applyFont="1"/>
    <xf numFmtId="164" fontId="13" fillId="0" borderId="0" xfId="0" applyFont="1"/>
    <xf numFmtId="164" fontId="2" fillId="0" borderId="0" xfId="0" applyFont="1" applyAlignment="1">
      <alignment horizontal="right"/>
    </xf>
    <xf numFmtId="164" fontId="2" fillId="0" borderId="0" xfId="0" applyFont="1" applyAlignment="1">
      <alignment horizontal="center"/>
    </xf>
    <xf numFmtId="164" fontId="0" fillId="0" borderId="0" xfId="0" quotePrefix="1"/>
    <xf numFmtId="164" fontId="12" fillId="0" borderId="0" xfId="0" quotePrefix="1" applyFont="1" applyAlignment="1">
      <alignment horizontal="left"/>
    </xf>
    <xf numFmtId="164" fontId="6" fillId="0" borderId="0" xfId="0" applyFont="1"/>
    <xf numFmtId="3" fontId="2" fillId="0" borderId="0" xfId="0" applyNumberFormat="1" applyFont="1"/>
    <xf numFmtId="164" fontId="15" fillId="0" borderId="0" xfId="0" applyFont="1" applyAlignment="1">
      <alignment horizontal="left"/>
    </xf>
    <xf numFmtId="164" fontId="15" fillId="0" borderId="0" xfId="0" applyFont="1" applyAlignment="1">
      <alignment horizontal="right"/>
    </xf>
    <xf numFmtId="3" fontId="16" fillId="0" borderId="0" xfId="0" applyNumberFormat="1" applyFont="1" applyAlignment="1">
      <alignment horizontal="left"/>
    </xf>
    <xf numFmtId="3" fontId="13" fillId="0" borderId="0" xfId="0" applyNumberFormat="1" applyFont="1" applyAlignment="1">
      <alignment horizontal="right"/>
    </xf>
    <xf numFmtId="3" fontId="13" fillId="0" borderId="0" xfId="0" applyNumberFormat="1" applyFont="1" applyAlignment="1">
      <alignment horizontal="left"/>
    </xf>
    <xf numFmtId="3" fontId="14" fillId="0" borderId="0" xfId="0" applyNumberFormat="1" applyFont="1"/>
    <xf numFmtId="3" fontId="13" fillId="0" borderId="0" xfId="0" quotePrefix="1" applyNumberFormat="1" applyFont="1" applyAlignment="1">
      <alignment horizontal="right"/>
    </xf>
    <xf numFmtId="164" fontId="5" fillId="0" borderId="0" xfId="0" applyFont="1" applyAlignment="1">
      <alignment horizontal="center"/>
    </xf>
    <xf numFmtId="169" fontId="1" fillId="0" borderId="0" xfId="0" applyNumberFormat="1" applyFont="1" applyAlignment="1">
      <alignment horizontal="center"/>
    </xf>
    <xf numFmtId="164" fontId="4" fillId="0" borderId="0" xfId="0" quotePrefix="1" applyFont="1" applyAlignment="1" applyProtection="1">
      <alignment horizontal="left"/>
      <protection locked="0"/>
    </xf>
    <xf numFmtId="164" fontId="0" fillId="0" borderId="0" xfId="0" applyProtection="1">
      <protection locked="0"/>
    </xf>
    <xf numFmtId="49" fontId="2" fillId="0" borderId="0" xfId="0" quotePrefix="1" applyNumberFormat="1" applyFont="1" applyAlignment="1" applyProtection="1">
      <alignment horizontal="left"/>
      <protection locked="0"/>
    </xf>
    <xf numFmtId="3" fontId="7" fillId="0" borderId="0" xfId="0" applyNumberFormat="1" applyFont="1" applyProtection="1">
      <protection locked="0"/>
    </xf>
    <xf numFmtId="1" fontId="2" fillId="0" borderId="0" xfId="0" applyNumberFormat="1" applyFont="1" applyAlignment="1" applyProtection="1">
      <alignment horizontal="left"/>
      <protection locked="0"/>
    </xf>
    <xf numFmtId="165" fontId="2" fillId="0" borderId="0" xfId="0" applyNumberFormat="1" applyFont="1" applyAlignment="1" applyProtection="1">
      <alignment horizontal="left"/>
      <protection locked="0"/>
    </xf>
    <xf numFmtId="164" fontId="8" fillId="0" borderId="0" xfId="0" quotePrefix="1" applyFont="1" applyAlignment="1" applyProtection="1">
      <alignment horizontal="right"/>
      <protection locked="0"/>
    </xf>
    <xf numFmtId="164" fontId="2" fillId="0" borderId="0" xfId="0" applyFont="1" applyProtection="1">
      <protection locked="0"/>
    </xf>
    <xf numFmtId="49" fontId="9" fillId="0" borderId="0" xfId="0" quotePrefix="1" applyNumberFormat="1" applyFont="1" applyAlignment="1" applyProtection="1">
      <alignment horizontal="left"/>
      <protection locked="0"/>
    </xf>
    <xf numFmtId="164" fontId="2" fillId="0" borderId="0" xfId="0" quotePrefix="1" applyFont="1" applyAlignment="1" applyProtection="1">
      <alignment horizontal="left"/>
      <protection locked="0"/>
    </xf>
    <xf numFmtId="49" fontId="6" fillId="0" borderId="0" xfId="0" applyNumberFormat="1" applyFont="1" applyAlignment="1" applyProtection="1">
      <alignment horizontal="left"/>
      <protection locked="0"/>
    </xf>
    <xf numFmtId="3" fontId="8" fillId="0" borderId="0" xfId="0" applyNumberFormat="1" applyFont="1" applyAlignment="1" applyProtection="1">
      <alignment horizontal="right"/>
      <protection locked="0"/>
    </xf>
    <xf numFmtId="164" fontId="5" fillId="0" borderId="0" xfId="0" applyFont="1" applyAlignment="1" applyProtection="1">
      <alignment horizontal="center"/>
      <protection locked="0"/>
    </xf>
    <xf numFmtId="3" fontId="5" fillId="0" borderId="0" xfId="0" applyNumberFormat="1" applyFont="1" applyAlignment="1" applyProtection="1">
      <alignment horizontal="center"/>
      <protection locked="0"/>
    </xf>
    <xf numFmtId="1" fontId="2" fillId="0" borderId="0" xfId="0" applyNumberFormat="1" applyFont="1" applyAlignment="1" applyProtection="1">
      <alignment horizontal="center"/>
      <protection locked="0"/>
    </xf>
    <xf numFmtId="165" fontId="2" fillId="0" borderId="0" xfId="0" applyNumberFormat="1" applyFont="1" applyAlignment="1" applyProtection="1">
      <alignment horizontal="center"/>
      <protection locked="0"/>
    </xf>
    <xf numFmtId="169" fontId="1" fillId="0" borderId="0" xfId="0" applyNumberFormat="1" applyFont="1" applyAlignment="1" applyProtection="1">
      <alignment horizontal="center"/>
      <protection locked="0"/>
    </xf>
    <xf numFmtId="166" fontId="17" fillId="0" borderId="0" xfId="0" quotePrefix="1" applyNumberFormat="1" applyFont="1" applyAlignment="1" applyProtection="1">
      <alignment horizontal="left"/>
      <protection locked="0"/>
    </xf>
    <xf numFmtId="3" fontId="10" fillId="0" borderId="0" xfId="0" quotePrefix="1" applyNumberFormat="1" applyFont="1" applyAlignment="1" applyProtection="1">
      <alignment horizontal="left"/>
      <protection locked="0"/>
    </xf>
    <xf numFmtId="164" fontId="11" fillId="0" borderId="0" xfId="0" applyFont="1" applyProtection="1">
      <protection locked="0"/>
    </xf>
    <xf numFmtId="164" fontId="0" fillId="0" borderId="0" xfId="0" applyAlignment="1" applyProtection="1">
      <alignment horizontal="right"/>
      <protection locked="0"/>
    </xf>
    <xf numFmtId="164" fontId="13" fillId="0" borderId="0" xfId="0" applyFont="1" applyAlignment="1" applyProtection="1">
      <alignment horizontal="left"/>
      <protection locked="0"/>
    </xf>
    <xf numFmtId="164" fontId="13" fillId="0" borderId="0" xfId="0" applyFont="1" applyAlignment="1" applyProtection="1">
      <alignment horizontal="right"/>
      <protection locked="0"/>
    </xf>
    <xf numFmtId="3" fontId="1" fillId="0" borderId="0" xfId="3" applyFont="1" applyProtection="1">
      <alignment horizontal="right"/>
      <protection locked="0"/>
    </xf>
    <xf numFmtId="3" fontId="2" fillId="0" borderId="0" xfId="3" applyProtection="1">
      <alignment horizontal="right"/>
      <protection locked="0"/>
    </xf>
    <xf numFmtId="3" fontId="11" fillId="0" borderId="0" xfId="0" quotePrefix="1" applyNumberFormat="1" applyFont="1" applyAlignment="1" applyProtection="1">
      <alignment horizontal="left"/>
      <protection locked="0"/>
    </xf>
    <xf numFmtId="3" fontId="12" fillId="0" borderId="0" xfId="0" quotePrefix="1" applyNumberFormat="1" applyFont="1" applyAlignment="1" applyProtection="1">
      <alignment horizontal="left"/>
      <protection locked="0"/>
    </xf>
    <xf numFmtId="164" fontId="13" fillId="0" borderId="0" xfId="0" quotePrefix="1" applyFont="1" applyAlignment="1" applyProtection="1">
      <alignment horizontal="left"/>
      <protection locked="0"/>
    </xf>
    <xf numFmtId="164" fontId="13" fillId="0" borderId="0" xfId="0" quotePrefix="1" applyFont="1" applyAlignment="1" applyProtection="1">
      <alignment horizontal="centerContinuous"/>
      <protection locked="0"/>
    </xf>
    <xf numFmtId="164" fontId="13" fillId="0" borderId="0" xfId="0" applyFont="1" applyAlignment="1" applyProtection="1">
      <alignment horizontal="centerContinuous"/>
      <protection locked="0"/>
    </xf>
    <xf numFmtId="164" fontId="13" fillId="0" borderId="0" xfId="0" quotePrefix="1" applyFont="1" applyProtection="1">
      <protection locked="0"/>
    </xf>
    <xf numFmtId="164" fontId="13" fillId="0" borderId="0" xfId="0" quotePrefix="1" applyFont="1" applyAlignment="1" applyProtection="1">
      <alignment horizontal="right"/>
      <protection locked="0"/>
    </xf>
    <xf numFmtId="164" fontId="14" fillId="0" borderId="0" xfId="0" applyFont="1" applyProtection="1">
      <protection locked="0"/>
    </xf>
    <xf numFmtId="164" fontId="13" fillId="0" borderId="0" xfId="0" applyFont="1" applyProtection="1">
      <protection locked="0"/>
    </xf>
    <xf numFmtId="164" fontId="2" fillId="0" borderId="0" xfId="0" applyFont="1" applyAlignment="1" applyProtection="1">
      <alignment horizontal="right"/>
      <protection locked="0"/>
    </xf>
    <xf numFmtId="164" fontId="2" fillId="0" borderId="0" xfId="0" applyFont="1" applyAlignment="1" applyProtection="1">
      <alignment horizontal="center"/>
      <protection locked="0"/>
    </xf>
    <xf numFmtId="164" fontId="0" fillId="0" borderId="0" xfId="0" quotePrefix="1" applyProtection="1">
      <protection locked="0"/>
    </xf>
    <xf numFmtId="164" fontId="12" fillId="0" borderId="0" xfId="0" quotePrefix="1" applyFont="1" applyAlignment="1" applyProtection="1">
      <alignment horizontal="left"/>
      <protection locked="0"/>
    </xf>
    <xf numFmtId="164" fontId="6" fillId="0" borderId="0" xfId="0" applyFont="1" applyProtection="1">
      <protection locked="0"/>
    </xf>
    <xf numFmtId="3" fontId="2" fillId="0" borderId="0" xfId="0" applyNumberFormat="1" applyFont="1" applyAlignment="1" applyProtection="1">
      <alignment horizontal="left"/>
      <protection locked="0"/>
    </xf>
    <xf numFmtId="3" fontId="2" fillId="0" borderId="0" xfId="0" applyNumberFormat="1" applyFont="1" applyProtection="1">
      <protection locked="0"/>
    </xf>
    <xf numFmtId="164" fontId="15" fillId="0" borderId="0" xfId="0" applyFont="1" applyAlignment="1" applyProtection="1">
      <alignment horizontal="left"/>
      <protection locked="0"/>
    </xf>
    <xf numFmtId="164" fontId="15" fillId="0" borderId="0" xfId="0" applyFont="1" applyAlignment="1" applyProtection="1">
      <alignment horizontal="right"/>
      <protection locked="0"/>
    </xf>
    <xf numFmtId="3" fontId="16" fillId="0" borderId="0" xfId="0" applyNumberFormat="1" applyFont="1" applyAlignment="1" applyProtection="1">
      <alignment horizontal="left"/>
      <protection locked="0"/>
    </xf>
    <xf numFmtId="3" fontId="13" fillId="0" borderId="0" xfId="0" applyNumberFormat="1" applyFont="1" applyAlignment="1" applyProtection="1">
      <alignment horizontal="right"/>
      <protection locked="0"/>
    </xf>
    <xf numFmtId="3" fontId="13" fillId="0" borderId="0" xfId="0" applyNumberFormat="1" applyFont="1" applyAlignment="1" applyProtection="1">
      <alignment horizontal="left"/>
      <protection locked="0"/>
    </xf>
    <xf numFmtId="3" fontId="14" fillId="0" borderId="0" xfId="0" applyNumberFormat="1" applyFont="1" applyProtection="1">
      <protection locked="0"/>
    </xf>
    <xf numFmtId="3" fontId="13" fillId="0" borderId="0" xfId="0" quotePrefix="1" applyNumberFormat="1" applyFont="1" applyAlignment="1" applyProtection="1">
      <alignment horizontal="right"/>
      <protection locked="0"/>
    </xf>
    <xf numFmtId="169" fontId="19" fillId="6" borderId="0" xfId="0" applyNumberFormat="1" applyFont="1" applyFill="1" applyAlignment="1">
      <alignment horizontal="center"/>
    </xf>
    <xf numFmtId="169" fontId="19" fillId="5" borderId="0" xfId="0" applyNumberFormat="1" applyFont="1" applyFill="1" applyAlignment="1">
      <alignment horizontal="center"/>
    </xf>
    <xf numFmtId="164" fontId="20" fillId="0" borderId="0" xfId="0" applyFont="1"/>
  </cellXfs>
  <cellStyles count="7">
    <cellStyle name="DbPrice" xfId="1" xr:uid="{00000000-0005-0000-0000-000000000000}"/>
    <cellStyle name="DbTag" xfId="2" xr:uid="{00000000-0005-0000-0000-000001000000}"/>
    <cellStyle name="Normal" xfId="0" builtinId="0"/>
    <cellStyle name="Price" xfId="3" xr:uid="{00000000-0005-0000-0000-000003000000}"/>
    <cellStyle name="PriceD2" xfId="4" xr:uid="{00000000-0005-0000-0000-000004000000}"/>
    <cellStyle name="UpsDowns" xfId="5" xr:uid="{00000000-0005-0000-0000-000005000000}"/>
    <cellStyle name="UpsDownsD2" xfId="6" xr:uid="{00000000-0005-0000-0000-00000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0</xdr:colOff>
      <xdr:row>15</xdr:row>
      <xdr:rowOff>152400</xdr:rowOff>
    </xdr:to>
    <xdr:grpSp>
      <xdr:nvGrpSpPr>
        <xdr:cNvPr id="2" name="Group 33">
          <a:extLst>
            <a:ext uri="{FF2B5EF4-FFF2-40B4-BE49-F238E27FC236}">
              <a16:creationId xmlns:a16="http://schemas.microsoft.com/office/drawing/2014/main" id="{98288CDF-ED3A-4FF0-BE62-FD6911420053}"/>
            </a:ext>
          </a:extLst>
        </xdr:cNvPr>
        <xdr:cNvGrpSpPr>
          <a:grpSpLocks/>
        </xdr:cNvGrpSpPr>
      </xdr:nvGrpSpPr>
      <xdr:grpSpPr bwMode="auto">
        <a:xfrm>
          <a:off x="0" y="0"/>
          <a:ext cx="9467850" cy="2676525"/>
          <a:chOff x="0" y="0"/>
          <a:chExt cx="757" cy="281"/>
        </a:xfrm>
      </xdr:grpSpPr>
      <xdr:sp macro="" textlink="">
        <xdr:nvSpPr>
          <xdr:cNvPr id="3" name="Rectangle 1">
            <a:extLst>
              <a:ext uri="{FF2B5EF4-FFF2-40B4-BE49-F238E27FC236}">
                <a16:creationId xmlns:a16="http://schemas.microsoft.com/office/drawing/2014/main" id="{2EFDF093-E48B-AC14-08B5-34C0C8FF45F7}"/>
              </a:ext>
            </a:extLst>
          </xdr:cNvPr>
          <xdr:cNvSpPr>
            <a:spLocks noChangeArrowheads="1"/>
          </xdr:cNvSpPr>
        </xdr:nvSpPr>
        <xdr:spPr bwMode="auto">
          <a:xfrm>
            <a:off x="0" y="0"/>
            <a:ext cx="757" cy="28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Text 9">
            <a:extLst>
              <a:ext uri="{FF2B5EF4-FFF2-40B4-BE49-F238E27FC236}">
                <a16:creationId xmlns:a16="http://schemas.microsoft.com/office/drawing/2014/main" id="{DC535922-3C5B-7288-9A95-69C641AEAB35}"/>
              </a:ext>
            </a:extLst>
          </xdr:cNvPr>
          <xdr:cNvSpPr txBox="1">
            <a:spLocks noChangeArrowheads="1"/>
          </xdr:cNvSpPr>
        </xdr:nvSpPr>
        <xdr:spPr bwMode="auto">
          <a:xfrm>
            <a:off x="26" y="213"/>
            <a:ext cx="478" cy="43"/>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Midweek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Midweek starts at cell A101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 name="Text 53">
            <a:extLst>
              <a:ext uri="{FF2B5EF4-FFF2-40B4-BE49-F238E27FC236}">
                <a16:creationId xmlns:a16="http://schemas.microsoft.com/office/drawing/2014/main" id="{F8071BE0-3D34-6776-AD08-4FB382814B9C}"/>
              </a:ext>
            </a:extLst>
          </xdr:cNvPr>
          <xdr:cNvSpPr txBox="1">
            <a:spLocks noChangeArrowheads="1"/>
          </xdr:cNvSpPr>
        </xdr:nvSpPr>
        <xdr:spPr bwMode="auto">
          <a:xfrm>
            <a:off x="484" y="14"/>
            <a:ext cx="268"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oneCellAnchor>
    <xdr:from>
      <xdr:col>0</xdr:col>
      <xdr:colOff>171450</xdr:colOff>
      <xdr:row>0</xdr:row>
      <xdr:rowOff>180975</xdr:rowOff>
    </xdr:from>
    <xdr:ext cx="4352925" cy="1533525"/>
    <xdr:pic>
      <xdr:nvPicPr>
        <xdr:cNvPr id="6" name="Picture 1">
          <a:extLst>
            <a:ext uri="{FF2B5EF4-FFF2-40B4-BE49-F238E27FC236}">
              <a16:creationId xmlns:a16="http://schemas.microsoft.com/office/drawing/2014/main" id="{711A5847-7CD8-40D7-BFBF-ACBB7B944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61925"/>
          <a:ext cx="43529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9524</xdr:colOff>
      <xdr:row>23</xdr:row>
      <xdr:rowOff>19051</xdr:rowOff>
    </xdr:from>
    <xdr:to>
      <xdr:col>4</xdr:col>
      <xdr:colOff>438149</xdr:colOff>
      <xdr:row>30</xdr:row>
      <xdr:rowOff>47626</xdr:rowOff>
    </xdr:to>
    <xdr:sp macro="" textlink="">
      <xdr:nvSpPr>
        <xdr:cNvPr id="7" name="TextBox 6">
          <a:extLst>
            <a:ext uri="{FF2B5EF4-FFF2-40B4-BE49-F238E27FC236}">
              <a16:creationId xmlns:a16="http://schemas.microsoft.com/office/drawing/2014/main" id="{ADB99122-0B45-4F68-88FF-49A5ABF89DD4}"/>
            </a:ext>
          </a:extLst>
        </xdr:cNvPr>
        <xdr:cNvSpPr txBox="1"/>
      </xdr:nvSpPr>
      <xdr:spPr>
        <a:xfrm>
          <a:off x="742949" y="3838576"/>
          <a:ext cx="3629025" cy="11620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This version</a:t>
          </a:r>
          <a:r>
            <a:rPr lang="en-US" sz="1100" b="1" baseline="0">
              <a:solidFill>
                <a:schemeClr val="dk1"/>
              </a:solidFill>
              <a:effectLst/>
              <a:latin typeface="+mn-lt"/>
              <a:ea typeface="+mn-ea"/>
              <a:cs typeface="+mn-cs"/>
            </a:rPr>
            <a:t> can ONLY be used to generate the latest midweek prices </a:t>
          </a:r>
          <a:r>
            <a:rPr lang="en-US" sz="1100" b="1" i="1" u="sng" baseline="0">
              <a:solidFill>
                <a:schemeClr val="dk1"/>
              </a:solidFill>
              <a:effectLst/>
              <a:latin typeface="+mn-lt"/>
              <a:ea typeface="+mn-ea"/>
              <a:cs typeface="+mn-cs"/>
            </a:rPr>
            <a:t>after</a:t>
          </a:r>
          <a:r>
            <a:rPr lang="en-US" sz="1100" b="1" baseline="0">
              <a:solidFill>
                <a:schemeClr val="dk1"/>
              </a:solidFill>
              <a:effectLst/>
              <a:latin typeface="+mn-lt"/>
              <a:ea typeface="+mn-ea"/>
              <a:cs typeface="+mn-cs"/>
            </a:rPr>
            <a:t> the </a:t>
          </a:r>
          <a:r>
            <a:rPr lang="en-US" sz="1100" b="1" i="1" u="sng" baseline="0">
              <a:solidFill>
                <a:schemeClr val="dk1"/>
              </a:solidFill>
              <a:effectLst/>
              <a:latin typeface="+mn-lt"/>
              <a:ea typeface="+mn-ea"/>
              <a:cs typeface="+mn-cs"/>
            </a:rPr>
            <a:t>midweek</a:t>
          </a:r>
          <a:r>
            <a:rPr lang="en-US" sz="1100" b="1" baseline="0">
              <a:solidFill>
                <a:schemeClr val="dk1"/>
              </a:solidFill>
              <a:effectLst/>
              <a:latin typeface="+mn-lt"/>
              <a:ea typeface="+mn-ea"/>
              <a:cs typeface="+mn-cs"/>
            </a:rPr>
            <a:t> assessments </a:t>
          </a:r>
          <a:r>
            <a:rPr lang="en-US" sz="1100" b="1" u="sng" baseline="0">
              <a:solidFill>
                <a:schemeClr val="dk1"/>
              </a:solidFill>
              <a:effectLst/>
              <a:latin typeface="+mn-lt"/>
              <a:ea typeface="+mn-ea"/>
              <a:cs typeface="+mn-cs"/>
            </a:rPr>
            <a:t>AND</a:t>
          </a:r>
          <a:r>
            <a:rPr lang="en-US" sz="1100" b="1" baseline="0">
              <a:solidFill>
                <a:schemeClr val="dk1"/>
              </a:solidFill>
              <a:effectLst/>
              <a:latin typeface="+mn-lt"/>
              <a:ea typeface="+mn-ea"/>
              <a:cs typeface="+mn-cs"/>
            </a:rPr>
            <a:t> </a:t>
          </a:r>
          <a:r>
            <a:rPr lang="en-US" sz="1100" b="1" i="1" u="sng" baseline="0">
              <a:solidFill>
                <a:schemeClr val="dk1"/>
              </a:solidFill>
              <a:effectLst/>
              <a:latin typeface="+mn-lt"/>
              <a:ea typeface="+mn-ea"/>
              <a:cs typeface="+mn-cs"/>
            </a:rPr>
            <a:t>before</a:t>
          </a:r>
          <a:r>
            <a:rPr lang="en-US" sz="1100" b="1" baseline="0">
              <a:solidFill>
                <a:schemeClr val="dk1"/>
              </a:solidFill>
              <a:effectLst/>
              <a:latin typeface="+mn-lt"/>
              <a:ea typeface="+mn-ea"/>
              <a:cs typeface="+mn-cs"/>
            </a:rPr>
            <a:t> the </a:t>
          </a:r>
          <a:r>
            <a:rPr lang="en-US" sz="1100" b="1" i="1" u="sng" baseline="0">
              <a:solidFill>
                <a:schemeClr val="dk1"/>
              </a:solidFill>
              <a:effectLst/>
              <a:latin typeface="+mn-lt"/>
              <a:ea typeface="+mn-ea"/>
              <a:cs typeface="+mn-cs"/>
            </a:rPr>
            <a:t>end-of-week </a:t>
          </a:r>
          <a:r>
            <a:rPr lang="en-US" sz="1100" b="1" baseline="0">
              <a:solidFill>
                <a:schemeClr val="dk1"/>
              </a:solidFill>
              <a:effectLst/>
              <a:latin typeface="+mn-lt"/>
              <a:ea typeface="+mn-ea"/>
              <a:cs typeface="+mn-cs"/>
            </a:rPr>
            <a:t>assessments are published.</a:t>
          </a:r>
          <a:endParaRPr lang="en-GB"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The latest publication date is automatically filled </a:t>
          </a:r>
          <a:r>
            <a:rPr lang="en-US" sz="1100" b="1" baseline="0">
              <a:solidFill>
                <a:schemeClr val="dk1"/>
              </a:solidFill>
              <a:effectLst/>
              <a:latin typeface="+mn-lt"/>
              <a:ea typeface="+mn-ea"/>
              <a:cs typeface="+mn-cs"/>
            </a:rPr>
            <a:t>in the highlighted cell (B22)</a:t>
          </a:r>
          <a:endParaRPr lang="en-US"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0</xdr:colOff>
      <xdr:row>15</xdr:row>
      <xdr:rowOff>152400</xdr:rowOff>
    </xdr:to>
    <xdr:grpSp>
      <xdr:nvGrpSpPr>
        <xdr:cNvPr id="18185" name="Group 33">
          <a:extLst>
            <a:ext uri="{FF2B5EF4-FFF2-40B4-BE49-F238E27FC236}">
              <a16:creationId xmlns:a16="http://schemas.microsoft.com/office/drawing/2014/main" id="{00000000-0008-0000-0100-000009470000}"/>
            </a:ext>
          </a:extLst>
        </xdr:cNvPr>
        <xdr:cNvGrpSpPr>
          <a:grpSpLocks/>
        </xdr:cNvGrpSpPr>
      </xdr:nvGrpSpPr>
      <xdr:grpSpPr bwMode="auto">
        <a:xfrm>
          <a:off x="0" y="0"/>
          <a:ext cx="10801350" cy="2676525"/>
          <a:chOff x="0" y="0"/>
          <a:chExt cx="757" cy="281"/>
        </a:xfrm>
      </xdr:grpSpPr>
      <xdr:sp macro="" textlink="">
        <xdr:nvSpPr>
          <xdr:cNvPr id="18187" name="Rectangle 1">
            <a:extLst>
              <a:ext uri="{FF2B5EF4-FFF2-40B4-BE49-F238E27FC236}">
                <a16:creationId xmlns:a16="http://schemas.microsoft.com/office/drawing/2014/main" id="{00000000-0008-0000-0100-00000B470000}"/>
              </a:ext>
            </a:extLst>
          </xdr:cNvPr>
          <xdr:cNvSpPr>
            <a:spLocks noChangeArrowheads="1"/>
          </xdr:cNvSpPr>
        </xdr:nvSpPr>
        <xdr:spPr bwMode="auto">
          <a:xfrm>
            <a:off x="0" y="0"/>
            <a:ext cx="757" cy="28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124" name="Text 9">
            <a:extLst>
              <a:ext uri="{FF2B5EF4-FFF2-40B4-BE49-F238E27FC236}">
                <a16:creationId xmlns:a16="http://schemas.microsoft.com/office/drawing/2014/main" id="{00000000-0008-0000-0100-000004140000}"/>
              </a:ext>
            </a:extLst>
          </xdr:cNvPr>
          <xdr:cNvSpPr txBox="1">
            <a:spLocks noChangeArrowheads="1"/>
          </xdr:cNvSpPr>
        </xdr:nvSpPr>
        <xdr:spPr bwMode="auto">
          <a:xfrm>
            <a:off x="26" y="213"/>
            <a:ext cx="478" cy="43"/>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Midweek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Midweek starts at cell A101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148" name="Text 53">
            <a:extLst>
              <a:ext uri="{FF2B5EF4-FFF2-40B4-BE49-F238E27FC236}">
                <a16:creationId xmlns:a16="http://schemas.microsoft.com/office/drawing/2014/main" id="{00000000-0008-0000-0100-00001C140000}"/>
              </a:ext>
            </a:extLst>
          </xdr:cNvPr>
          <xdr:cNvSpPr txBox="1">
            <a:spLocks noChangeArrowheads="1"/>
          </xdr:cNvSpPr>
        </xdr:nvSpPr>
        <xdr:spPr bwMode="auto">
          <a:xfrm>
            <a:off x="484" y="14"/>
            <a:ext cx="268"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twoCellAnchor editAs="oneCell">
    <xdr:from>
      <xdr:col>0</xdr:col>
      <xdr:colOff>171450</xdr:colOff>
      <xdr:row>0</xdr:row>
      <xdr:rowOff>180975</xdr:rowOff>
    </xdr:from>
    <xdr:to>
      <xdr:col>4</xdr:col>
      <xdr:colOff>685800</xdr:colOff>
      <xdr:row>10</xdr:row>
      <xdr:rowOff>0</xdr:rowOff>
    </xdr:to>
    <xdr:pic>
      <xdr:nvPicPr>
        <xdr:cNvPr id="18186" name="Picture 1">
          <a:extLst>
            <a:ext uri="{FF2B5EF4-FFF2-40B4-BE49-F238E27FC236}">
              <a16:creationId xmlns:a16="http://schemas.microsoft.com/office/drawing/2014/main" id="{00000000-0008-0000-0100-00000A47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80975"/>
          <a:ext cx="43529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22</xdr:row>
      <xdr:rowOff>152400</xdr:rowOff>
    </xdr:from>
    <xdr:to>
      <xdr:col>4</xdr:col>
      <xdr:colOff>123825</xdr:colOff>
      <xdr:row>26</xdr:row>
      <xdr:rowOff>152400</xdr:rowOff>
    </xdr:to>
    <xdr:sp macro="" textlink="">
      <xdr:nvSpPr>
        <xdr:cNvPr id="3" name="TextBox 2">
          <a:extLst>
            <a:ext uri="{FF2B5EF4-FFF2-40B4-BE49-F238E27FC236}">
              <a16:creationId xmlns:a16="http://schemas.microsoft.com/office/drawing/2014/main" id="{AB8FEE27-9C17-46DC-A528-1CEF7235266D}"/>
            </a:ext>
          </a:extLst>
        </xdr:cNvPr>
        <xdr:cNvSpPr txBox="1"/>
      </xdr:nvSpPr>
      <xdr:spPr>
        <a:xfrm>
          <a:off x="742950" y="3810000"/>
          <a:ext cx="3219450" cy="6477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400" b="1">
              <a:solidFill>
                <a:schemeClr val="dk1"/>
              </a:solidFill>
              <a:effectLst/>
              <a:latin typeface="+mn-lt"/>
              <a:ea typeface="+mn-ea"/>
              <a:cs typeface="+mn-cs"/>
            </a:rPr>
            <a:t>Specify a past publication date in the highlighted cell (B22)</a:t>
          </a:r>
          <a:endParaRPr lang="en-US" sz="1400" baseline="0"/>
        </a:p>
        <a:p>
          <a:endParaRPr lang="en-US" sz="14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AF467-3E70-4DEE-AAE4-8FC544D86D0A}">
  <sheetPr>
    <pageSetUpPr fitToPage="1"/>
  </sheetPr>
  <dimension ref="A1:AA170"/>
  <sheetViews>
    <sheetView tabSelected="1" zoomScaleNormal="100" workbookViewId="0">
      <selection activeCell="A18" sqref="A18"/>
    </sheetView>
  </sheetViews>
  <sheetFormatPr defaultRowHeight="12.75" x14ac:dyDescent="0.2"/>
  <cols>
    <col min="1" max="1" width="11" style="49" customWidth="1"/>
    <col min="2" max="2" width="16.28515625" style="49" bestFit="1" customWidth="1"/>
    <col min="3" max="5" width="15.85546875" style="49" bestFit="1" customWidth="1"/>
    <col min="6" max="7" width="9.140625" style="49"/>
    <col min="8" max="8" width="12.42578125" style="49" customWidth="1"/>
    <col min="9" max="9" width="12.28515625" style="49" customWidth="1"/>
    <col min="10" max="10" width="11.5703125" style="49" customWidth="1"/>
    <col min="11" max="11" width="12.5703125" style="49" customWidth="1"/>
    <col min="12" max="16" width="9.140625" style="49"/>
    <col min="17" max="17" width="9.140625" style="49" customWidth="1"/>
    <col min="18" max="26" width="9.140625" style="49"/>
    <col min="27" max="27" width="10.85546875" style="49" customWidth="1"/>
    <col min="28" max="16384" width="9.140625" style="49"/>
  </cols>
  <sheetData>
    <row r="1" spans="1:11" ht="20.25" x14ac:dyDescent="0.3">
      <c r="A1" s="48" t="s">
        <v>0</v>
      </c>
    </row>
    <row r="4" spans="1:11" x14ac:dyDescent="0.2">
      <c r="I4" s="50"/>
      <c r="J4" s="51"/>
    </row>
    <row r="5" spans="1:11" x14ac:dyDescent="0.2">
      <c r="I5" s="52"/>
      <c r="J5" s="53"/>
      <c r="K5" s="52"/>
    </row>
    <row r="6" spans="1:11" x14ac:dyDescent="0.2">
      <c r="G6" s="54"/>
      <c r="H6" s="55"/>
    </row>
    <row r="7" spans="1:11" x14ac:dyDescent="0.2">
      <c r="G7" s="55"/>
      <c r="H7" s="55"/>
    </row>
    <row r="8" spans="1:11" x14ac:dyDescent="0.2">
      <c r="G8" s="55"/>
      <c r="H8" s="55"/>
    </row>
    <row r="9" spans="1:11" x14ac:dyDescent="0.2">
      <c r="G9" s="55"/>
    </row>
    <row r="10" spans="1:11" x14ac:dyDescent="0.2">
      <c r="A10" s="55"/>
    </row>
    <row r="11" spans="1:11" x14ac:dyDescent="0.2">
      <c r="A11" s="56"/>
    </row>
    <row r="13" spans="1:11" x14ac:dyDescent="0.2">
      <c r="A13" s="57"/>
    </row>
    <row r="14" spans="1:11" x14ac:dyDescent="0.2">
      <c r="A14" s="55"/>
    </row>
    <row r="15" spans="1:11" x14ac:dyDescent="0.2">
      <c r="A15" s="55"/>
      <c r="G15" s="55"/>
      <c r="H15" s="55"/>
    </row>
    <row r="16" spans="1:11" x14ac:dyDescent="0.2">
      <c r="A16" s="55"/>
      <c r="G16" s="55"/>
      <c r="H16" s="55"/>
    </row>
    <row r="17" spans="1:24" x14ac:dyDescent="0.2">
      <c r="D17" s="55"/>
      <c r="E17" s="55"/>
      <c r="F17" s="55"/>
      <c r="G17" s="55"/>
      <c r="H17" s="55"/>
      <c r="X17" s="58"/>
    </row>
    <row r="18" spans="1:24" x14ac:dyDescent="0.2">
      <c r="F18" s="55"/>
      <c r="G18" s="55"/>
      <c r="H18" s="59"/>
      <c r="J18" s="51"/>
    </row>
    <row r="19" spans="1:24" x14ac:dyDescent="0.2">
      <c r="F19" s="55"/>
      <c r="G19" s="55"/>
      <c r="H19" s="59"/>
    </row>
    <row r="20" spans="1:24" x14ac:dyDescent="0.2">
      <c r="F20" s="55"/>
      <c r="H20" s="60" t="s">
        <v>1</v>
      </c>
      <c r="I20" s="60" t="s">
        <v>2</v>
      </c>
      <c r="J20" s="60" t="s">
        <v>3</v>
      </c>
      <c r="K20" s="60" t="s">
        <v>4</v>
      </c>
    </row>
    <row r="21" spans="1:24" x14ac:dyDescent="0.2">
      <c r="B21" s="61" t="s">
        <v>5</v>
      </c>
      <c r="C21" s="61" t="s">
        <v>6</v>
      </c>
      <c r="D21" s="61" t="s">
        <v>7</v>
      </c>
      <c r="E21" s="61"/>
      <c r="F21" s="61"/>
      <c r="G21" s="61"/>
      <c r="H21" s="60" t="s">
        <v>8</v>
      </c>
      <c r="I21" s="60" t="s">
        <v>8</v>
      </c>
      <c r="J21" s="60" t="s">
        <v>8</v>
      </c>
      <c r="K21" s="60" t="s">
        <v>8</v>
      </c>
    </row>
    <row r="22" spans="1:24" x14ac:dyDescent="0.2">
      <c r="B22" s="96" cm="1">
        <f t="array" aca="1" ref="B22" ca="1">_xll.GetPrice("FP-LBR-1185","Actual","AssessmentDate", TODAY())</f>
        <v>45848.653113425928</v>
      </c>
      <c r="C22" s="62">
        <f ca="1">YEAR(_varPubDate)</f>
        <v>2025</v>
      </c>
      <c r="D22" s="62">
        <f ca="1">MONTH(_varPubDate)</f>
        <v>7</v>
      </c>
      <c r="E22" s="63"/>
      <c r="F22" s="63"/>
      <c r="H22" s="64" cm="1">
        <f t="array" aca="1" ref="H22" ca="1">_xll.GetPrice("FP-LBR-1185","Actual","AssessmentDate",_varPubDate-1)</f>
        <v>45846.610868055555</v>
      </c>
      <c r="I22" s="64" cm="1">
        <f t="array" aca="1" ref="I22" ca="1">_xll.GetPrice("FP-PNL-0499","Actual","AssessmentDate",_varPubDate-1)</f>
        <v>45846.610833333332</v>
      </c>
      <c r="J22" s="64" cm="1">
        <f t="array" aca="1" ref="J22" ca="1">IF(_xll.GetPrice("FP-LBR-1185","Actual","PreliminaryPrice",_varPubDate-7),_xll.GetPrice("FP-LBR-1185","Actual","AssessmentDate",_varPubDate-7),IF(_xll.GetPrice("FP-LBR-1185","Actual","PreliminaryPrice",_varPubDate-14),_xll.GetPrice("FP-LBR-1185","Actual","AssessmentDate",_varPubDate-14),_xll.GetPrice("FP-LBR-1185","Actual","AssessmentDate",_varPubDate-21)))</f>
        <v>45826.652615740742</v>
      </c>
      <c r="K22" s="64" cm="1">
        <f t="array" aca="1" ref="K22" ca="1">IF(_xll.GetPrice("FP-PNL-0499","Actual","PreliminaryPrice",_varPubDate-7),_xll.GetPrice("FP-PNL-0499","Actual","AssessmentDate",_varPubDate-7),IF(_xll.GetPrice("FP-PNL-0499","Actual","PreliminaryPrice",_varPubDate-14),_xll.GetPrice("FP-PNL-0499","Actual","AssessmentDate",_varPubDate-14),_xll.GetPrice("FP-PNL-0499","Actual","AssessmentDate",_varPubDate-21)))</f>
        <v>45832.607222222221</v>
      </c>
    </row>
    <row r="23" spans="1:24" x14ac:dyDescent="0.2">
      <c r="A23" s="55"/>
      <c r="B23" s="55"/>
      <c r="C23" s="55"/>
      <c r="D23" s="55"/>
      <c r="E23" s="55"/>
      <c r="F23" s="55"/>
      <c r="G23" s="55"/>
      <c r="H23" s="55"/>
    </row>
    <row r="101" spans="1:18" ht="15.75" x14ac:dyDescent="0.25">
      <c r="A101" s="65">
        <f ca="1">_varPubDate</f>
        <v>45848.653113425928</v>
      </c>
      <c r="B101" s="66" t="s">
        <v>0</v>
      </c>
      <c r="G101" s="67"/>
      <c r="R101" s="68"/>
    </row>
    <row r="103" spans="1:18" x14ac:dyDescent="0.2">
      <c r="B103" s="54" t="s">
        <v>9</v>
      </c>
      <c r="C103" s="69" t="s">
        <v>10</v>
      </c>
      <c r="D103" s="69" t="s">
        <v>11</v>
      </c>
      <c r="E103" s="69" t="s">
        <v>12</v>
      </c>
      <c r="G103" s="69"/>
      <c r="H103" s="69"/>
    </row>
    <row r="104" spans="1:18" x14ac:dyDescent="0.2">
      <c r="B104" s="70" t="s">
        <v>13</v>
      </c>
      <c r="C104" s="71" cm="1">
        <f t="array" aca="1" ref="C104" ca="1">_xll.GetPrice("FP-LBR-1185","Actual","Low",_varPubDate)</f>
        <v>427</v>
      </c>
      <c r="D104" s="71" cm="1">
        <f t="array" aca="1" ref="D104" ca="1">_xll.GetPrice("FP-LBR-1185","Actual","Low",_varPrvWkLbr)</f>
        <v>423</v>
      </c>
      <c r="E104" s="71" cm="1">
        <f t="array" aca="1" ref="E104" ca="1">_xll.GetPrice("FP-LBR-1185","Actual","Low",_varPrvMidWkLbr)</f>
        <v>424</v>
      </c>
    </row>
    <row r="105" spans="1:18" x14ac:dyDescent="0.2">
      <c r="B105" s="70" t="s">
        <v>14</v>
      </c>
      <c r="C105" s="72">
        <f t="array" aca="1" ref="C105" ca="1">_xll.GetPrice("FP-PNL-0499","Actual","Low",_varPubDate)</f>
        <v>447</v>
      </c>
      <c r="D105" s="72" cm="1">
        <f t="array" aca="1" ref="D105" ca="1">_xll.GetPrice("FP-PNL-0499","Actual","Low",_varPrvWkPnl)</f>
        <v>447</v>
      </c>
      <c r="E105" s="71" cm="1">
        <f t="array" aca="1" ref="E105" ca="1">_xll.GetPrice("FP-PNL-0499","Actual","Low",_varPrvMidWkPnl)</f>
        <v>459</v>
      </c>
    </row>
    <row r="107" spans="1:18" ht="15.75" x14ac:dyDescent="0.25">
      <c r="G107" s="73" t="s">
        <v>15</v>
      </c>
    </row>
    <row r="108" spans="1:18" x14ac:dyDescent="0.2">
      <c r="A108" s="74" t="s">
        <v>16</v>
      </c>
      <c r="P108" s="74" t="s">
        <v>17</v>
      </c>
    </row>
    <row r="109" spans="1:18" x14ac:dyDescent="0.2">
      <c r="K109" s="55"/>
      <c r="L109" s="75" t="s">
        <v>18</v>
      </c>
      <c r="M109" s="55"/>
      <c r="N109" s="55"/>
      <c r="Q109" s="55"/>
    </row>
    <row r="110" spans="1:18" x14ac:dyDescent="0.2">
      <c r="B110" s="70" t="s">
        <v>19</v>
      </c>
      <c r="C110" s="76" t="s">
        <v>20</v>
      </c>
      <c r="D110" s="77"/>
      <c r="E110" s="70" t="s">
        <v>21</v>
      </c>
      <c r="F110" s="78" t="s">
        <v>22</v>
      </c>
      <c r="G110" s="78"/>
      <c r="I110" s="77" t="s">
        <v>23</v>
      </c>
      <c r="J110" s="77"/>
      <c r="K110" s="77"/>
      <c r="L110" s="79" t="s">
        <v>24</v>
      </c>
      <c r="M110" s="70" t="s">
        <v>25</v>
      </c>
      <c r="N110" s="70"/>
      <c r="P110" s="75" t="s">
        <v>26</v>
      </c>
      <c r="Q110" s="80"/>
    </row>
    <row r="111" spans="1:18" x14ac:dyDescent="0.2">
      <c r="A111" s="81" t="s">
        <v>27</v>
      </c>
      <c r="B111" s="70" t="s">
        <v>28</v>
      </c>
      <c r="C111" s="70" t="s">
        <v>29</v>
      </c>
      <c r="D111" s="70" t="s">
        <v>30</v>
      </c>
      <c r="E111" s="70" t="s">
        <v>31</v>
      </c>
      <c r="F111" s="70" t="s">
        <v>32</v>
      </c>
      <c r="G111" s="70" t="s">
        <v>33</v>
      </c>
      <c r="H111" s="70" t="s">
        <v>34</v>
      </c>
      <c r="I111" s="70" t="s">
        <v>35</v>
      </c>
      <c r="J111" s="70" t="s">
        <v>36</v>
      </c>
      <c r="K111" s="70" t="s">
        <v>37</v>
      </c>
      <c r="L111" s="70" t="s">
        <v>38</v>
      </c>
      <c r="M111" s="70" t="s">
        <v>39</v>
      </c>
      <c r="N111" s="70" t="s">
        <v>40</v>
      </c>
      <c r="P111" s="75" t="s">
        <v>41</v>
      </c>
      <c r="Q111" s="79" t="s">
        <v>42</v>
      </c>
    </row>
    <row r="112" spans="1:18" x14ac:dyDescent="0.2">
      <c r="A112" s="79" t="s">
        <v>43</v>
      </c>
      <c r="B112" s="82" t="s">
        <v>44</v>
      </c>
      <c r="C112" s="72" cm="1">
        <f t="array" aca="1" ref="C112" ca="1">_xll.GetPrice("FP-LBR-0241","Actual","Low",_varPubDate)</f>
        <v>502</v>
      </c>
      <c r="D112" s="82" t="s">
        <v>44</v>
      </c>
      <c r="E112" s="82" t="s">
        <v>44</v>
      </c>
      <c r="F112" s="72">
        <f t="array" aca="1" ref="F112" ca="1">_xll.GetPrice("FP-LBR-0228","Actual","Low",_varPubDate)</f>
        <v>515</v>
      </c>
      <c r="G112" s="68" t="s">
        <v>44</v>
      </c>
      <c r="H112" s="82" t="s">
        <v>44</v>
      </c>
      <c r="I112" s="82" t="s">
        <v>44</v>
      </c>
      <c r="J112" s="82" t="s">
        <v>44</v>
      </c>
      <c r="K112" s="82" t="s">
        <v>44</v>
      </c>
      <c r="L112" s="82" t="s">
        <v>44</v>
      </c>
      <c r="M112" s="82" t="s">
        <v>44</v>
      </c>
      <c r="N112" s="82" t="s">
        <v>44</v>
      </c>
      <c r="P112" s="72">
        <f t="array" aca="1" ref="P112" ca="1">_xll.GetPrice("FP-LBR-1317","Actual","Low",_varPubDate)</f>
        <v>445</v>
      </c>
      <c r="Q112" s="72">
        <f t="array" aca="1" ref="Q112" ca="1">_xll.GetPrice("FP-LBR-1206","Actual","Low",_varPubDate)</f>
        <v>610</v>
      </c>
    </row>
    <row r="113" spans="1:17" x14ac:dyDescent="0.2">
      <c r="A113" s="75" t="s">
        <v>45</v>
      </c>
    </row>
    <row r="114" spans="1:17" x14ac:dyDescent="0.2">
      <c r="A114" s="79" t="s">
        <v>46</v>
      </c>
      <c r="B114" s="72">
        <f t="array" aca="1" ref="B114" ca="1">_xll.GetPrice("FP-LBR-0149","Actual","Low",_varPubDate)</f>
        <v>510</v>
      </c>
      <c r="C114" s="72">
        <f t="array" aca="1" ref="C114" ca="1">_xll.GetPrice("FP-LBR-0242","Actual","Low",_varPubDate)</f>
        <v>520</v>
      </c>
      <c r="D114" s="72" cm="1">
        <f t="array" aca="1" ref="D114" ca="1">_xll.GetPrice("FP-LBR-0258","Actual","Low",_varPubDate)</f>
        <v>525</v>
      </c>
      <c r="E114" s="72">
        <f t="array" aca="1" ref="E114" ca="1">_xll.GetPrice("FP-LBR-0162","Actual","Low",_varPubDate)</f>
        <v>540</v>
      </c>
      <c r="F114" s="72">
        <f t="array" aca="1" ref="F114" ca="1">_xll.GetPrice("FP-LBR-0229","Actual","Low",_varPubDate)</f>
        <v>534</v>
      </c>
      <c r="G114" s="72">
        <f t="array" aca="1" ref="G114" ca="1">_xll.GetPrice("FP-LBR-0268","Actual","Low",_varPubDate)</f>
        <v>495</v>
      </c>
      <c r="H114" s="72">
        <f t="array" aca="1" ref="H114" ca="1">_xll.GetPrice("FP-LBR-0254","Actual","Low",_varPubDate)</f>
        <v>520</v>
      </c>
      <c r="I114" s="72">
        <f t="array" aca="1" ref="I114" ca="1">_xll.GetPrice("FP-LBR-0304","Actual","Low",_varPubDate)</f>
        <v>354</v>
      </c>
      <c r="J114" s="72">
        <f t="array" aca="1" ref="J114" ca="1">_xll.GetPrice("FP-LBR-1996","Actual","Low",_varPubDate)</f>
        <v>335</v>
      </c>
      <c r="K114" s="72">
        <f t="array" aca="1" ref="K114" ca="1">_xll.GetPrice("FP-LBR-1980","Actual","Low",_varPubDate)</f>
        <v>385</v>
      </c>
      <c r="L114" s="71">
        <f t="array" aca="1" ref="L114" ca="1">_xll.GetPrice("FP-LBR-0403","Actual","Low",_varPubDate)</f>
        <v>498</v>
      </c>
      <c r="M114" s="72">
        <f t="array" aca="1" ref="M114" ca="1">_xll.GetPrice("FP-LBR-1212","Actual","Low",_varPubDate)</f>
        <v>580</v>
      </c>
      <c r="N114" s="72">
        <f t="array" aca="1" ref="N114" ca="1">_xll.GetPrice("FP-LBR-1218","Actual","Low",_varPubDate)</f>
        <v>605</v>
      </c>
      <c r="P114" s="72">
        <f t="array" aca="1" ref="P114" ca="1">_xll.GetPrice("FP-LBR-1318","Actual","Low",_varPubDate)</f>
        <v>460</v>
      </c>
      <c r="Q114" s="72">
        <f t="array" aca="1" ref="Q114" ca="1">_xll.GetPrice("FP-LBR-1207","Actual","Low",_varPubDate)</f>
        <v>625</v>
      </c>
    </row>
    <row r="115" spans="1:17" x14ac:dyDescent="0.2">
      <c r="A115" s="79" t="s">
        <v>47</v>
      </c>
      <c r="B115" s="72">
        <f t="array" aca="1" ref="B115" ca="1">_xll.GetPrice("FP-LBR-0150","Actual","Low",_varPubDate)</f>
        <v>460</v>
      </c>
      <c r="C115" s="72">
        <f t="array" aca="1" ref="C115" ca="1">_xll.GetPrice("FP-LBR-0243","Actual","Low",_varPubDate)</f>
        <v>465</v>
      </c>
      <c r="D115" s="72">
        <f t="array" aca="1" ref="D115" ca="1">_xll.GetPrice("FP-LBR-0259","Actual","Low",_varPubDate)</f>
        <v>465</v>
      </c>
      <c r="E115" s="72">
        <f t="array" aca="1" ref="E115" ca="1">_xll.GetPrice("FP-LBR-0163","Actual","Low",_varPubDate)</f>
        <v>490</v>
      </c>
      <c r="F115" s="72">
        <f t="array" aca="1" ref="F115" ca="1">_xll.GetPrice("FP-LBR-0230","Actual","Low",_varPubDate)</f>
        <v>500</v>
      </c>
      <c r="G115" s="72">
        <f t="array" aca="1" ref="G115" ca="1">_xll.GetPrice("FP-LBR-0269","Actual","Low",_varPubDate)</f>
        <v>445</v>
      </c>
      <c r="H115" s="72">
        <f t="array" aca="1" ref="H115" ca="1">_xll.GetPrice("FP-LBR-0255","Actual","Low",_varPubDate)</f>
        <v>480</v>
      </c>
      <c r="I115" s="72">
        <f t="array" aca="1" ref="I115" ca="1">_xll.GetPrice("FP-LBR-0305","Actual","Low",_varPubDate)</f>
        <v>299</v>
      </c>
      <c r="J115" s="72">
        <f t="array" aca="1" ref="J115" ca="1">_xll.GetPrice("FP-LBR-1997","Actual","Low",_varPubDate)</f>
        <v>295</v>
      </c>
      <c r="K115" s="72">
        <f t="array" aca="1" ref="K115" ca="1">_xll.GetPrice("FP-LBR-1981","Actual","Low",_varPubDate)</f>
        <v>313</v>
      </c>
      <c r="L115" s="71">
        <f t="array" aca="1" ref="L115" ca="1">_xll.GetPrice("FP-LBR-0404","Actual","Low",_varPubDate)</f>
        <v>400</v>
      </c>
      <c r="M115" s="72">
        <f t="array" aca="1" ref="M115" ca="1">_xll.GetPrice("FP-LBR-1213","Actual","Low",_varPubDate)</f>
        <v>515</v>
      </c>
      <c r="N115" s="72">
        <f t="array" aca="1" ref="N115" ca="1">_xll.GetPrice("FP-LBR-1219","Actual","Low",_varPubDate)</f>
        <v>510</v>
      </c>
      <c r="O115" s="68"/>
      <c r="P115" s="72">
        <f t="array" aca="1" ref="P115" ca="1">_xll.GetPrice("FP-LBR-1319","Actual","Low",_varPubDate)</f>
        <v>395</v>
      </c>
      <c r="Q115" s="72">
        <f t="array" aca="1" ref="Q115" ca="1">_xll.GetPrice("FP-LBR-1208","Actual","Low",_varPubDate)</f>
        <v>570</v>
      </c>
    </row>
    <row r="116" spans="1:17" x14ac:dyDescent="0.2">
      <c r="A116" s="79" t="s">
        <v>48</v>
      </c>
      <c r="B116" s="72">
        <f t="array" aca="1" ref="B116" ca="1">_xll.GetPrice("FP-LBR-0151","Actual","Low",_varPubDate)</f>
        <v>395</v>
      </c>
      <c r="C116" s="72">
        <f t="array" aca="1" ref="C116" ca="1">_xll.GetPrice("FP-LBR-0244","Actual","Low",_varPubDate)</f>
        <v>420</v>
      </c>
      <c r="D116" s="72">
        <f t="array" aca="1" ref="D116" ca="1">_xll.GetPrice("FP-LBR-0260","Actual","Low",_varPubDate)</f>
        <v>405</v>
      </c>
      <c r="E116" s="72">
        <f t="array" aca="1" ref="E116" ca="1">_xll.GetPrice("FP-LBR-0164","Actual","Low",_varPubDate)</f>
        <v>480</v>
      </c>
      <c r="F116" s="72">
        <f t="array" aca="1" ref="F116" ca="1">_xll.GetPrice("FP-LBR-0231","Actual","Low",_varPubDate)</f>
        <v>495</v>
      </c>
      <c r="G116" s="72">
        <f t="array" aca="1" ref="G116" ca="1">_xll.GetPrice("FP-LBR-0270","Actual","Low",_varPubDate)</f>
        <v>430</v>
      </c>
      <c r="H116" s="82" t="s">
        <v>44</v>
      </c>
      <c r="I116" s="72">
        <f t="array" aca="1" ref="I116" ca="1">_xll.GetPrice("FP-LBR-0306","Actual","Low",_varPubDate)</f>
        <v>315</v>
      </c>
      <c r="J116" s="72">
        <f t="array" aca="1" ref="J116" ca="1">_xll.GetPrice("FP-LBR-1998","Actual","Low",_varPubDate)</f>
        <v>290</v>
      </c>
      <c r="K116" s="72">
        <f t="array" aca="1" ref="K116" ca="1">_xll.GetPrice("FP-LBR-1982","Actual","Low",_varPubDate)</f>
        <v>313</v>
      </c>
      <c r="L116" s="71">
        <f t="array" aca="1" ref="L116" ca="1">_xll.GetPrice("FP-LBR-0405","Actual","Low",_varPubDate)</f>
        <v>388</v>
      </c>
      <c r="M116" s="72">
        <f t="array" aca="1" ref="M116" ca="1">_xll.GetPrice("FP-LBR-1214","Actual","Low",_varPubDate)</f>
        <v>495</v>
      </c>
      <c r="N116" s="72">
        <f t="array" aca="1" ref="N116" ca="1">_xll.GetPrice("FP-LBR-1220","Actual","Low",_varPubDate)</f>
        <v>505</v>
      </c>
      <c r="O116" s="68"/>
      <c r="P116" s="72">
        <f t="array" aca="1" ref="P116" ca="1">_xll.GetPrice("FP-LBR-1320","Actual","Low",_varPubDate)</f>
        <v>410</v>
      </c>
      <c r="Q116" s="72">
        <f t="array" aca="1" ref="Q116" ca="1">_xll.GetPrice("FP-LBR-1209","Actual","Low",_varPubDate)</f>
        <v>585</v>
      </c>
    </row>
    <row r="117" spans="1:17" x14ac:dyDescent="0.2">
      <c r="A117" s="70" t="s">
        <v>49</v>
      </c>
      <c r="B117" s="72">
        <f t="array" aca="1" ref="B117" ca="1">_xll.GetPrice("FP-LBR-0152","Actual","Low",_varPubDate)</f>
        <v>400</v>
      </c>
      <c r="C117" s="72">
        <f t="array" aca="1" ref="C117" ca="1">_xll.GetPrice("FP-LBR-0245","Actual","Low",_varPubDate)</f>
        <v>430</v>
      </c>
      <c r="D117" s="72">
        <f t="array" aca="1" ref="D117" ca="1">_xll.GetPrice("FP-LBR-0261","Actual","Low",_varPubDate)</f>
        <v>425</v>
      </c>
      <c r="E117" s="72">
        <f t="array" aca="1" ref="E117" ca="1">_xll.GetPrice("FP-LBR-0165","Actual","Low",_varPubDate)</f>
        <v>640</v>
      </c>
      <c r="F117" s="72">
        <f t="array" aca="1" ref="F117" ca="1">_xll.GetPrice("FP-LBR-0232","Actual","Low",_varPubDate)</f>
        <v>638</v>
      </c>
      <c r="G117" s="72">
        <f t="array" aca="1" ref="G117" ca="1">_xll.GetPrice("FP-LBR-0271","Actual","Low",_varPubDate)</f>
        <v>622</v>
      </c>
      <c r="H117" s="82" t="s">
        <v>44</v>
      </c>
      <c r="I117" s="72">
        <f t="array" aca="1" ref="I117" ca="1">_xll.GetPrice("FP-LBR-0307","Actual","Low",_varPubDate)</f>
        <v>289</v>
      </c>
      <c r="J117" s="72">
        <f t="array" aca="1" ref="J117" ca="1">_xll.GetPrice("FP-LBR-1999","Actual","Low",_varPubDate)</f>
        <v>285</v>
      </c>
      <c r="K117" s="72">
        <f t="array" aca="1" ref="K117" ca="1">_xll.GetPrice("FP-LBR-1983","Actual","Low",_varPubDate)</f>
        <v>340</v>
      </c>
      <c r="L117" s="71">
        <f t="array" aca="1" ref="L117" ca="1">_xll.GetPrice("FP-LBR-0406","Actual","Low",_varPubDate)</f>
        <v>443</v>
      </c>
      <c r="M117" s="72">
        <f t="array" aca="1" ref="M117" ca="1">_xll.GetPrice("FP-LBR-1215","Actual","Low",_varPubDate)</f>
        <v>575</v>
      </c>
      <c r="N117" s="72">
        <f t="array" aca="1" ref="N117" ca="1">_xll.GetPrice("FP-LBR-1221","Actual","Low",_varPubDate)</f>
        <v>590</v>
      </c>
      <c r="O117" s="68"/>
      <c r="P117" s="72">
        <f t="array" aca="1" ref="P117" ca="1">_xll.GetPrice("FP-LBR-1321","Actual","Low",_varPubDate)</f>
        <v>570</v>
      </c>
      <c r="Q117" s="72">
        <f t="array" aca="1" ref="Q117" ca="1">_xll.GetPrice("FP-LBR-1210","Actual","Low",_varPubDate)</f>
        <v>730</v>
      </c>
    </row>
    <row r="118" spans="1:17" x14ac:dyDescent="0.2">
      <c r="A118" s="70" t="s">
        <v>50</v>
      </c>
      <c r="B118" s="72">
        <f t="array" aca="1" ref="B118" ca="1">_xll.GetPrice("FP-LBR-0153","Actual","Low",_varPubDate)</f>
        <v>405</v>
      </c>
      <c r="C118" s="72">
        <f t="array" aca="1" ref="C118" ca="1">_xll.GetPrice("FP-LBR-0246","Actual","Low",_varPubDate)</f>
        <v>410</v>
      </c>
      <c r="D118" s="72">
        <f t="array" aca="1" ref="D118" ca="1">_xll.GetPrice("FP-LBR-0262","Actual","Low",_varPubDate)</f>
        <v>420</v>
      </c>
      <c r="E118" s="72">
        <f t="array" aca="1" ref="E118" ca="1">_xll.GetPrice("FP-LBR-0166","Actual","Low",_varPubDate)</f>
        <v>560</v>
      </c>
      <c r="F118" s="72">
        <f t="array" aca="1" ref="F118" ca="1">_xll.GetPrice("FP-LBR-0233","Actual","Low",_varPubDate)</f>
        <v>565</v>
      </c>
      <c r="G118" s="72">
        <f t="array" aca="1" ref="G118" ca="1">_xll.GetPrice("FP-LBR-0272","Actual","Low",_varPubDate)</f>
        <v>610</v>
      </c>
      <c r="H118" s="82" t="s">
        <v>44</v>
      </c>
      <c r="I118" s="72">
        <f t="array" aca="1" ref="I118" ca="1">_xll.GetPrice("FP-LBR-0308","Actual","Low",_varPubDate)</f>
        <v>339</v>
      </c>
      <c r="J118" s="72">
        <f t="array" aca="1" ref="J118" ca="1">_xll.GetPrice("FP-LBR-2000","Actual","Low",_varPubDate)</f>
        <v>335</v>
      </c>
      <c r="K118" s="72">
        <f t="array" aca="1" ref="K118" ca="1">_xll.GetPrice("FP-LBR-1984","Actual","Low",_varPubDate)</f>
        <v>350</v>
      </c>
      <c r="L118" s="71">
        <f t="array" aca="1" ref="L118" ca="1">_xll.GetPrice("FP-LBR-0407","Actual","Low",_varPubDate)</f>
        <v>585</v>
      </c>
      <c r="M118" s="82" t="s">
        <v>44</v>
      </c>
      <c r="N118" s="82" t="s">
        <v>44</v>
      </c>
      <c r="O118" s="68"/>
      <c r="P118" s="72">
        <f t="array" aca="1" ref="P118" ca="1">_xll.GetPrice("FP-LBR-1322","Actual","Low",_varPubDate)</f>
        <v>505</v>
      </c>
      <c r="Q118" s="72">
        <f t="array" aca="1" ref="Q118" ca="1">_xll.GetPrice("FP-LBR-1211","Actual","Low",_varPubDate)</f>
        <v>665</v>
      </c>
    </row>
    <row r="119" spans="1:17" x14ac:dyDescent="0.2">
      <c r="A119" s="81" t="s">
        <v>51</v>
      </c>
      <c r="G119" s="68"/>
      <c r="Q119" s="82"/>
    </row>
    <row r="120" spans="1:17" x14ac:dyDescent="0.2">
      <c r="A120" s="70" t="s">
        <v>43</v>
      </c>
      <c r="B120" s="72">
        <f t="array" aca="1" ref="B120" ca="1">_xll.GetPrice("FP-LBR-0154","Actual","Low",_varPubDate)</f>
        <v>320</v>
      </c>
      <c r="C120" s="72">
        <f t="array" aca="1" ref="C120" ca="1">_xll.GetPrice("FP-LBR-0247","Actual","Low",_varPubDate)</f>
        <v>340</v>
      </c>
      <c r="D120" s="72">
        <f t="array" aca="1" ref="D120" ca="1">_xll.GetPrice("FP-LBR-0263","Actual","Low",_varPubDate)</f>
        <v>340</v>
      </c>
      <c r="E120" s="72">
        <f t="array" aca="1" ref="E120" ca="1">_xll.GetPrice("FP-LBR-0167","Actual","Low",_varPubDate)</f>
        <v>340</v>
      </c>
      <c r="F120" s="72">
        <f t="array" aca="1" ref="F120" ca="1">_xll.GetPrice("FP-LBR-0234","Actual","Low",_varPubDate)</f>
        <v>345</v>
      </c>
      <c r="G120" s="68" t="s">
        <v>44</v>
      </c>
      <c r="H120" s="72">
        <f t="array" aca="1" ref="H120" ca="1">_xll.GetPrice("FP-LBR-0256","Actual","Low",_varPubDate)</f>
        <v>385</v>
      </c>
      <c r="I120" s="72">
        <f t="array" aca="1" ref="I120" ca="1">_xll.GetPrice("FP-LBR-0309","Actual","Low",_varPubDate)</f>
        <v>302</v>
      </c>
      <c r="J120" s="72">
        <f t="array" aca="1" ref="J120" ca="1">_xll.GetPrice("FP-LBR-2006","Actual","Low",_varPubDate)</f>
        <v>275</v>
      </c>
      <c r="K120" s="72">
        <f t="array" aca="1" ref="K120" ca="1">_xll.GetPrice("FP-LBR-1986","Actual","Low",_varPubDate)</f>
        <v>310</v>
      </c>
      <c r="L120" s="71">
        <f t="array" aca="1" ref="L120" ca="1">_xll.GetPrice("FP-LBR-0408","Actual","Low",_varPubDate)</f>
        <v>330</v>
      </c>
      <c r="M120" s="72">
        <f t="array" aca="1" ref="M120" ca="1">_xll.GetPrice("FP-LBR-1216","Actual","Low",_varPubDate)</f>
        <v>405</v>
      </c>
      <c r="N120" s="72">
        <f t="array" aca="1" ref="N120" ca="1">_xll.GetPrice("FP-LBR-1222","Actual","Low",_varPubDate)</f>
        <v>405</v>
      </c>
      <c r="P120" s="72">
        <f t="array" aca="1" ref="P120" ca="1">_xll.GetPrice("FP-LBR-1329","Actual","Low",_varPubDate)</f>
        <v>275</v>
      </c>
      <c r="Q120" s="82" t="s">
        <v>44</v>
      </c>
    </row>
    <row r="122" spans="1:17" x14ac:dyDescent="0.2">
      <c r="L122" s="75" t="s">
        <v>18</v>
      </c>
    </row>
    <row r="123" spans="1:17" x14ac:dyDescent="0.2">
      <c r="B123" s="70" t="s">
        <v>19</v>
      </c>
      <c r="C123" s="70" t="s">
        <v>32</v>
      </c>
      <c r="E123" s="70" t="s">
        <v>21</v>
      </c>
      <c r="F123" s="79" t="s">
        <v>52</v>
      </c>
      <c r="H123" s="70" t="s">
        <v>53</v>
      </c>
      <c r="I123" s="77" t="s">
        <v>54</v>
      </c>
      <c r="J123" s="77"/>
      <c r="K123" s="77"/>
      <c r="L123" s="79" t="s">
        <v>24</v>
      </c>
      <c r="M123" s="70" t="s">
        <v>25</v>
      </c>
      <c r="N123" s="70"/>
      <c r="P123" s="75" t="s">
        <v>26</v>
      </c>
    </row>
    <row r="124" spans="1:17" x14ac:dyDescent="0.2">
      <c r="A124" s="81" t="s">
        <v>55</v>
      </c>
      <c r="B124" s="70" t="s">
        <v>28</v>
      </c>
      <c r="C124" s="70" t="s">
        <v>28</v>
      </c>
      <c r="E124" s="70" t="s">
        <v>31</v>
      </c>
      <c r="F124" s="70" t="s">
        <v>56</v>
      </c>
      <c r="H124" s="70"/>
      <c r="I124" s="70"/>
      <c r="J124" s="70"/>
      <c r="K124" s="70"/>
      <c r="L124" s="70" t="s">
        <v>38</v>
      </c>
      <c r="M124" s="70" t="s">
        <v>39</v>
      </c>
      <c r="N124" s="70" t="s">
        <v>40</v>
      </c>
      <c r="P124" s="75" t="s">
        <v>41</v>
      </c>
    </row>
    <row r="125" spans="1:17" x14ac:dyDescent="0.2">
      <c r="A125" s="79" t="s">
        <v>57</v>
      </c>
      <c r="B125" s="82" t="s">
        <v>44</v>
      </c>
      <c r="C125" s="68" t="s">
        <v>44</v>
      </c>
      <c r="E125" s="82" t="s">
        <v>44</v>
      </c>
      <c r="F125" s="68" t="s">
        <v>44</v>
      </c>
      <c r="H125" s="68" t="s">
        <v>44</v>
      </c>
      <c r="J125" s="72">
        <f t="array" aca="1" ref="J125" ca="1">_xll.GetPrice("FP-LBR-0319","Actual","Low",_varPubDate)</f>
        <v>385</v>
      </c>
      <c r="L125" s="71">
        <f t="array" aca="1" ref="L125" ca="1">_xll.GetPrice("FP-LBR-0414","Actual","Low",_varPubDate)</f>
        <v>370</v>
      </c>
      <c r="M125" s="72">
        <f t="array" aca="1" ref="M125" ca="1">_xll.GetPrice("FP-LBR-1244","Actual","Low",_varPubDate)</f>
        <v>510</v>
      </c>
      <c r="N125" s="72">
        <f t="array" aca="1" ref="N125" ca="1">_xll.GetPrice("FP-LBR-1254","Actual","Low",_varPubDate)</f>
        <v>515</v>
      </c>
      <c r="P125" s="82" t="s">
        <v>44</v>
      </c>
    </row>
    <row r="126" spans="1:17" x14ac:dyDescent="0.2">
      <c r="A126" s="70" t="s">
        <v>58</v>
      </c>
      <c r="B126" s="72">
        <f t="array" aca="1" ref="B126" ca="1">_xll.GetPrice("FP-LBR-0172","Actual","Low",_varPubDate)</f>
        <v>415</v>
      </c>
      <c r="C126" s="72">
        <f t="array" aca="1" ref="C126" ca="1">_xll.GetPrice("FP-LBR-0291","Actual","Low",_varPubDate)</f>
        <v>400</v>
      </c>
      <c r="E126" s="72">
        <f t="array" aca="1" ref="E126" ca="1">_xll.GetPrice("FP-LBR-0178","Actual","Low",_varPubDate)</f>
        <v>425</v>
      </c>
      <c r="F126" s="72">
        <f t="array" aca="1" ref="F126" ca="1">_xll.GetPrice("FP-LBR-0287","Actual","Low",_varPubDate)</f>
        <v>413</v>
      </c>
      <c r="H126" s="72">
        <f t="array" aca="1" ref="H126" ca="1">_xll.GetPrice("FP-LBR-0296","Actual","Low",_varPubDate)</f>
        <v>410</v>
      </c>
      <c r="J126" s="82" t="s">
        <v>44</v>
      </c>
      <c r="L126" s="72">
        <f t="array" aca="1" ref="L126" ca="1">_xll.GetPrice("FP-LBR-0415","Actual","Low",_varPubDate)</f>
        <v>395</v>
      </c>
      <c r="M126" s="82" t="s">
        <v>44</v>
      </c>
      <c r="N126" s="82" t="s">
        <v>44</v>
      </c>
      <c r="P126" s="72">
        <f t="array" aca="1" ref="P126" ca="1">_xll.GetPrice("FP-LBR-1393","Actual","Low",_varPubDate)</f>
        <v>355</v>
      </c>
    </row>
    <row r="127" spans="1:17" x14ac:dyDescent="0.2">
      <c r="A127" s="79" t="s">
        <v>59</v>
      </c>
      <c r="B127" s="82" t="s">
        <v>44</v>
      </c>
      <c r="C127" s="68" t="s">
        <v>44</v>
      </c>
      <c r="E127" s="82" t="s">
        <v>44</v>
      </c>
      <c r="F127" s="68" t="s">
        <v>44</v>
      </c>
      <c r="H127" s="68" t="s">
        <v>44</v>
      </c>
      <c r="J127" s="82" t="s">
        <v>44</v>
      </c>
      <c r="K127" s="83"/>
      <c r="L127" s="72">
        <f t="array" aca="1" ref="L127" ca="1">_xll.GetPrice("FP-LBR-0417","Actual","Low",_varPubDate)</f>
        <v>455</v>
      </c>
      <c r="M127" s="72">
        <f t="array" aca="1" ref="M127" ca="1">_xll.GetPrice("FP-LBR-1245","Actual","Low",_varPubDate)</f>
        <v>550</v>
      </c>
      <c r="N127" s="72">
        <f t="array" aca="1" ref="N127" ca="1">_xll.GetPrice("FP-LBR-1255","Actual","Low",_varPubDate)</f>
        <v>565</v>
      </c>
      <c r="O127" s="55"/>
      <c r="P127" s="82" t="s">
        <v>44</v>
      </c>
    </row>
    <row r="128" spans="1:17" x14ac:dyDescent="0.2">
      <c r="A128" s="79" t="s">
        <v>60</v>
      </c>
      <c r="B128" s="72">
        <f t="array" aca="1" ref="B128" ca="1">_xll.GetPrice("FP-LBR-0173","Actual","Low",_varPubDate)</f>
        <v>475</v>
      </c>
      <c r="C128" s="72">
        <f t="array" aca="1" ref="C128" ca="1">_xll.GetPrice("FP-LBR-0292","Actual","Low",_varPubDate)</f>
        <v>485</v>
      </c>
      <c r="E128" s="72">
        <f t="array" aca="1" ref="E128" ca="1">_xll.GetPrice("FP-LBR-0180","Actual","Low",_varPubDate)</f>
        <v>485</v>
      </c>
      <c r="F128" s="72">
        <f t="array" aca="1" ref="F128" ca="1">_xll.GetPrice("FP-LBR-0288","Actual","Low",_varPubDate)</f>
        <v>488</v>
      </c>
      <c r="H128" s="72">
        <f t="array" aca="1" ref="H128" ca="1">_xll.GetPrice("FP-LBR-0297","Actual","Low",_varPubDate)</f>
        <v>490</v>
      </c>
      <c r="J128" s="82" t="s">
        <v>44</v>
      </c>
      <c r="L128" s="72">
        <f t="array" aca="1" ref="L128" ca="1">_xll.GetPrice("FP-LBR-0418","Actual","Low",_varPubDate)</f>
        <v>510</v>
      </c>
      <c r="M128" s="82" t="s">
        <v>44</v>
      </c>
      <c r="N128" s="82" t="s">
        <v>44</v>
      </c>
      <c r="P128" s="72">
        <f t="array" aca="1" ref="P128" ca="1">_xll.GetPrice("FP-LBR-1394","Actual","Low",_varPubDate)</f>
        <v>415</v>
      </c>
    </row>
    <row r="129" spans="1:27" x14ac:dyDescent="0.2">
      <c r="B129" s="55"/>
      <c r="C129" s="55"/>
      <c r="D129" s="55"/>
      <c r="G129" s="74"/>
      <c r="P129" s="84"/>
    </row>
    <row r="130" spans="1:27" ht="15.75" x14ac:dyDescent="0.25">
      <c r="B130" s="55"/>
      <c r="C130" s="55"/>
      <c r="D130" s="55"/>
      <c r="G130" s="73" t="s">
        <v>61</v>
      </c>
      <c r="O130" s="84"/>
      <c r="AA130" s="74"/>
    </row>
    <row r="131" spans="1:27" x14ac:dyDescent="0.2">
      <c r="B131" s="55"/>
      <c r="C131" s="55"/>
      <c r="D131" s="55"/>
      <c r="E131" s="85" t="s">
        <v>62</v>
      </c>
    </row>
    <row r="132" spans="1:27" x14ac:dyDescent="0.2">
      <c r="B132" s="55"/>
      <c r="C132" s="55"/>
      <c r="D132" s="55"/>
      <c r="E132" s="86" t="s">
        <v>63</v>
      </c>
    </row>
    <row r="133" spans="1:27" x14ac:dyDescent="0.2">
      <c r="B133" s="55"/>
      <c r="C133" s="55"/>
      <c r="D133" s="55"/>
      <c r="F133" s="79" t="s">
        <v>45</v>
      </c>
      <c r="G133" s="70" t="s">
        <v>64</v>
      </c>
      <c r="H133" s="70" t="s">
        <v>65</v>
      </c>
    </row>
    <row r="134" spans="1:27" x14ac:dyDescent="0.2">
      <c r="B134" s="55"/>
      <c r="C134" s="55"/>
      <c r="D134" s="55"/>
      <c r="E134" s="70" t="s">
        <v>66</v>
      </c>
      <c r="F134" s="72">
        <f t="array" aca="1" ref="F134" ca="1">_xll.GetPrice("FP-LBR-1428","Actual","Low",_varPubDate)</f>
        <v>965</v>
      </c>
      <c r="G134" s="72">
        <f t="array" aca="1" ref="G134" ca="1">_xll.GetPrice("FP-LBR-1433","Actual","Low",_varPubDate)</f>
        <v>515</v>
      </c>
      <c r="H134" s="72">
        <f t="array" aca="1" ref="H134" ca="1">_xll.GetPrice("FP-LBR-1438","Actual","Low",_varPubDate)</f>
        <v>335</v>
      </c>
    </row>
    <row r="135" spans="1:27" x14ac:dyDescent="0.2">
      <c r="B135" s="55"/>
      <c r="C135" s="55"/>
      <c r="D135" s="55"/>
      <c r="E135" s="70" t="s">
        <v>67</v>
      </c>
      <c r="F135" s="72">
        <f t="array" aca="1" ref="F135" ca="1">_xll.GetPrice("FP-LBR-1431","Actual","Low",_varPubDate)</f>
        <v>900</v>
      </c>
      <c r="G135" s="72">
        <f t="array" aca="1" ref="G135" ca="1">_xll.GetPrice("FP-LBR-1436","Actual","Low",_varPubDate)</f>
        <v>645</v>
      </c>
      <c r="H135" s="72">
        <f t="array" aca="1" ref="H135" ca="1">_xll.GetPrice("FP-LBR-1441","Actual","Low",_varPubDate)</f>
        <v>330</v>
      </c>
    </row>
    <row r="137" spans="1:27" ht="15.75" x14ac:dyDescent="0.25">
      <c r="G137" s="73" t="s">
        <v>68</v>
      </c>
    </row>
    <row r="139" spans="1:27" x14ac:dyDescent="0.2">
      <c r="A139" s="74" t="s">
        <v>69</v>
      </c>
      <c r="B139" s="87"/>
      <c r="H139" s="74" t="s">
        <v>70</v>
      </c>
      <c r="I139" s="88"/>
      <c r="K139" s="74" t="s">
        <v>71</v>
      </c>
    </row>
    <row r="140" spans="1:27" x14ac:dyDescent="0.2">
      <c r="A140" s="89"/>
      <c r="B140" s="90" t="s">
        <v>72</v>
      </c>
      <c r="C140" s="80"/>
      <c r="D140" s="80"/>
      <c r="E140" s="90" t="s">
        <v>73</v>
      </c>
      <c r="G140" s="80"/>
      <c r="H140" s="90" t="s">
        <v>72</v>
      </c>
      <c r="I140" s="90"/>
      <c r="J140" s="80"/>
      <c r="K140" s="91"/>
      <c r="L140" s="90" t="s">
        <v>72</v>
      </c>
      <c r="M140" s="80"/>
      <c r="N140" s="90" t="s">
        <v>73</v>
      </c>
    </row>
    <row r="141" spans="1:27" x14ac:dyDescent="0.2">
      <c r="B141" s="92" t="s">
        <v>74</v>
      </c>
      <c r="E141" s="92" t="s">
        <v>75</v>
      </c>
      <c r="I141" s="92" t="s">
        <v>76</v>
      </c>
      <c r="L141" s="93" t="s">
        <v>77</v>
      </c>
      <c r="N141" s="93" t="s">
        <v>77</v>
      </c>
    </row>
    <row r="142" spans="1:27" x14ac:dyDescent="0.2">
      <c r="A142" s="88"/>
      <c r="B142" s="92"/>
      <c r="C142" s="80"/>
      <c r="D142" s="94"/>
      <c r="E142" s="92" t="s">
        <v>35</v>
      </c>
      <c r="F142" s="92" t="s">
        <v>78</v>
      </c>
      <c r="G142" s="92" t="s">
        <v>37</v>
      </c>
      <c r="H142" s="94"/>
      <c r="I142" s="92"/>
      <c r="J142" s="80"/>
      <c r="K142" s="94"/>
      <c r="L142" s="80"/>
      <c r="M142" s="92"/>
      <c r="N142" s="92" t="s">
        <v>35</v>
      </c>
      <c r="O142" s="92" t="s">
        <v>78</v>
      </c>
      <c r="P142" s="92" t="s">
        <v>37</v>
      </c>
    </row>
    <row r="143" spans="1:27" x14ac:dyDescent="0.2">
      <c r="A143" s="92" t="s">
        <v>79</v>
      </c>
      <c r="B143" s="71">
        <f t="array" aca="1" ref="B143" ca="1">_xll.GetPrice("FP-PNL-0219","Actual","Low",_varPubDate)</f>
        <v>415</v>
      </c>
      <c r="C143" s="68"/>
      <c r="D143" s="92" t="s">
        <v>79</v>
      </c>
      <c r="E143" s="72">
        <f t="array" aca="1" ref="E143" ca="1">_xll.GetPrice("FP-PNL-0153","Actual","Low",_varPubDate)</f>
        <v>348</v>
      </c>
      <c r="F143" s="72">
        <f t="array" aca="1" ref="F143" ca="1">_xll.GetPrice("FP-PNL-0158","Actual","Low",_varPubDate)</f>
        <v>365</v>
      </c>
      <c r="G143" s="72">
        <f t="array" aca="1" ref="G143" ca="1">_xll.GetPrice("FP-PNL-0163","Actual","Low",_varPubDate)</f>
        <v>414</v>
      </c>
      <c r="H143" s="92" t="s">
        <v>80</v>
      </c>
      <c r="I143" s="72">
        <f t="array" aca="1" ref="I143" ca="1">_xll.GetPrice("FP-PNL-0243","Actual","Low",_varPubDate)</f>
        <v>1030</v>
      </c>
      <c r="K143" s="92" t="s">
        <v>81</v>
      </c>
      <c r="L143" s="72">
        <f t="array" aca="1" ref="L143" ca="1">_xll.GetPrice("FP-PNL-0264","Actual","Low",_varPubDate)</f>
        <v>870</v>
      </c>
      <c r="M143" s="92" t="s">
        <v>81</v>
      </c>
      <c r="N143" s="72">
        <f t="array" aca="1" ref="N143" ca="1">_xll.GetPrice("FP-PNL-0204","Actual","Low",_varPubDate)</f>
        <v>860</v>
      </c>
      <c r="O143" s="72">
        <f t="array" aca="1" ref="O143" ca="1">_xll.GetPrice("FP-PNL-0206","Actual","Low",_varPubDate)</f>
        <v>892</v>
      </c>
      <c r="P143" s="72">
        <f t="array" aca="1" ref="P143" ca="1">_xll.GetPrice("FP-PNL-0208","Actual","Low",_varPubDate)</f>
        <v>901</v>
      </c>
    </row>
    <row r="144" spans="1:27" x14ac:dyDescent="0.2">
      <c r="A144" s="95" t="s">
        <v>82</v>
      </c>
      <c r="B144" s="72">
        <f t="array" aca="1" ref="B144" ca="1">_xll.GetPrice("FP-PNL-0220","Actual","Low",_varPubDate)</f>
        <v>475</v>
      </c>
      <c r="C144" s="68"/>
      <c r="D144" s="95" t="s">
        <v>83</v>
      </c>
      <c r="E144" s="72">
        <f t="array" aca="1" ref="E144" ca="1">_xll.GetPrice("FP-PNL-0154","Actual","Low",_varPubDate)</f>
        <v>418</v>
      </c>
      <c r="F144" s="72">
        <f t="array" aca="1" ref="F144" ca="1">_xll.GetPrice("FP-PNL-0159","Actual","Low",_varPubDate)</f>
        <v>436</v>
      </c>
      <c r="G144" s="72">
        <f t="array" aca="1" ref="G144" ca="1">_xll.GetPrice("FP-PNL-0164","Actual","Low",_varPubDate)</f>
        <v>458</v>
      </c>
      <c r="H144" s="92" t="s">
        <v>84</v>
      </c>
      <c r="I144" s="72">
        <f t="array" aca="1" ref="I144" ca="1">_xll.GetPrice("FP-PNL-0244","Actual","Low",_varPubDate)</f>
        <v>1055</v>
      </c>
      <c r="K144" s="74" t="s">
        <v>85</v>
      </c>
    </row>
    <row r="145" spans="1:16" x14ac:dyDescent="0.2">
      <c r="A145" s="95" t="s">
        <v>86</v>
      </c>
      <c r="B145" s="72">
        <f t="array" aca="1" ref="B145" ca="1">_xll.GetPrice("FP-PNL-0221","Actual","Low",_varPubDate)</f>
        <v>485</v>
      </c>
      <c r="C145" s="72">
        <f t="array" aca="1" ref="C145" ca="1">_xll.GetPrice("FP-PNL-0222","Actual","Low",_varPubDate)</f>
        <v>580</v>
      </c>
      <c r="D145" s="95" t="s">
        <v>87</v>
      </c>
      <c r="E145" s="72">
        <f t="array" aca="1" ref="E145" ca="1">_xll.GetPrice("FP-PNL-0155","Actual","Low",_varPubDate)</f>
        <v>425</v>
      </c>
      <c r="F145" s="72">
        <f t="array" aca="1" ref="F145" ca="1">_xll.GetPrice("FP-PNL-0160","Actual","Low",_varPubDate)</f>
        <v>440</v>
      </c>
      <c r="G145" s="72">
        <f t="array" aca="1" ref="G145" ca="1">_xll.GetPrice("FP-PNL-0165","Actual","Low",_varPubDate)</f>
        <v>486</v>
      </c>
      <c r="H145" s="92" t="s">
        <v>88</v>
      </c>
      <c r="I145" s="72">
        <f t="array" aca="1" ref="I145" ca="1">_xll.GetPrice("FP-PNL-0245","Actual","Low",_varPubDate)</f>
        <v>1540</v>
      </c>
      <c r="L145" s="90" t="s">
        <v>72</v>
      </c>
      <c r="N145" s="90" t="s">
        <v>73</v>
      </c>
    </row>
    <row r="146" spans="1:16" x14ac:dyDescent="0.2">
      <c r="A146" s="95" t="s">
        <v>89</v>
      </c>
      <c r="B146" s="72">
        <f t="array" aca="1" ref="B146" ca="1">_xll.GetPrice("FP-PNL-0223","Actual","Low",_varPubDate)</f>
        <v>620</v>
      </c>
      <c r="C146" s="72">
        <f t="array" aca="1" ref="C146" ca="1">_xll.GetPrice("FP-PNL-0224","Actual","Low",_varPubDate)</f>
        <v>640</v>
      </c>
      <c r="D146" s="95" t="s">
        <v>90</v>
      </c>
      <c r="E146" s="72">
        <f t="array" aca="1" ref="E146" ca="1">_xll.GetPrice("FP-PNL-0156","Actual","Low",_varPubDate)</f>
        <v>481</v>
      </c>
      <c r="F146" s="72">
        <f t="array" aca="1" ref="F146" ca="1">_xll.GetPrice("FP-PNL-0161","Actual","Low",_varPubDate)</f>
        <v>482</v>
      </c>
      <c r="G146" s="72">
        <f t="array" aca="1" ref="G146" ca="1">_xll.GetPrice("FP-PNL-0166","Actual","Low",_varPubDate)</f>
        <v>503</v>
      </c>
      <c r="H146" s="92" t="s">
        <v>91</v>
      </c>
      <c r="I146" s="72">
        <f t="array" aca="1" ref="I146" ca="1">_xll.GetPrice("FP-PNL-0246","Actual","Low",_varPubDate)</f>
        <v>1730</v>
      </c>
      <c r="N146" s="92" t="s">
        <v>35</v>
      </c>
      <c r="P146" s="92" t="s">
        <v>37</v>
      </c>
    </row>
    <row r="147" spans="1:16" x14ac:dyDescent="0.2">
      <c r="A147" s="92" t="s">
        <v>92</v>
      </c>
      <c r="B147" s="72">
        <f t="array" aca="1" ref="B147" ca="1">_xll.GetPrice("FP-PNL-0225","Actual","Low",_varPubDate)</f>
        <v>780</v>
      </c>
      <c r="C147" s="72">
        <f t="array" aca="1" ref="C147" ca="1">_xll.GetPrice("FP-PNL-0226","Actual","Low",_varPubDate)</f>
        <v>775</v>
      </c>
      <c r="D147" s="92" t="s">
        <v>81</v>
      </c>
      <c r="E147" s="72">
        <f t="array" aca="1" ref="E147" ca="1">_xll.GetPrice("FP-PNL-0157","Actual","Low",_varPubDate)</f>
        <v>662</v>
      </c>
      <c r="F147" s="72">
        <f t="array" aca="1" ref="F147" ca="1">_xll.GetPrice("FP-PNL-0162","Actual","Low",_varPubDate)</f>
        <v>661</v>
      </c>
      <c r="G147" s="72">
        <f t="array" aca="1" ref="G147" ca="1">_xll.GetPrice("FP-PNL-0167","Actual","Low",_varPubDate)</f>
        <v>697</v>
      </c>
      <c r="H147" s="92" t="s">
        <v>81</v>
      </c>
      <c r="I147" s="72">
        <f t="array" aca="1" ref="I147" ca="1">_xll.GetPrice("FP-PNL-0247","Actual","Low",_varPubDate)</f>
        <v>1890</v>
      </c>
      <c r="K147" s="92" t="s">
        <v>93</v>
      </c>
      <c r="L147" s="72">
        <f t="array" aca="1" ref="L147" ca="1">_xll.GetPrice("FP-PNL-0267","Actual","Low",_varPubDate)</f>
        <v>1800</v>
      </c>
      <c r="M147" s="92" t="s">
        <v>81</v>
      </c>
      <c r="N147" s="72">
        <f t="array" aca="1" ref="N147" ca="1">_xll.GetPrice("FP-PNL-0210","Actual","Low",_varPubDate)</f>
        <v>1259</v>
      </c>
      <c r="P147" s="72">
        <f t="array" aca="1" ref="P147" ca="1">_xll.GetPrice("FP-PNL-0212","Actual","Low",_varPubDate)</f>
        <v>1312</v>
      </c>
    </row>
    <row r="148" spans="1:16" x14ac:dyDescent="0.2">
      <c r="A148" s="92"/>
      <c r="B148" s="72"/>
      <c r="C148" s="72"/>
      <c r="D148" s="92"/>
      <c r="E148" s="72"/>
      <c r="F148" s="72"/>
      <c r="G148" s="72"/>
      <c r="H148" s="92"/>
      <c r="I148" s="72"/>
      <c r="K148" s="92"/>
      <c r="L148" s="72"/>
      <c r="M148" s="92"/>
      <c r="N148" s="72"/>
      <c r="P148" s="72"/>
    </row>
    <row r="149" spans="1:16" x14ac:dyDescent="0.2">
      <c r="A149" s="92"/>
      <c r="B149" s="90" t="s">
        <v>94</v>
      </c>
      <c r="C149" s="72"/>
      <c r="D149" s="92"/>
      <c r="E149" s="72"/>
      <c r="F149" s="72"/>
      <c r="G149" s="72"/>
      <c r="H149" s="92"/>
      <c r="I149" s="72"/>
      <c r="K149" s="92"/>
      <c r="L149" s="72"/>
      <c r="M149" s="92"/>
      <c r="N149" s="72"/>
      <c r="P149" s="72"/>
    </row>
    <row r="150" spans="1:16" x14ac:dyDescent="0.2">
      <c r="B150" s="92" t="s">
        <v>95</v>
      </c>
      <c r="C150" s="92" t="s">
        <v>96</v>
      </c>
      <c r="D150" s="92"/>
      <c r="E150" s="72"/>
      <c r="F150" s="72"/>
      <c r="G150" s="72"/>
      <c r="H150" s="92"/>
      <c r="I150" s="72"/>
      <c r="K150" s="92"/>
      <c r="L150" s="72"/>
      <c r="M150" s="92"/>
      <c r="N150" s="72"/>
      <c r="P150" s="72"/>
    </row>
    <row r="151" spans="1:16" x14ac:dyDescent="0.2">
      <c r="A151" s="92" t="s">
        <v>97</v>
      </c>
      <c r="B151" s="72">
        <f t="array" aca="1" ref="B151" ca="1">_xll.GetPrice("FP-PNL-0337","Actual","Low",_varPubDate)</f>
        <v>651</v>
      </c>
      <c r="C151" s="72" cm="1">
        <f t="array" aca="1" ref="C151" ca="1">_xll.GetPrice("FP-PNL-0421","Actual","Low",_varPubDate)</f>
        <v>618</v>
      </c>
      <c r="D151" s="92"/>
      <c r="E151" s="72"/>
      <c r="F151" s="72"/>
      <c r="G151" s="72"/>
      <c r="H151" s="92"/>
      <c r="I151" s="72"/>
      <c r="K151" s="92"/>
      <c r="L151" s="72"/>
      <c r="M151" s="92"/>
      <c r="N151" s="72"/>
      <c r="P151" s="72"/>
    </row>
    <row r="152" spans="1:16" x14ac:dyDescent="0.2">
      <c r="A152" s="92"/>
      <c r="B152" s="72"/>
      <c r="C152" s="72"/>
      <c r="D152" s="92"/>
      <c r="E152" s="72"/>
      <c r="F152" s="72"/>
      <c r="G152" s="72"/>
      <c r="H152" s="92"/>
      <c r="I152" s="72"/>
      <c r="K152" s="92"/>
      <c r="L152" s="72"/>
      <c r="M152" s="92"/>
      <c r="N152" s="72"/>
      <c r="P152" s="72"/>
    </row>
    <row r="153" spans="1:16" ht="15.75" x14ac:dyDescent="0.25">
      <c r="F153" s="73" t="s">
        <v>98</v>
      </c>
      <c r="M153" s="92"/>
      <c r="N153" s="72"/>
      <c r="P153" s="72"/>
    </row>
    <row r="154" spans="1:16" x14ac:dyDescent="0.2">
      <c r="A154" s="80"/>
      <c r="B154" s="92" t="s">
        <v>99</v>
      </c>
      <c r="C154" s="92" t="s">
        <v>72</v>
      </c>
      <c r="D154" s="92" t="s">
        <v>100</v>
      </c>
      <c r="E154" s="92" t="s">
        <v>101</v>
      </c>
      <c r="F154" s="92" t="s">
        <v>101</v>
      </c>
      <c r="G154" s="92" t="s">
        <v>102</v>
      </c>
      <c r="H154" s="92" t="s">
        <v>103</v>
      </c>
      <c r="I154" s="70"/>
      <c r="J154" s="70"/>
      <c r="K154" s="70"/>
      <c r="L154" s="70"/>
      <c r="M154" s="92"/>
      <c r="N154" s="72"/>
      <c r="P154" s="72"/>
    </row>
    <row r="155" spans="1:16" x14ac:dyDescent="0.2">
      <c r="A155" s="80"/>
      <c r="B155" s="92" t="s">
        <v>78</v>
      </c>
      <c r="C155" s="92" t="s">
        <v>104</v>
      </c>
      <c r="D155" s="92" t="s">
        <v>104</v>
      </c>
      <c r="E155" s="92" t="s">
        <v>35</v>
      </c>
      <c r="F155" s="92" t="s">
        <v>37</v>
      </c>
      <c r="G155" s="92" t="s">
        <v>105</v>
      </c>
      <c r="H155" s="92" t="s">
        <v>106</v>
      </c>
      <c r="I155" s="92" t="s">
        <v>107</v>
      </c>
      <c r="J155" s="92" t="s">
        <v>108</v>
      </c>
      <c r="K155" s="92" t="s">
        <v>109</v>
      </c>
      <c r="L155" s="92" t="s">
        <v>110</v>
      </c>
      <c r="M155" s="92"/>
      <c r="N155" s="72"/>
      <c r="P155" s="72"/>
    </row>
    <row r="156" spans="1:16" x14ac:dyDescent="0.2">
      <c r="A156" s="95" t="s">
        <v>111</v>
      </c>
      <c r="B156" s="72">
        <f t="array" aca="1" ref="B156" ca="1">_xll.GetPrice("FP-PNL-0028","Actual","Low",_varPubDate)</f>
        <v>235</v>
      </c>
      <c r="C156" s="72">
        <f t="array" aca="1" ref="C156" ca="1">_xll.GetPrice("FP-PNL-0034","Actual","Low",_varPubDate)</f>
        <v>190</v>
      </c>
      <c r="D156" s="72">
        <f t="array" aca="1" ref="D156" ca="1">_xll.GetPrice("FP-PNL-0040","Actual","Low",_varPubDate)</f>
        <v>205</v>
      </c>
      <c r="E156" s="72">
        <f t="array" aca="1" ref="E156" ca="1">_xll.GetPrice("FP-PNL-0110","Actual","Low",_varPubDate)</f>
        <v>205</v>
      </c>
      <c r="F156" s="72">
        <f t="array" aca="1" ref="F156" ca="1">_xll.GetPrice("FP-PNL-0116","Actual","Low",_varPubDate)</f>
        <v>220</v>
      </c>
      <c r="G156" s="72">
        <f t="array" aca="1" ref="G156" ca="1">_xll.GetPrice("FP-PNL-0122","Actual","Low",_varPubDate)</f>
        <v>230</v>
      </c>
      <c r="H156" s="72">
        <f t="array" aca="1" ref="H156" ca="1">_xll.GetPrice("FP-PNL-0128","Actual","Low",_varPubDate)</f>
        <v>260</v>
      </c>
      <c r="I156" s="72">
        <f t="array" aca="1" ref="I156" ca="1">_xll.GetPrice("FP-PNL-0046","Actual","Low",_varPubDate)</f>
        <v>265</v>
      </c>
      <c r="J156" s="72">
        <f t="array" aca="1" ref="J156" ca="1">_xll.GetPrice("FP-PNL-0143","Actual","Low",_varPubDate)</f>
        <v>290</v>
      </c>
      <c r="K156" s="72">
        <f t="array" aca="1" ref="K156" ca="1">_xll.GetPrice("FP-PNL-0133","Actual","Low",_varPubDate)</f>
        <v>260</v>
      </c>
      <c r="L156" s="72">
        <f t="array" aca="1" ref="L156" ca="1">_xll.GetPrice("FP-PNL-0086","Actual","Low",_varPubDate)</f>
        <v>335</v>
      </c>
    </row>
    <row r="157" spans="1:16" x14ac:dyDescent="0.2">
      <c r="A157" s="95" t="s">
        <v>88</v>
      </c>
      <c r="B157" s="72">
        <f t="array" aca="1" ref="B157" ca="1">_xll.GetPrice("FP-PNL-0029","Actual","Low",_varPubDate)</f>
        <v>250</v>
      </c>
      <c r="C157" s="72">
        <f t="array" aca="1" ref="C157" ca="1">_xll.GetPrice("FP-PNL-0035","Actual","Low",_varPubDate)</f>
        <v>210</v>
      </c>
      <c r="D157" s="72">
        <f t="array" aca="1" ref="D157" ca="1">_xll.GetPrice("FP-PNL-0041","Actual","Low",_varPubDate)</f>
        <v>225</v>
      </c>
      <c r="E157" s="72">
        <f t="array" aca="1" ref="E157" ca="1">_xll.GetPrice("FP-PNL-0111","Actual","Low",_varPubDate)</f>
        <v>225</v>
      </c>
      <c r="F157" s="72">
        <f t="array" aca="1" ref="F157" ca="1">_xll.GetPrice("FP-PNL-0117","Actual","Low",_varPubDate)</f>
        <v>240</v>
      </c>
      <c r="G157" s="72">
        <f t="array" aca="1" ref="G157" ca="1">_xll.GetPrice("FP-PNL-0123","Actual","Low",_varPubDate)</f>
        <v>250</v>
      </c>
      <c r="H157" s="72">
        <f t="array" aca="1" ref="H157" ca="1">_xll.GetPrice("FP-PNL-0129","Actual","Low",_varPubDate)</f>
        <v>280</v>
      </c>
      <c r="I157" s="72">
        <f t="array" aca="1" ref="I157" ca="1">_xll.GetPrice("FP-PNL-0047","Actual","Low",_varPubDate)</f>
        <v>285</v>
      </c>
      <c r="J157" s="72">
        <f t="array" aca="1" ref="J157" ca="1">_xll.GetPrice("FP-PNL-0144","Actual","Low",_varPubDate)</f>
        <v>310</v>
      </c>
      <c r="K157" s="72">
        <f t="array" aca="1" ref="K157" ca="1">_xll.GetPrice("FP-PNL-0134","Actual","Low",_varPubDate)</f>
        <v>280</v>
      </c>
      <c r="L157" s="68" t="s">
        <v>44</v>
      </c>
    </row>
    <row r="158" spans="1:16" x14ac:dyDescent="0.2">
      <c r="A158" s="95" t="s">
        <v>81</v>
      </c>
      <c r="B158" s="72">
        <f t="array" aca="1" ref="B158" ca="1">_xll.GetPrice("FP-PNL-0032","Actual","Low",_varPubDate)</f>
        <v>415</v>
      </c>
      <c r="C158" s="72">
        <f t="array" aca="1" ref="C158" ca="1">_xll.GetPrice("FP-PNL-0038","Actual","Low",_varPubDate)</f>
        <v>385</v>
      </c>
      <c r="D158" s="72">
        <f t="array" aca="1" ref="D158" ca="1">_xll.GetPrice("FP-PNL-0044","Actual","Low",_varPubDate)</f>
        <v>400</v>
      </c>
      <c r="E158" s="72">
        <f t="array" aca="1" ref="E158" ca="1">_xll.GetPrice("FP-PNL-0114","Actual","Low",_varPubDate)</f>
        <v>365</v>
      </c>
      <c r="F158" s="72">
        <f t="array" aca="1" ref="F158" ca="1">_xll.GetPrice("FP-PNL-0120","Actual","Low",_varPubDate)</f>
        <v>385</v>
      </c>
      <c r="G158" s="72">
        <f t="array" aca="1" ref="G158" ca="1">_xll.GetPrice("FP-PNL-0126","Actual","Low",_varPubDate)</f>
        <v>395</v>
      </c>
      <c r="H158" s="72">
        <f t="array" aca="1" ref="H158" ca="1">_xll.GetPrice("FP-PNL-0131","Actual","Low",_varPubDate)</f>
        <v>445</v>
      </c>
      <c r="I158" s="72">
        <f t="array" aca="1" ref="I158" ca="1">_xll.GetPrice("FP-PNL-0049","Actual","Low",_varPubDate)</f>
        <v>480</v>
      </c>
      <c r="J158" s="72">
        <f t="array" aca="1" ref="J158" ca="1">_xll.GetPrice("FP-PNL-0146","Actual","Low",_varPubDate)</f>
        <v>490</v>
      </c>
      <c r="K158" s="72">
        <f t="array" aca="1" ref="K158" ca="1">_xll.GetPrice("FP-PNL-0136","Actual","Low",_varPubDate)</f>
        <v>445</v>
      </c>
      <c r="L158" s="68" t="s">
        <v>44</v>
      </c>
    </row>
    <row r="159" spans="1:16" x14ac:dyDescent="0.2">
      <c r="A159" s="80"/>
      <c r="B159" s="92"/>
      <c r="C159" s="92"/>
      <c r="D159" s="92"/>
      <c r="E159" s="92"/>
      <c r="F159" s="92"/>
      <c r="G159" s="92"/>
      <c r="H159" s="92"/>
      <c r="I159" s="92"/>
      <c r="J159" s="92"/>
      <c r="K159" s="92"/>
      <c r="L159" s="92"/>
    </row>
    <row r="160" spans="1:16" x14ac:dyDescent="0.2">
      <c r="A160" s="95"/>
      <c r="B160" s="72"/>
      <c r="C160" s="72"/>
      <c r="D160" s="72"/>
      <c r="E160" s="72"/>
      <c r="F160" s="72"/>
      <c r="G160" s="72"/>
      <c r="H160" s="72"/>
      <c r="I160" s="72"/>
      <c r="J160" s="72"/>
      <c r="K160" s="72"/>
      <c r="L160" s="72"/>
    </row>
    <row r="161" spans="1:12" x14ac:dyDescent="0.2">
      <c r="A161" s="95"/>
      <c r="B161" s="72"/>
      <c r="C161" s="72"/>
      <c r="D161" s="72"/>
      <c r="E161" s="72"/>
      <c r="F161" s="72"/>
      <c r="G161" s="72"/>
      <c r="H161" s="72"/>
      <c r="I161" s="72"/>
      <c r="J161" s="72"/>
      <c r="K161" s="72"/>
      <c r="L161" s="68"/>
    </row>
    <row r="162" spans="1:12" x14ac:dyDescent="0.2">
      <c r="A162" s="95"/>
      <c r="B162" s="72"/>
      <c r="C162" s="72"/>
      <c r="D162" s="72"/>
      <c r="E162" s="72"/>
      <c r="F162" s="72"/>
      <c r="G162" s="72"/>
      <c r="H162" s="72"/>
      <c r="I162" s="72"/>
      <c r="J162" s="72"/>
      <c r="K162" s="72"/>
      <c r="L162" s="68"/>
    </row>
    <row r="165" spans="1:12" ht="15.75" x14ac:dyDescent="0.25">
      <c r="F165" s="73"/>
    </row>
    <row r="166" spans="1:12" x14ac:dyDescent="0.2">
      <c r="A166" s="80"/>
      <c r="B166" s="92"/>
      <c r="C166" s="92"/>
      <c r="D166" s="92"/>
      <c r="E166" s="92"/>
      <c r="F166" s="92"/>
      <c r="G166" s="92"/>
      <c r="H166" s="92"/>
      <c r="I166" s="70"/>
      <c r="J166" s="70"/>
      <c r="K166" s="70"/>
      <c r="L166" s="70"/>
    </row>
    <row r="167" spans="1:12" x14ac:dyDescent="0.2">
      <c r="A167" s="80"/>
      <c r="B167" s="92"/>
      <c r="C167" s="92"/>
      <c r="D167" s="92"/>
      <c r="E167" s="92"/>
      <c r="F167" s="92"/>
      <c r="G167" s="92"/>
      <c r="H167" s="92"/>
      <c r="I167" s="92"/>
      <c r="J167" s="92"/>
      <c r="K167" s="92"/>
      <c r="L167" s="92"/>
    </row>
    <row r="168" spans="1:12" x14ac:dyDescent="0.2">
      <c r="A168" s="95"/>
      <c r="B168" s="72"/>
      <c r="C168" s="72"/>
      <c r="D168" s="72"/>
      <c r="E168" s="72"/>
      <c r="F168" s="72"/>
      <c r="G168" s="72"/>
      <c r="H168" s="72"/>
      <c r="I168" s="72"/>
      <c r="J168" s="72"/>
      <c r="K168" s="72"/>
      <c r="L168" s="72"/>
    </row>
    <row r="169" spans="1:12" x14ac:dyDescent="0.2">
      <c r="A169" s="95"/>
      <c r="B169" s="72"/>
      <c r="C169" s="72"/>
      <c r="D169" s="72"/>
      <c r="E169" s="72"/>
      <c r="F169" s="72"/>
      <c r="G169" s="72"/>
      <c r="H169" s="72"/>
      <c r="I169" s="72"/>
      <c r="J169" s="72"/>
      <c r="K169" s="72"/>
      <c r="L169" s="68"/>
    </row>
    <row r="170" spans="1:12" x14ac:dyDescent="0.2">
      <c r="A170" s="95"/>
      <c r="B170" s="72"/>
      <c r="C170" s="72"/>
      <c r="D170" s="72"/>
      <c r="E170" s="72"/>
      <c r="F170" s="72"/>
      <c r="G170" s="72"/>
      <c r="H170" s="72"/>
      <c r="I170" s="72"/>
      <c r="J170" s="72"/>
      <c r="K170" s="72"/>
      <c r="L170" s="68"/>
    </row>
  </sheetData>
  <sheetProtection algorithmName="SHA-512" hashValue="o0ujDATUppiwK9pbzEkOZsYcREP+r0p+G00I5/5ZpWxBakXXUVvq0L+IQG0daOt/u4cT5sjy0CJkWnYkPAmPRw==" saltValue="xs4FcnSDDGvWn38uLJokkw==" spinCount="100000" sheet="1" objects="1" scenarios="1"/>
  <printOptions horizontalCentered="1" verticalCentered="1" headings="1" gridLines="1"/>
  <pageMargins left="0.75" right="0.75" top="1" bottom="1" header="0.5" footer="0.5"/>
  <pageSetup scale="2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AA170"/>
  <sheetViews>
    <sheetView zoomScaleNormal="100" workbookViewId="0">
      <selection activeCell="B22" sqref="B22"/>
    </sheetView>
  </sheetViews>
  <sheetFormatPr defaultRowHeight="12.75" x14ac:dyDescent="0.2"/>
  <cols>
    <col min="1" max="1" width="11" customWidth="1"/>
    <col min="2" max="2" width="14.85546875" bestFit="1" customWidth="1"/>
    <col min="3" max="5" width="15.85546875" bestFit="1" customWidth="1"/>
    <col min="7" max="7" width="12" customWidth="1"/>
    <col min="8" max="11" width="16.85546875" customWidth="1"/>
    <col min="17" max="17" width="9.140625" customWidth="1"/>
    <col min="27" max="27" width="10.85546875" customWidth="1"/>
  </cols>
  <sheetData>
    <row r="1" spans="1:11" ht="20.25" x14ac:dyDescent="0.3">
      <c r="A1" s="2" t="s">
        <v>0</v>
      </c>
    </row>
    <row r="4" spans="1:11" x14ac:dyDescent="0.2">
      <c r="I4" s="3"/>
      <c r="J4" s="4"/>
    </row>
    <row r="5" spans="1:11" x14ac:dyDescent="0.2">
      <c r="I5" s="5"/>
      <c r="J5" s="6"/>
      <c r="K5" s="5"/>
    </row>
    <row r="6" spans="1:11" x14ac:dyDescent="0.2">
      <c r="G6" s="7"/>
      <c r="H6" s="8"/>
    </row>
    <row r="7" spans="1:11" x14ac:dyDescent="0.2">
      <c r="G7" s="8"/>
      <c r="H7" s="8"/>
    </row>
    <row r="8" spans="1:11" x14ac:dyDescent="0.2">
      <c r="G8" s="8"/>
      <c r="H8" s="8"/>
    </row>
    <row r="9" spans="1:11" x14ac:dyDescent="0.2">
      <c r="G9" s="8"/>
    </row>
    <row r="10" spans="1:11" x14ac:dyDescent="0.2">
      <c r="A10" s="8"/>
    </row>
    <row r="11" spans="1:11" x14ac:dyDescent="0.2">
      <c r="A11" s="9"/>
    </row>
    <row r="13" spans="1:11" x14ac:dyDescent="0.2">
      <c r="A13" s="10"/>
    </row>
    <row r="14" spans="1:11" x14ac:dyDescent="0.2">
      <c r="A14" s="8"/>
    </row>
    <row r="15" spans="1:11" x14ac:dyDescent="0.2">
      <c r="A15" s="8"/>
      <c r="G15" s="8"/>
      <c r="H15" s="8"/>
    </row>
    <row r="16" spans="1:11" x14ac:dyDescent="0.2">
      <c r="A16" s="8"/>
      <c r="G16" s="8"/>
      <c r="H16" s="8"/>
    </row>
    <row r="17" spans="1:24" x14ac:dyDescent="0.2">
      <c r="D17" s="8"/>
      <c r="E17" s="8"/>
      <c r="F17" s="8"/>
      <c r="G17" s="8"/>
      <c r="H17" s="8"/>
      <c r="X17" s="14"/>
    </row>
    <row r="18" spans="1:24" x14ac:dyDescent="0.2">
      <c r="F18" s="8"/>
      <c r="G18" s="8"/>
      <c r="H18" s="11"/>
      <c r="J18" s="4"/>
    </row>
    <row r="19" spans="1:24" x14ac:dyDescent="0.2">
      <c r="F19" s="8"/>
      <c r="G19" s="8"/>
      <c r="H19" s="11"/>
    </row>
    <row r="20" spans="1:24" x14ac:dyDescent="0.2">
      <c r="F20" s="8"/>
      <c r="H20" s="46" t="s">
        <v>1</v>
      </c>
      <c r="I20" s="46" t="s">
        <v>2</v>
      </c>
      <c r="J20" s="46" t="s">
        <v>3</v>
      </c>
      <c r="K20" s="46" t="s">
        <v>4</v>
      </c>
    </row>
    <row r="21" spans="1:24" x14ac:dyDescent="0.2">
      <c r="B21" s="15" t="s">
        <v>5</v>
      </c>
      <c r="C21" s="15" t="s">
        <v>6</v>
      </c>
      <c r="D21" s="15" t="s">
        <v>7</v>
      </c>
      <c r="E21" s="15" t="s">
        <v>112</v>
      </c>
      <c r="F21" s="15" t="s">
        <v>113</v>
      </c>
      <c r="H21" s="46" t="s">
        <v>8</v>
      </c>
      <c r="I21" s="46" t="s">
        <v>8</v>
      </c>
      <c r="J21" s="46" t="s">
        <v>8</v>
      </c>
      <c r="K21" s="46" t="s">
        <v>8</v>
      </c>
    </row>
    <row r="22" spans="1:24" x14ac:dyDescent="0.2">
      <c r="B22" s="97">
        <v>45846</v>
      </c>
      <c r="C22" s="16">
        <f>YEAR(_varPubDate)</f>
        <v>2025</v>
      </c>
      <c r="D22" s="16">
        <f>MONTH(_varPubDate)</f>
        <v>7</v>
      </c>
      <c r="E22" s="17"/>
      <c r="F22" s="17"/>
      <c r="H22" s="47" cm="1">
        <f t="array" ref="H22">_xll.GetPrice("FP-LBR-1185","Actual","AssessmentDate",_varPubDate-1)</f>
        <v>45840.654768518521</v>
      </c>
      <c r="I22" s="47" cm="1">
        <f t="array" ref="I22">_xll.GetPrice("FP-PNL-0499","Actual","AssessmentDate",_varPubDate-1)</f>
        <v>45841.442997685182</v>
      </c>
      <c r="J22" s="47" cm="1">
        <f t="array" ref="J22">IF(_xll.GetPrice("FP-LBR-1185","Actual","PreliminaryPrice",_varPubDate-7),_xll.GetPrice("FP-LBR-1185","Actual","AssessmentDate",_varPubDate-7),IF(_xll.GetPrice("FP-LBR-1185","Actual","PreliminaryPrice",_varPubDate-14),_xll.GetPrice("FP-LBR-1185","Actual","AssessmentDate",_varPubDate-14),_xll.GetPrice("FP-LBR-1185","Actual","AssessmentDate",_varPubDate-21)))</f>
        <v>45832.607256944444</v>
      </c>
      <c r="K22" s="47" cm="1">
        <f t="array" ref="K22">IF(_xll.GetPrice("FP-PNL-0499","Actual","PreliminaryPrice",_varPubDate-7),_xll.GetPrice("FP-PNL-0499","Actual","AssessmentDate",_varPubDate-7),IF(_xll.GetPrice("FP-PNL-0499","Actual","PreliminaryPrice",_varPubDate-14),_xll.GetPrice("FP-PNL-0499","Actual","AssessmentDate",_varPubDate-14),_xll.GetPrice("FP-PNL-0499","Actual","AssessmentDate",_varPubDate-21)))</f>
        <v>45832.607222222221</v>
      </c>
    </row>
    <row r="23" spans="1:24" x14ac:dyDescent="0.2">
      <c r="A23" s="8"/>
      <c r="B23" s="8"/>
      <c r="C23" s="8"/>
      <c r="D23" s="8"/>
      <c r="E23" s="8"/>
      <c r="F23" s="8"/>
      <c r="G23" s="8"/>
      <c r="H23" s="8"/>
    </row>
    <row r="29" spans="1:24" ht="15" x14ac:dyDescent="0.25">
      <c r="B29" s="98" t="s">
        <v>114</v>
      </c>
    </row>
    <row r="101" spans="1:18" ht="15.75" x14ac:dyDescent="0.25">
      <c r="A101" s="21">
        <f>_varPubDate</f>
        <v>45846</v>
      </c>
      <c r="B101" s="22" t="s">
        <v>0</v>
      </c>
      <c r="G101" s="19"/>
      <c r="R101" s="13"/>
    </row>
    <row r="103" spans="1:18" x14ac:dyDescent="0.2">
      <c r="B103" s="7" t="s">
        <v>9</v>
      </c>
      <c r="C103" s="23" t="s">
        <v>10</v>
      </c>
      <c r="D103" s="23" t="s">
        <v>11</v>
      </c>
      <c r="E103" s="23" t="s">
        <v>12</v>
      </c>
      <c r="G103" s="23"/>
      <c r="H103" s="23"/>
    </row>
    <row r="104" spans="1:18" x14ac:dyDescent="0.2">
      <c r="B104" s="1" t="s">
        <v>13</v>
      </c>
      <c r="C104" s="20" cm="1">
        <f t="array" ref="C104">_xll.GetPrice("FP-LBR-1185","Actual","Low",_varPubDate)</f>
        <v>423</v>
      </c>
      <c r="D104" s="20" cm="1">
        <f t="array" ref="D104">_xll.GetPrice("FP-LBR-1185","Actual","Low",_varPrvWkLbr)</f>
        <v>422</v>
      </c>
      <c r="E104" s="20" cm="1">
        <f t="array" ref="E104">_xll.GetPrice("FP-LBR-1185","Actual","Low",_varPrvMidWkLbr)</f>
        <v>423</v>
      </c>
    </row>
    <row r="105" spans="1:18" x14ac:dyDescent="0.2">
      <c r="B105" s="1" t="s">
        <v>14</v>
      </c>
      <c r="C105" s="18">
        <f t="array" ref="C105">_xll.GetPrice("FP-PNL-0499","Actual","Low",_varPubDate)</f>
        <v>447</v>
      </c>
      <c r="D105" s="18" cm="1">
        <f t="array" ref="D105">_xll.GetPrice("FP-PNL-0499","Actual","Low",_varPrvWkPnl)</f>
        <v>450</v>
      </c>
      <c r="E105" s="20" cm="1">
        <f t="array" ref="E105">_xll.GetPrice("FP-PNL-0499","Actual","Low",_varPrvMidWkPnl)</f>
        <v>459</v>
      </c>
    </row>
    <row r="107" spans="1:18" ht="15.75" x14ac:dyDescent="0.25">
      <c r="G107" s="24" t="s">
        <v>15</v>
      </c>
    </row>
    <row r="108" spans="1:18" x14ac:dyDescent="0.2">
      <c r="A108" s="25" t="s">
        <v>16</v>
      </c>
      <c r="P108" s="25" t="s">
        <v>17</v>
      </c>
    </row>
    <row r="109" spans="1:18" x14ac:dyDescent="0.2">
      <c r="K109" s="8"/>
      <c r="L109" s="26" t="s">
        <v>18</v>
      </c>
      <c r="M109" s="8"/>
      <c r="N109" s="8"/>
      <c r="Q109" s="8"/>
    </row>
    <row r="110" spans="1:18" x14ac:dyDescent="0.2">
      <c r="B110" s="1" t="s">
        <v>19</v>
      </c>
      <c r="C110" s="27" t="s">
        <v>20</v>
      </c>
      <c r="D110" s="28"/>
      <c r="E110" s="1" t="s">
        <v>21</v>
      </c>
      <c r="F110" s="29" t="s">
        <v>22</v>
      </c>
      <c r="G110" s="29"/>
      <c r="I110" s="28" t="s">
        <v>23</v>
      </c>
      <c r="J110" s="28"/>
      <c r="K110" s="28"/>
      <c r="L110" s="30" t="s">
        <v>24</v>
      </c>
      <c r="M110" s="1" t="s">
        <v>25</v>
      </c>
      <c r="N110" s="1"/>
      <c r="P110" s="26" t="s">
        <v>26</v>
      </c>
      <c r="Q110" s="31"/>
    </row>
    <row r="111" spans="1:18" x14ac:dyDescent="0.2">
      <c r="A111" s="32" t="s">
        <v>27</v>
      </c>
      <c r="B111" s="1" t="s">
        <v>28</v>
      </c>
      <c r="C111" s="1" t="s">
        <v>29</v>
      </c>
      <c r="D111" s="1" t="s">
        <v>30</v>
      </c>
      <c r="E111" s="1" t="s">
        <v>31</v>
      </c>
      <c r="F111" s="1" t="s">
        <v>32</v>
      </c>
      <c r="G111" s="1" t="s">
        <v>33</v>
      </c>
      <c r="H111" s="1" t="s">
        <v>34</v>
      </c>
      <c r="I111" s="1" t="s">
        <v>35</v>
      </c>
      <c r="J111" s="1" t="s">
        <v>36</v>
      </c>
      <c r="K111" s="1" t="s">
        <v>37</v>
      </c>
      <c r="L111" s="1" t="s">
        <v>38</v>
      </c>
      <c r="M111" s="1" t="s">
        <v>39</v>
      </c>
      <c r="N111" s="1" t="s">
        <v>40</v>
      </c>
      <c r="P111" s="26" t="s">
        <v>41</v>
      </c>
      <c r="Q111" s="30" t="s">
        <v>42</v>
      </c>
    </row>
    <row r="112" spans="1:18" x14ac:dyDescent="0.2">
      <c r="A112" s="30" t="s">
        <v>43</v>
      </c>
      <c r="B112" s="33" t="s">
        <v>44</v>
      </c>
      <c r="C112" s="18" cm="1">
        <f t="array" ref="C112">_xll.GetPrice("FP-LBR-0241","Actual","Low",_varPubDate)</f>
        <v>502</v>
      </c>
      <c r="D112" s="33" t="s">
        <v>44</v>
      </c>
      <c r="E112" s="33" t="s">
        <v>44</v>
      </c>
      <c r="F112" s="18">
        <f t="array" ref="F112">_xll.GetPrice("FP-LBR-0228","Actual","Low",_varPubDate)</f>
        <v>515</v>
      </c>
      <c r="G112" s="13" t="s">
        <v>44</v>
      </c>
      <c r="H112" s="33" t="s">
        <v>44</v>
      </c>
      <c r="I112" s="33" t="s">
        <v>44</v>
      </c>
      <c r="J112" s="33" t="s">
        <v>44</v>
      </c>
      <c r="K112" s="33" t="s">
        <v>44</v>
      </c>
      <c r="L112" s="33" t="s">
        <v>44</v>
      </c>
      <c r="M112" s="33" t="s">
        <v>44</v>
      </c>
      <c r="N112" s="33" t="s">
        <v>44</v>
      </c>
      <c r="P112" s="18">
        <f t="array" ref="P112">_xll.GetPrice("FP-LBR-1317","Actual","Low",_varPubDate)</f>
        <v>445</v>
      </c>
      <c r="Q112" s="18">
        <f t="array" ref="Q112">_xll.GetPrice("FP-LBR-1206","Actual","Low",_varPubDate)</f>
        <v>610</v>
      </c>
    </row>
    <row r="113" spans="1:17" x14ac:dyDescent="0.2">
      <c r="A113" s="26" t="s">
        <v>45</v>
      </c>
    </row>
    <row r="114" spans="1:17" x14ac:dyDescent="0.2">
      <c r="A114" s="30" t="s">
        <v>46</v>
      </c>
      <c r="B114" s="18">
        <f t="array" ref="B114">_xll.GetPrice("FP-LBR-0149","Actual","Low",_varPubDate)</f>
        <v>510</v>
      </c>
      <c r="C114" s="18">
        <f t="array" ref="C114">_xll.GetPrice("FP-LBR-0242","Actual","Low",_varPubDate)</f>
        <v>520</v>
      </c>
      <c r="D114" s="18" cm="1">
        <f t="array" ref="D114">_xll.GetPrice("FP-LBR-0258","Actual","Low",_varPubDate)</f>
        <v>525</v>
      </c>
      <c r="E114" s="18">
        <f t="array" ref="E114">_xll.GetPrice("FP-LBR-0162","Actual","Low",_varPubDate)</f>
        <v>535</v>
      </c>
      <c r="F114" s="18">
        <f t="array" ref="F114">_xll.GetPrice("FP-LBR-0229","Actual","Low",_varPubDate)</f>
        <v>534</v>
      </c>
      <c r="G114" s="18">
        <f t="array" ref="G114">_xll.GetPrice("FP-LBR-0268","Actual","Low",_varPubDate)</f>
        <v>495</v>
      </c>
      <c r="H114" s="18">
        <f t="array" ref="H114">_xll.GetPrice("FP-LBR-0254","Actual","Low",_varPubDate)</f>
        <v>520</v>
      </c>
      <c r="I114" s="18">
        <f t="array" ref="I114">_xll.GetPrice("FP-LBR-0304","Actual","Low",_varPubDate)</f>
        <v>342</v>
      </c>
      <c r="J114" s="18">
        <f t="array" ref="J114">_xll.GetPrice("FP-LBR-1996","Actual","Low",_varPubDate)</f>
        <v>330</v>
      </c>
      <c r="K114" s="18">
        <f t="array" ref="K114">_xll.GetPrice("FP-LBR-1980","Actual","Low",_varPubDate)</f>
        <v>385</v>
      </c>
      <c r="L114" s="20">
        <f t="array" ref="L114">_xll.GetPrice("FP-LBR-0403","Actual","Low",_varPubDate)</f>
        <v>493</v>
      </c>
      <c r="M114" s="18">
        <f t="array" ref="M114">_xll.GetPrice("FP-LBR-1212","Actual","Low",_varPubDate)</f>
        <v>570</v>
      </c>
      <c r="N114" s="18">
        <f t="array" ref="N114">_xll.GetPrice("FP-LBR-1218","Actual","Low",_varPubDate)</f>
        <v>600</v>
      </c>
      <c r="P114" s="18">
        <f t="array" ref="P114">_xll.GetPrice("FP-LBR-1318","Actual","Low",_varPubDate)</f>
        <v>465</v>
      </c>
      <c r="Q114" s="18">
        <f t="array" ref="Q114">_xll.GetPrice("FP-LBR-1207","Actual","Low",_varPubDate)</f>
        <v>630</v>
      </c>
    </row>
    <row r="115" spans="1:17" x14ac:dyDescent="0.2">
      <c r="A115" s="30" t="s">
        <v>47</v>
      </c>
      <c r="B115" s="18">
        <f t="array" ref="B115">_xll.GetPrice("FP-LBR-0150","Actual","Low",_varPubDate)</f>
        <v>455</v>
      </c>
      <c r="C115" s="18">
        <f t="array" ref="C115">_xll.GetPrice("FP-LBR-0243","Actual","Low",_varPubDate)</f>
        <v>465</v>
      </c>
      <c r="D115" s="18">
        <f t="array" ref="D115">_xll.GetPrice("FP-LBR-0259","Actual","Low",_varPubDate)</f>
        <v>465</v>
      </c>
      <c r="E115" s="18">
        <f t="array" ref="E115">_xll.GetPrice("FP-LBR-0163","Actual","Low",_varPubDate)</f>
        <v>485</v>
      </c>
      <c r="F115" s="18">
        <f t="array" ref="F115">_xll.GetPrice("FP-LBR-0230","Actual","Low",_varPubDate)</f>
        <v>500</v>
      </c>
      <c r="G115" s="18">
        <f t="array" ref="G115">_xll.GetPrice("FP-LBR-0269","Actual","Low",_varPubDate)</f>
        <v>445</v>
      </c>
      <c r="H115" s="18">
        <f t="array" ref="H115">_xll.GetPrice("FP-LBR-0255","Actual","Low",_varPubDate)</f>
        <v>480</v>
      </c>
      <c r="I115" s="18">
        <f t="array" ref="I115">_xll.GetPrice("FP-LBR-0305","Actual","Low",_varPubDate)</f>
        <v>294</v>
      </c>
      <c r="J115" s="18">
        <f t="array" ref="J115">_xll.GetPrice("FP-LBR-1997","Actual","Low",_varPubDate)</f>
        <v>292</v>
      </c>
      <c r="K115" s="18">
        <f t="array" ref="K115">_xll.GetPrice("FP-LBR-1981","Actual","Low",_varPubDate)</f>
        <v>310</v>
      </c>
      <c r="L115" s="20">
        <f t="array" ref="L115">_xll.GetPrice("FP-LBR-0404","Actual","Low",_varPubDate)</f>
        <v>400</v>
      </c>
      <c r="M115" s="18">
        <f t="array" ref="M115">_xll.GetPrice("FP-LBR-1213","Actual","Low",_varPubDate)</f>
        <v>510</v>
      </c>
      <c r="N115" s="18">
        <f t="array" ref="N115">_xll.GetPrice("FP-LBR-1219","Actual","Low",_varPubDate)</f>
        <v>510</v>
      </c>
      <c r="O115" s="13"/>
      <c r="P115" s="18">
        <f t="array" ref="P115">_xll.GetPrice("FP-LBR-1319","Actual","Low",_varPubDate)</f>
        <v>400</v>
      </c>
      <c r="Q115" s="18">
        <f t="array" ref="Q115">_xll.GetPrice("FP-LBR-1208","Actual","Low",_varPubDate)</f>
        <v>575</v>
      </c>
    </row>
    <row r="116" spans="1:17" x14ac:dyDescent="0.2">
      <c r="A116" s="30" t="s">
        <v>48</v>
      </c>
      <c r="B116" s="18">
        <f t="array" ref="B116">_xll.GetPrice("FP-LBR-0151","Actual","Low",_varPubDate)</f>
        <v>395</v>
      </c>
      <c r="C116" s="18">
        <f t="array" ref="C116">_xll.GetPrice("FP-LBR-0244","Actual","Low",_varPubDate)</f>
        <v>415</v>
      </c>
      <c r="D116" s="18">
        <f t="array" ref="D116">_xll.GetPrice("FP-LBR-0260","Actual","Low",_varPubDate)</f>
        <v>405</v>
      </c>
      <c r="E116" s="18">
        <f t="array" ref="E116">_xll.GetPrice("FP-LBR-0164","Actual","Low",_varPubDate)</f>
        <v>475</v>
      </c>
      <c r="F116" s="18">
        <f t="array" ref="F116">_xll.GetPrice("FP-LBR-0231","Actual","Low",_varPubDate)</f>
        <v>490</v>
      </c>
      <c r="G116" s="18">
        <f t="array" ref="G116">_xll.GetPrice("FP-LBR-0270","Actual","Low",_varPubDate)</f>
        <v>428</v>
      </c>
      <c r="H116" s="33" t="s">
        <v>44</v>
      </c>
      <c r="I116" s="18">
        <f t="array" ref="I116">_xll.GetPrice("FP-LBR-0306","Actual","Low",_varPubDate)</f>
        <v>305</v>
      </c>
      <c r="J116" s="18">
        <f t="array" ref="J116">_xll.GetPrice("FP-LBR-1998","Actual","Low",_varPubDate)</f>
        <v>290</v>
      </c>
      <c r="K116" s="18">
        <f t="array" ref="K116">_xll.GetPrice("FP-LBR-1982","Actual","Low",_varPubDate)</f>
        <v>310</v>
      </c>
      <c r="L116" s="20">
        <f t="array" ref="L116">_xll.GetPrice("FP-LBR-0405","Actual","Low",_varPubDate)</f>
        <v>383</v>
      </c>
      <c r="M116" s="18">
        <f t="array" ref="M116">_xll.GetPrice("FP-LBR-1214","Actual","Low",_varPubDate)</f>
        <v>500</v>
      </c>
      <c r="N116" s="18">
        <f t="array" ref="N116">_xll.GetPrice("FP-LBR-1220","Actual","Low",_varPubDate)</f>
        <v>505</v>
      </c>
      <c r="O116" s="13"/>
      <c r="P116" s="18">
        <f t="array" ref="P116">_xll.GetPrice("FP-LBR-1320","Actual","Low",_varPubDate)</f>
        <v>420</v>
      </c>
      <c r="Q116" s="18">
        <f t="array" ref="Q116">_xll.GetPrice("FP-LBR-1209","Actual","Low",_varPubDate)</f>
        <v>595</v>
      </c>
    </row>
    <row r="117" spans="1:17" x14ac:dyDescent="0.2">
      <c r="A117" s="1" t="s">
        <v>49</v>
      </c>
      <c r="B117" s="18">
        <f t="array" ref="B117">_xll.GetPrice("FP-LBR-0152","Actual","Low",_varPubDate)</f>
        <v>410</v>
      </c>
      <c r="C117" s="18">
        <f t="array" ref="C117">_xll.GetPrice("FP-LBR-0245","Actual","Low",_varPubDate)</f>
        <v>430</v>
      </c>
      <c r="D117" s="18">
        <f t="array" ref="D117">_xll.GetPrice("FP-LBR-0261","Actual","Low",_varPubDate)</f>
        <v>425</v>
      </c>
      <c r="E117" s="18">
        <f t="array" ref="E117">_xll.GetPrice("FP-LBR-0165","Actual","Low",_varPubDate)</f>
        <v>650</v>
      </c>
      <c r="F117" s="18">
        <f t="array" ref="F117">_xll.GetPrice("FP-LBR-0232","Actual","Low",_varPubDate)</f>
        <v>638</v>
      </c>
      <c r="G117" s="18">
        <f t="array" ref="G117">_xll.GetPrice("FP-LBR-0271","Actual","Low",_varPubDate)</f>
        <v>622</v>
      </c>
      <c r="H117" s="33" t="s">
        <v>44</v>
      </c>
      <c r="I117" s="18">
        <f t="array" ref="I117">_xll.GetPrice("FP-LBR-0307","Actual","Low",_varPubDate)</f>
        <v>289</v>
      </c>
      <c r="J117" s="18">
        <f t="array" ref="J117">_xll.GetPrice("FP-LBR-1999","Actual","Low",_varPubDate)</f>
        <v>285</v>
      </c>
      <c r="K117" s="18">
        <f t="array" ref="K117">_xll.GetPrice("FP-LBR-1983","Actual","Low",_varPubDate)</f>
        <v>340</v>
      </c>
      <c r="L117" s="20">
        <f t="array" ref="L117">_xll.GetPrice("FP-LBR-0406","Actual","Low",_varPubDate)</f>
        <v>443</v>
      </c>
      <c r="M117" s="18">
        <f t="array" ref="M117">_xll.GetPrice("FP-LBR-1215","Actual","Low",_varPubDate)</f>
        <v>570</v>
      </c>
      <c r="N117" s="18">
        <f t="array" ref="N117">_xll.GetPrice("FP-LBR-1221","Actual","Low",_varPubDate)</f>
        <v>590</v>
      </c>
      <c r="O117" s="13"/>
      <c r="P117" s="18">
        <f t="array" ref="P117">_xll.GetPrice("FP-LBR-1321","Actual","Low",_varPubDate)</f>
        <v>575</v>
      </c>
      <c r="Q117" s="18">
        <f t="array" ref="Q117">_xll.GetPrice("FP-LBR-1210","Actual","Low",_varPubDate)</f>
        <v>735</v>
      </c>
    </row>
    <row r="118" spans="1:17" x14ac:dyDescent="0.2">
      <c r="A118" s="1" t="s">
        <v>50</v>
      </c>
      <c r="B118" s="18">
        <f t="array" ref="B118">_xll.GetPrice("FP-LBR-0153","Actual","Low",_varPubDate)</f>
        <v>405</v>
      </c>
      <c r="C118" s="18">
        <f t="array" ref="C118">_xll.GetPrice("FP-LBR-0246","Actual","Low",_varPubDate)</f>
        <v>410</v>
      </c>
      <c r="D118" s="18">
        <f t="array" ref="D118">_xll.GetPrice("FP-LBR-0262","Actual","Low",_varPubDate)</f>
        <v>410</v>
      </c>
      <c r="E118" s="18">
        <f t="array" ref="E118">_xll.GetPrice("FP-LBR-0166","Actual","Low",_varPubDate)</f>
        <v>565</v>
      </c>
      <c r="F118" s="18">
        <f t="array" ref="F118">_xll.GetPrice("FP-LBR-0233","Actual","Low",_varPubDate)</f>
        <v>565</v>
      </c>
      <c r="G118" s="18">
        <f t="array" ref="G118">_xll.GetPrice("FP-LBR-0272","Actual","Low",_varPubDate)</f>
        <v>610</v>
      </c>
      <c r="H118" s="33" t="s">
        <v>44</v>
      </c>
      <c r="I118" s="18">
        <f t="array" ref="I118">_xll.GetPrice("FP-LBR-0308","Actual","Low",_varPubDate)</f>
        <v>331</v>
      </c>
      <c r="J118" s="18">
        <f t="array" ref="J118">_xll.GetPrice("FP-LBR-2000","Actual","Low",_varPubDate)</f>
        <v>335</v>
      </c>
      <c r="K118" s="18">
        <f t="array" ref="K118">_xll.GetPrice("FP-LBR-1984","Actual","Low",_varPubDate)</f>
        <v>350</v>
      </c>
      <c r="L118" s="20">
        <f t="array" ref="L118">_xll.GetPrice("FP-LBR-0407","Actual","Low",_varPubDate)</f>
        <v>585</v>
      </c>
      <c r="M118" s="33" t="s">
        <v>44</v>
      </c>
      <c r="N118" s="33" t="s">
        <v>44</v>
      </c>
      <c r="O118" s="13"/>
      <c r="P118" s="18">
        <f t="array" ref="P118">_xll.GetPrice("FP-LBR-1322","Actual","Low",_varPubDate)</f>
        <v>510</v>
      </c>
      <c r="Q118" s="18">
        <f t="array" ref="Q118">_xll.GetPrice("FP-LBR-1211","Actual","Low",_varPubDate)</f>
        <v>670</v>
      </c>
    </row>
    <row r="119" spans="1:17" x14ac:dyDescent="0.2">
      <c r="A119" s="32" t="s">
        <v>51</v>
      </c>
      <c r="G119" s="13"/>
      <c r="Q119" s="33"/>
    </row>
    <row r="120" spans="1:17" x14ac:dyDescent="0.2">
      <c r="A120" s="1" t="s">
        <v>43</v>
      </c>
      <c r="B120" s="18">
        <f t="array" ref="B120">_xll.GetPrice("FP-LBR-0154","Actual","Low",_varPubDate)</f>
        <v>320</v>
      </c>
      <c r="C120" s="18">
        <f t="array" ref="C120">_xll.GetPrice("FP-LBR-0247","Actual","Low",_varPubDate)</f>
        <v>340</v>
      </c>
      <c r="D120" s="18">
        <f t="array" ref="D120">_xll.GetPrice("FP-LBR-0263","Actual","Low",_varPubDate)</f>
        <v>340</v>
      </c>
      <c r="E120" s="18">
        <f t="array" ref="E120">_xll.GetPrice("FP-LBR-0167","Actual","Low",_varPubDate)</f>
        <v>345</v>
      </c>
      <c r="F120" s="18">
        <f t="array" ref="F120">_xll.GetPrice("FP-LBR-0234","Actual","Low",_varPubDate)</f>
        <v>345</v>
      </c>
      <c r="G120" s="13" t="s">
        <v>44</v>
      </c>
      <c r="H120" s="18">
        <f t="array" ref="H120">_xll.GetPrice("FP-LBR-0256","Actual","Low",_varPubDate)</f>
        <v>385</v>
      </c>
      <c r="I120" s="18">
        <f t="array" ref="I120">_xll.GetPrice("FP-LBR-0309","Actual","Low",_varPubDate)</f>
        <v>302</v>
      </c>
      <c r="J120" s="18">
        <f t="array" ref="J120">_xll.GetPrice("FP-LBR-2006","Actual","Low",_varPubDate)</f>
        <v>280</v>
      </c>
      <c r="K120" s="18">
        <f t="array" ref="K120">_xll.GetPrice("FP-LBR-1986","Actual","Low",_varPubDate)</f>
        <v>310</v>
      </c>
      <c r="L120" s="20">
        <f t="array" ref="L120">_xll.GetPrice("FP-LBR-0408","Actual","Low",_varPubDate)</f>
        <v>330</v>
      </c>
      <c r="M120" s="18">
        <f t="array" ref="M120">_xll.GetPrice("FP-LBR-1216","Actual","Low",_varPubDate)</f>
        <v>405</v>
      </c>
      <c r="N120" s="18">
        <f t="array" ref="N120">_xll.GetPrice("FP-LBR-1222","Actual","Low",_varPubDate)</f>
        <v>405</v>
      </c>
      <c r="P120" s="18">
        <f t="array" ref="P120">_xll.GetPrice("FP-LBR-1329","Actual","Low",_varPubDate)</f>
        <v>280</v>
      </c>
      <c r="Q120" s="33" t="s">
        <v>44</v>
      </c>
    </row>
    <row r="122" spans="1:17" x14ac:dyDescent="0.2">
      <c r="L122" s="26" t="s">
        <v>18</v>
      </c>
    </row>
    <row r="123" spans="1:17" x14ac:dyDescent="0.2">
      <c r="B123" s="1" t="s">
        <v>19</v>
      </c>
      <c r="C123" s="1" t="s">
        <v>32</v>
      </c>
      <c r="E123" s="1" t="s">
        <v>21</v>
      </c>
      <c r="F123" s="30" t="s">
        <v>52</v>
      </c>
      <c r="H123" s="1" t="s">
        <v>53</v>
      </c>
      <c r="I123" s="28" t="s">
        <v>54</v>
      </c>
      <c r="J123" s="28"/>
      <c r="K123" s="28"/>
      <c r="L123" s="30" t="s">
        <v>24</v>
      </c>
      <c r="M123" s="1" t="s">
        <v>25</v>
      </c>
      <c r="N123" s="1"/>
      <c r="P123" s="26" t="s">
        <v>26</v>
      </c>
    </row>
    <row r="124" spans="1:17" x14ac:dyDescent="0.2">
      <c r="A124" s="32" t="s">
        <v>55</v>
      </c>
      <c r="B124" s="1" t="s">
        <v>28</v>
      </c>
      <c r="C124" s="1" t="s">
        <v>28</v>
      </c>
      <c r="E124" s="1" t="s">
        <v>31</v>
      </c>
      <c r="F124" s="1" t="s">
        <v>56</v>
      </c>
      <c r="H124" s="1"/>
      <c r="I124" s="1"/>
      <c r="J124" s="1"/>
      <c r="K124" s="1"/>
      <c r="L124" s="1" t="s">
        <v>38</v>
      </c>
      <c r="M124" s="1" t="s">
        <v>39</v>
      </c>
      <c r="N124" s="1" t="s">
        <v>40</v>
      </c>
      <c r="P124" s="26" t="s">
        <v>41</v>
      </c>
    </row>
    <row r="125" spans="1:17" x14ac:dyDescent="0.2">
      <c r="A125" s="30" t="s">
        <v>57</v>
      </c>
      <c r="B125" s="33" t="s">
        <v>44</v>
      </c>
      <c r="C125" s="13" t="s">
        <v>44</v>
      </c>
      <c r="E125" s="33" t="s">
        <v>44</v>
      </c>
      <c r="F125" s="13" t="s">
        <v>44</v>
      </c>
      <c r="H125" s="13" t="s">
        <v>44</v>
      </c>
      <c r="J125" s="18">
        <f t="array" ref="J125">_xll.GetPrice("FP-LBR-0319","Actual","Low",_varPubDate)</f>
        <v>380</v>
      </c>
      <c r="L125" s="20">
        <f t="array" ref="L125">_xll.GetPrice("FP-LBR-0414","Actual","Low",_varPubDate)</f>
        <v>365</v>
      </c>
      <c r="M125" s="18">
        <f t="array" ref="M125">_xll.GetPrice("FP-LBR-1244","Actual","Low",_varPubDate)</f>
        <v>505</v>
      </c>
      <c r="N125" s="18">
        <f t="array" ref="N125">_xll.GetPrice("FP-LBR-1254","Actual","Low",_varPubDate)</f>
        <v>515</v>
      </c>
      <c r="P125" s="33" t="s">
        <v>44</v>
      </c>
    </row>
    <row r="126" spans="1:17" x14ac:dyDescent="0.2">
      <c r="A126" s="1" t="s">
        <v>58</v>
      </c>
      <c r="B126" s="18">
        <f t="array" ref="B126">_xll.GetPrice("FP-LBR-0172","Actual","Low",_varPubDate)</f>
        <v>415</v>
      </c>
      <c r="C126" s="18">
        <f t="array" ref="C126">_xll.GetPrice("FP-LBR-0291","Actual","Low",_varPubDate)</f>
        <v>400</v>
      </c>
      <c r="E126" s="18">
        <f t="array" ref="E126">_xll.GetPrice("FP-LBR-0178","Actual","Low",_varPubDate)</f>
        <v>420</v>
      </c>
      <c r="F126" s="18">
        <f t="array" ref="F126">_xll.GetPrice("FP-LBR-0287","Actual","Low",_varPubDate)</f>
        <v>413</v>
      </c>
      <c r="H126" s="18">
        <f t="array" ref="H126">_xll.GetPrice("FP-LBR-0296","Actual","Low",_varPubDate)</f>
        <v>410</v>
      </c>
      <c r="J126" s="33" t="s">
        <v>44</v>
      </c>
      <c r="L126" s="18">
        <f t="array" ref="L126">_xll.GetPrice("FP-LBR-0415","Actual","Low",_varPubDate)</f>
        <v>390</v>
      </c>
      <c r="M126" s="33" t="s">
        <v>44</v>
      </c>
      <c r="N126" s="33" t="s">
        <v>44</v>
      </c>
      <c r="P126" s="18">
        <f t="array" ref="P126">_xll.GetPrice("FP-LBR-1393","Actual","Low",_varPubDate)</f>
        <v>355</v>
      </c>
    </row>
    <row r="127" spans="1:17" x14ac:dyDescent="0.2">
      <c r="A127" s="30" t="s">
        <v>59</v>
      </c>
      <c r="B127" s="33" t="s">
        <v>44</v>
      </c>
      <c r="C127" s="13" t="s">
        <v>44</v>
      </c>
      <c r="E127" s="33" t="s">
        <v>44</v>
      </c>
      <c r="F127" s="13" t="s">
        <v>44</v>
      </c>
      <c r="H127" s="13" t="s">
        <v>44</v>
      </c>
      <c r="J127" s="33" t="s">
        <v>44</v>
      </c>
      <c r="K127" s="34"/>
      <c r="L127" s="18">
        <f t="array" ref="L127">_xll.GetPrice("FP-LBR-0417","Actual","Low",_varPubDate)</f>
        <v>450</v>
      </c>
      <c r="M127" s="18">
        <f t="array" ref="M127">_xll.GetPrice("FP-LBR-1245","Actual","Low",_varPubDate)</f>
        <v>545</v>
      </c>
      <c r="N127" s="18">
        <f t="array" ref="N127">_xll.GetPrice("FP-LBR-1255","Actual","Low",_varPubDate)</f>
        <v>560</v>
      </c>
      <c r="O127" s="8"/>
      <c r="P127" s="33" t="s">
        <v>44</v>
      </c>
    </row>
    <row r="128" spans="1:17" x14ac:dyDescent="0.2">
      <c r="A128" s="30" t="s">
        <v>60</v>
      </c>
      <c r="B128" s="18">
        <f t="array" ref="B128">_xll.GetPrice("FP-LBR-0173","Actual","Low",_varPubDate)</f>
        <v>475</v>
      </c>
      <c r="C128" s="18">
        <f t="array" ref="C128">_xll.GetPrice("FP-LBR-0292","Actual","Low",_varPubDate)</f>
        <v>485</v>
      </c>
      <c r="E128" s="18">
        <f t="array" ref="E128">_xll.GetPrice("FP-LBR-0180","Actual","Low",_varPubDate)</f>
        <v>480</v>
      </c>
      <c r="F128" s="18">
        <f t="array" ref="F128">_xll.GetPrice("FP-LBR-0288","Actual","Low",_varPubDate)</f>
        <v>488</v>
      </c>
      <c r="H128" s="18">
        <f t="array" ref="H128">_xll.GetPrice("FP-LBR-0297","Actual","Low",_varPubDate)</f>
        <v>490</v>
      </c>
      <c r="J128" s="33" t="s">
        <v>44</v>
      </c>
      <c r="L128" s="18">
        <f t="array" ref="L128">_xll.GetPrice("FP-LBR-0418","Actual","Low",_varPubDate)</f>
        <v>505</v>
      </c>
      <c r="M128" s="33" t="s">
        <v>44</v>
      </c>
      <c r="N128" s="33" t="s">
        <v>44</v>
      </c>
      <c r="P128" s="18">
        <f t="array" ref="P128">_xll.GetPrice("FP-LBR-1394","Actual","Low",_varPubDate)</f>
        <v>415</v>
      </c>
    </row>
    <row r="129" spans="1:27" x14ac:dyDescent="0.2">
      <c r="B129" s="8"/>
      <c r="C129" s="8"/>
      <c r="D129" s="8"/>
      <c r="G129" s="25"/>
      <c r="P129" s="35"/>
    </row>
    <row r="130" spans="1:27" ht="15.75" x14ac:dyDescent="0.25">
      <c r="B130" s="8"/>
      <c r="C130" s="8"/>
      <c r="D130" s="8"/>
      <c r="G130" s="24" t="s">
        <v>61</v>
      </c>
      <c r="O130" s="35"/>
      <c r="AA130" s="25"/>
    </row>
    <row r="131" spans="1:27" x14ac:dyDescent="0.2">
      <c r="B131" s="8"/>
      <c r="C131" s="8"/>
      <c r="D131" s="8"/>
      <c r="E131" s="36" t="s">
        <v>62</v>
      </c>
    </row>
    <row r="132" spans="1:27" x14ac:dyDescent="0.2">
      <c r="B132" s="8"/>
      <c r="C132" s="8"/>
      <c r="D132" s="8"/>
      <c r="E132" s="37" t="s">
        <v>63</v>
      </c>
    </row>
    <row r="133" spans="1:27" x14ac:dyDescent="0.2">
      <c r="B133" s="8"/>
      <c r="C133" s="8"/>
      <c r="D133" s="8"/>
      <c r="F133" s="30" t="s">
        <v>45</v>
      </c>
      <c r="G133" s="1" t="s">
        <v>64</v>
      </c>
      <c r="H133" s="1" t="s">
        <v>65</v>
      </c>
    </row>
    <row r="134" spans="1:27" x14ac:dyDescent="0.2">
      <c r="B134" s="8"/>
      <c r="C134" s="8"/>
      <c r="D134" s="8"/>
      <c r="E134" s="1" t="s">
        <v>66</v>
      </c>
      <c r="F134" s="18">
        <f t="array" ref="F134">_xll.GetPrice("FP-LBR-1428","Actual","Low",_varPubDate)</f>
        <v>965</v>
      </c>
      <c r="G134" s="18">
        <f t="array" ref="G134">_xll.GetPrice("FP-LBR-1433","Actual","Low",_varPubDate)</f>
        <v>520</v>
      </c>
      <c r="H134" s="18">
        <f t="array" ref="H134">_xll.GetPrice("FP-LBR-1438","Actual","Low",_varPubDate)</f>
        <v>335</v>
      </c>
    </row>
    <row r="135" spans="1:27" x14ac:dyDescent="0.2">
      <c r="B135" s="8"/>
      <c r="C135" s="8"/>
      <c r="D135" s="8"/>
      <c r="E135" s="1" t="s">
        <v>67</v>
      </c>
      <c r="F135" s="18">
        <f t="array" ref="F135">_xll.GetPrice("FP-LBR-1431","Actual","Low",_varPubDate)</f>
        <v>900</v>
      </c>
      <c r="G135" s="18">
        <f t="array" ref="G135">_xll.GetPrice("FP-LBR-1436","Actual","Low",_varPubDate)</f>
        <v>645</v>
      </c>
      <c r="H135" s="18">
        <f t="array" ref="H135">_xll.GetPrice("FP-LBR-1441","Actual","Low",_varPubDate)</f>
        <v>330</v>
      </c>
    </row>
    <row r="137" spans="1:27" ht="15.75" x14ac:dyDescent="0.25">
      <c r="G137" s="24" t="s">
        <v>68</v>
      </c>
    </row>
    <row r="139" spans="1:27" x14ac:dyDescent="0.2">
      <c r="A139" s="25" t="s">
        <v>69</v>
      </c>
      <c r="B139" s="12"/>
      <c r="H139" s="25" t="s">
        <v>70</v>
      </c>
      <c r="I139" s="38"/>
      <c r="K139" s="25" t="s">
        <v>71</v>
      </c>
    </row>
    <row r="140" spans="1:27" x14ac:dyDescent="0.2">
      <c r="A140" s="39"/>
      <c r="B140" s="40" t="s">
        <v>72</v>
      </c>
      <c r="C140" s="31"/>
      <c r="D140" s="31"/>
      <c r="E140" s="40" t="s">
        <v>73</v>
      </c>
      <c r="G140" s="31"/>
      <c r="H140" s="40" t="s">
        <v>72</v>
      </c>
      <c r="I140" s="40"/>
      <c r="J140" s="31"/>
      <c r="K140" s="41"/>
      <c r="L140" s="40" t="s">
        <v>72</v>
      </c>
      <c r="M140" s="31"/>
      <c r="N140" s="40" t="s">
        <v>73</v>
      </c>
    </row>
    <row r="141" spans="1:27" x14ac:dyDescent="0.2">
      <c r="B141" s="42" t="s">
        <v>74</v>
      </c>
      <c r="E141" s="42" t="s">
        <v>75</v>
      </c>
      <c r="I141" s="42" t="s">
        <v>76</v>
      </c>
      <c r="L141" s="43" t="s">
        <v>77</v>
      </c>
      <c r="N141" s="43" t="s">
        <v>77</v>
      </c>
    </row>
    <row r="142" spans="1:27" x14ac:dyDescent="0.2">
      <c r="A142" s="38"/>
      <c r="B142" s="42"/>
      <c r="C142" s="31"/>
      <c r="D142" s="44"/>
      <c r="E142" s="42" t="s">
        <v>35</v>
      </c>
      <c r="F142" s="42" t="s">
        <v>78</v>
      </c>
      <c r="G142" s="42" t="s">
        <v>37</v>
      </c>
      <c r="H142" s="44"/>
      <c r="I142" s="42"/>
      <c r="J142" s="31"/>
      <c r="K142" s="44"/>
      <c r="L142" s="31"/>
      <c r="M142" s="42"/>
      <c r="N142" s="42" t="s">
        <v>35</v>
      </c>
      <c r="O142" s="42" t="s">
        <v>78</v>
      </c>
      <c r="P142" s="42" t="s">
        <v>37</v>
      </c>
    </row>
    <row r="143" spans="1:27" x14ac:dyDescent="0.2">
      <c r="A143" s="42" t="s">
        <v>79</v>
      </c>
      <c r="B143" s="20">
        <f t="array" ref="B143">_xll.GetPrice("FP-PNL-0219","Actual","Low",_varPubDate)</f>
        <v>415</v>
      </c>
      <c r="C143" s="13"/>
      <c r="D143" s="42" t="s">
        <v>79</v>
      </c>
      <c r="E143" s="18">
        <f t="array" ref="E143">_xll.GetPrice("FP-PNL-0153","Actual","Low",_varPubDate)</f>
        <v>348</v>
      </c>
      <c r="F143" s="18">
        <f t="array" ref="F143">_xll.GetPrice("FP-PNL-0158","Actual","Low",_varPubDate)</f>
        <v>365</v>
      </c>
      <c r="G143" s="18">
        <f t="array" ref="G143">_xll.GetPrice("FP-PNL-0163","Actual","Low",_varPubDate)</f>
        <v>414</v>
      </c>
      <c r="H143" s="42" t="s">
        <v>80</v>
      </c>
      <c r="I143" s="18">
        <f t="array" ref="I143">_xll.GetPrice("FP-PNL-0243","Actual","Low",_varPubDate)</f>
        <v>1030</v>
      </c>
      <c r="K143" s="42" t="s">
        <v>81</v>
      </c>
      <c r="L143" s="18">
        <f t="array" ref="L143">_xll.GetPrice("FP-PNL-0264","Actual","Low",_varPubDate)</f>
        <v>870</v>
      </c>
      <c r="M143" s="42" t="s">
        <v>81</v>
      </c>
      <c r="N143" s="18">
        <f t="array" ref="N143">_xll.GetPrice("FP-PNL-0204","Actual","Low",_varPubDate)</f>
        <v>860</v>
      </c>
      <c r="O143" s="18">
        <f t="array" ref="O143">_xll.GetPrice("FP-PNL-0206","Actual","Low",_varPubDate)</f>
        <v>892</v>
      </c>
      <c r="P143" s="18">
        <f t="array" ref="P143">_xll.GetPrice("FP-PNL-0208","Actual","Low",_varPubDate)</f>
        <v>901</v>
      </c>
    </row>
    <row r="144" spans="1:27" x14ac:dyDescent="0.2">
      <c r="A144" s="45" t="s">
        <v>82</v>
      </c>
      <c r="B144" s="18">
        <f t="array" ref="B144">_xll.GetPrice("FP-PNL-0220","Actual","Low",_varPubDate)</f>
        <v>475</v>
      </c>
      <c r="C144" s="13"/>
      <c r="D144" s="45" t="s">
        <v>83</v>
      </c>
      <c r="E144" s="18">
        <f t="array" ref="E144">_xll.GetPrice("FP-PNL-0154","Actual","Low",_varPubDate)</f>
        <v>418</v>
      </c>
      <c r="F144" s="18">
        <f t="array" ref="F144">_xll.GetPrice("FP-PNL-0159","Actual","Low",_varPubDate)</f>
        <v>436</v>
      </c>
      <c r="G144" s="18">
        <f t="array" ref="G144">_xll.GetPrice("FP-PNL-0164","Actual","Low",_varPubDate)</f>
        <v>458</v>
      </c>
      <c r="H144" s="42" t="s">
        <v>84</v>
      </c>
      <c r="I144" s="18">
        <f t="array" ref="I144">_xll.GetPrice("FP-PNL-0244","Actual","Low",_varPubDate)</f>
        <v>1055</v>
      </c>
      <c r="K144" s="25" t="s">
        <v>85</v>
      </c>
    </row>
    <row r="145" spans="1:16" x14ac:dyDescent="0.2">
      <c r="A145" s="45" t="s">
        <v>86</v>
      </c>
      <c r="B145" s="18">
        <f t="array" ref="B145">_xll.GetPrice("FP-PNL-0221","Actual","Low",_varPubDate)</f>
        <v>485</v>
      </c>
      <c r="C145" s="18">
        <f t="array" ref="C145">_xll.GetPrice("FP-PNL-0222","Actual","Low",_varPubDate)</f>
        <v>580</v>
      </c>
      <c r="D145" s="45" t="s">
        <v>87</v>
      </c>
      <c r="E145" s="18">
        <f t="array" ref="E145">_xll.GetPrice("FP-PNL-0155","Actual","Low",_varPubDate)</f>
        <v>425</v>
      </c>
      <c r="F145" s="18">
        <f t="array" ref="F145">_xll.GetPrice("FP-PNL-0160","Actual","Low",_varPubDate)</f>
        <v>440</v>
      </c>
      <c r="G145" s="18">
        <f t="array" ref="G145">_xll.GetPrice("FP-PNL-0165","Actual","Low",_varPubDate)</f>
        <v>486</v>
      </c>
      <c r="H145" s="42" t="s">
        <v>88</v>
      </c>
      <c r="I145" s="18">
        <f t="array" ref="I145">_xll.GetPrice("FP-PNL-0245","Actual","Low",_varPubDate)</f>
        <v>1540</v>
      </c>
      <c r="L145" s="40" t="s">
        <v>72</v>
      </c>
      <c r="N145" s="40" t="s">
        <v>73</v>
      </c>
    </row>
    <row r="146" spans="1:16" x14ac:dyDescent="0.2">
      <c r="A146" s="45" t="s">
        <v>89</v>
      </c>
      <c r="B146" s="18">
        <f t="array" ref="B146">_xll.GetPrice("FP-PNL-0223","Actual","Low",_varPubDate)</f>
        <v>620</v>
      </c>
      <c r="C146" s="18">
        <f t="array" ref="C146">_xll.GetPrice("FP-PNL-0224","Actual","Low",_varPubDate)</f>
        <v>640</v>
      </c>
      <c r="D146" s="45" t="s">
        <v>90</v>
      </c>
      <c r="E146" s="18">
        <f t="array" ref="E146">_xll.GetPrice("FP-PNL-0156","Actual","Low",_varPubDate)</f>
        <v>481</v>
      </c>
      <c r="F146" s="18">
        <f t="array" ref="F146">_xll.GetPrice("FP-PNL-0161","Actual","Low",_varPubDate)</f>
        <v>482</v>
      </c>
      <c r="G146" s="18">
        <f t="array" ref="G146">_xll.GetPrice("FP-PNL-0166","Actual","Low",_varPubDate)</f>
        <v>503</v>
      </c>
      <c r="H146" s="42" t="s">
        <v>91</v>
      </c>
      <c r="I146" s="18">
        <f t="array" ref="I146">_xll.GetPrice("FP-PNL-0246","Actual","Low",_varPubDate)</f>
        <v>1730</v>
      </c>
      <c r="N146" s="42" t="s">
        <v>35</v>
      </c>
      <c r="P146" s="42" t="s">
        <v>37</v>
      </c>
    </row>
    <row r="147" spans="1:16" x14ac:dyDescent="0.2">
      <c r="A147" s="42" t="s">
        <v>92</v>
      </c>
      <c r="B147" s="18">
        <f t="array" ref="B147">_xll.GetPrice("FP-PNL-0225","Actual","Low",_varPubDate)</f>
        <v>780</v>
      </c>
      <c r="C147" s="18">
        <f t="array" ref="C147">_xll.GetPrice("FP-PNL-0226","Actual","Low",_varPubDate)</f>
        <v>775</v>
      </c>
      <c r="D147" s="42" t="s">
        <v>81</v>
      </c>
      <c r="E147" s="18">
        <f t="array" ref="E147">_xll.GetPrice("FP-PNL-0157","Actual","Low",_varPubDate)</f>
        <v>662</v>
      </c>
      <c r="F147" s="18">
        <f t="array" ref="F147">_xll.GetPrice("FP-PNL-0162","Actual","Low",_varPubDate)</f>
        <v>661</v>
      </c>
      <c r="G147" s="18">
        <f t="array" ref="G147">_xll.GetPrice("FP-PNL-0167","Actual","Low",_varPubDate)</f>
        <v>697</v>
      </c>
      <c r="H147" s="42" t="s">
        <v>81</v>
      </c>
      <c r="I147" s="18">
        <f t="array" ref="I147">_xll.GetPrice("FP-PNL-0247","Actual","Low",_varPubDate)</f>
        <v>1890</v>
      </c>
      <c r="K147" s="42" t="s">
        <v>93</v>
      </c>
      <c r="L147" s="18">
        <f t="array" ref="L147">_xll.GetPrice("FP-PNL-0267","Actual","Low",_varPubDate)</f>
        <v>1800</v>
      </c>
      <c r="M147" s="42" t="s">
        <v>81</v>
      </c>
      <c r="N147" s="18">
        <f t="array" ref="N147">_xll.GetPrice("FP-PNL-0210","Actual","Low",_varPubDate)</f>
        <v>1259</v>
      </c>
      <c r="P147" s="18">
        <f t="array" ref="P147">_xll.GetPrice("FP-PNL-0212","Actual","Low",_varPubDate)</f>
        <v>1312</v>
      </c>
    </row>
    <row r="148" spans="1:16" x14ac:dyDescent="0.2">
      <c r="A148" s="42"/>
      <c r="B148" s="18"/>
      <c r="C148" s="18"/>
      <c r="D148" s="42"/>
      <c r="E148" s="18"/>
      <c r="F148" s="18"/>
      <c r="G148" s="18"/>
      <c r="H148" s="42"/>
      <c r="I148" s="18"/>
      <c r="K148" s="42"/>
      <c r="L148" s="18"/>
      <c r="M148" s="42"/>
      <c r="N148" s="18"/>
      <c r="P148" s="18"/>
    </row>
    <row r="149" spans="1:16" x14ac:dyDescent="0.2">
      <c r="A149" s="42"/>
      <c r="B149" s="40" t="s">
        <v>94</v>
      </c>
      <c r="C149" s="18"/>
      <c r="D149" s="42"/>
      <c r="E149" s="18"/>
      <c r="F149" s="18"/>
      <c r="G149" s="18"/>
      <c r="H149" s="42"/>
      <c r="I149" s="18"/>
      <c r="K149" s="42"/>
      <c r="L149" s="18"/>
      <c r="M149" s="42"/>
      <c r="N149" s="18"/>
      <c r="P149" s="18"/>
    </row>
    <row r="150" spans="1:16" x14ac:dyDescent="0.2">
      <c r="B150" s="42" t="s">
        <v>95</v>
      </c>
      <c r="C150" s="42" t="s">
        <v>96</v>
      </c>
      <c r="D150" s="42"/>
      <c r="E150" s="18"/>
      <c r="F150" s="18"/>
      <c r="G150" s="18"/>
      <c r="H150" s="42"/>
      <c r="I150" s="18"/>
      <c r="K150" s="42"/>
      <c r="L150" s="18"/>
      <c r="M150" s="42"/>
      <c r="N150" s="18"/>
      <c r="P150" s="18"/>
    </row>
    <row r="151" spans="1:16" x14ac:dyDescent="0.2">
      <c r="A151" s="42" t="s">
        <v>97</v>
      </c>
      <c r="B151" s="18">
        <f t="array" ref="B151">_xll.GetPrice("FP-PNL-0337","Actual","Low",_varPubDate)</f>
        <v>651</v>
      </c>
      <c r="C151" s="18" cm="1">
        <f t="array" ref="C151">_xll.GetPrice("FP-PNL-0421","Actual","Low",_varPubDate)</f>
        <v>618</v>
      </c>
      <c r="D151" s="42"/>
      <c r="E151" s="18"/>
      <c r="F151" s="18"/>
      <c r="G151" s="18"/>
      <c r="H151" s="42"/>
      <c r="I151" s="18"/>
      <c r="K151" s="42"/>
      <c r="L151" s="18"/>
      <c r="M151" s="42"/>
      <c r="N151" s="18"/>
      <c r="P151" s="18"/>
    </row>
    <row r="152" spans="1:16" x14ac:dyDescent="0.2">
      <c r="A152" s="42"/>
      <c r="B152" s="18"/>
      <c r="C152" s="18"/>
      <c r="D152" s="42"/>
      <c r="E152" s="18"/>
      <c r="F152" s="18"/>
      <c r="G152" s="18"/>
      <c r="H152" s="42"/>
      <c r="I152" s="18"/>
      <c r="K152" s="42"/>
      <c r="L152" s="18"/>
      <c r="M152" s="42"/>
      <c r="N152" s="18"/>
      <c r="P152" s="18"/>
    </row>
    <row r="153" spans="1:16" ht="15.75" x14ac:dyDescent="0.25">
      <c r="F153" s="24" t="s">
        <v>98</v>
      </c>
      <c r="M153" s="42"/>
      <c r="N153" s="18"/>
      <c r="P153" s="18"/>
    </row>
    <row r="154" spans="1:16" x14ac:dyDescent="0.2">
      <c r="A154" s="31"/>
      <c r="B154" s="42" t="s">
        <v>99</v>
      </c>
      <c r="C154" s="42" t="s">
        <v>72</v>
      </c>
      <c r="D154" s="42" t="s">
        <v>100</v>
      </c>
      <c r="E154" s="42" t="s">
        <v>101</v>
      </c>
      <c r="F154" s="42" t="s">
        <v>101</v>
      </c>
      <c r="G154" s="42" t="s">
        <v>102</v>
      </c>
      <c r="H154" s="42" t="s">
        <v>103</v>
      </c>
      <c r="I154" s="1"/>
      <c r="J154" s="1"/>
      <c r="K154" s="1"/>
      <c r="L154" s="1"/>
      <c r="M154" s="42"/>
      <c r="N154" s="18"/>
      <c r="P154" s="18"/>
    </row>
    <row r="155" spans="1:16" x14ac:dyDescent="0.2">
      <c r="A155" s="31"/>
      <c r="B155" s="42" t="s">
        <v>78</v>
      </c>
      <c r="C155" s="42" t="s">
        <v>104</v>
      </c>
      <c r="D155" s="42" t="s">
        <v>104</v>
      </c>
      <c r="E155" s="42" t="s">
        <v>35</v>
      </c>
      <c r="F155" s="42" t="s">
        <v>37</v>
      </c>
      <c r="G155" s="42" t="s">
        <v>105</v>
      </c>
      <c r="H155" s="42" t="s">
        <v>106</v>
      </c>
      <c r="I155" s="42" t="s">
        <v>107</v>
      </c>
      <c r="J155" s="42" t="s">
        <v>108</v>
      </c>
      <c r="K155" s="42" t="s">
        <v>109</v>
      </c>
      <c r="L155" s="42" t="s">
        <v>110</v>
      </c>
      <c r="M155" s="42"/>
      <c r="N155" s="18"/>
      <c r="P155" s="18"/>
    </row>
    <row r="156" spans="1:16" x14ac:dyDescent="0.2">
      <c r="A156" s="45" t="s">
        <v>111</v>
      </c>
      <c r="B156" s="18">
        <f t="array" ref="B156">_xll.GetPrice("FP-PNL-0028","Actual","Low",_varPubDate)</f>
        <v>235</v>
      </c>
      <c r="C156" s="18">
        <f t="array" ref="C156">_xll.GetPrice("FP-PNL-0034","Actual","Low",_varPubDate)</f>
        <v>190</v>
      </c>
      <c r="D156" s="18">
        <f t="array" ref="D156">_xll.GetPrice("FP-PNL-0040","Actual","Low",_varPubDate)</f>
        <v>205</v>
      </c>
      <c r="E156" s="18">
        <f t="array" ref="E156">_xll.GetPrice("FP-PNL-0110","Actual","Low",_varPubDate)</f>
        <v>205</v>
      </c>
      <c r="F156" s="18">
        <f t="array" ref="F156">_xll.GetPrice("FP-PNL-0116","Actual","Low",_varPubDate)</f>
        <v>220</v>
      </c>
      <c r="G156" s="18">
        <f t="array" ref="G156">_xll.GetPrice("FP-PNL-0122","Actual","Low",_varPubDate)</f>
        <v>230</v>
      </c>
      <c r="H156" s="18">
        <f t="array" ref="H156">_xll.GetPrice("FP-PNL-0128","Actual","Low",_varPubDate)</f>
        <v>260</v>
      </c>
      <c r="I156" s="18">
        <f t="array" ref="I156">_xll.GetPrice("FP-PNL-0046","Actual","Low",_varPubDate)</f>
        <v>265</v>
      </c>
      <c r="J156" s="18">
        <f t="array" ref="J156">_xll.GetPrice("FP-PNL-0143","Actual","Low",_varPubDate)</f>
        <v>290</v>
      </c>
      <c r="K156" s="18">
        <f t="array" ref="K156">_xll.GetPrice("FP-PNL-0133","Actual","Low",_varPubDate)</f>
        <v>260</v>
      </c>
      <c r="L156" s="18">
        <f t="array" ref="L156">_xll.GetPrice("FP-PNL-0086","Actual","Low",_varPubDate)</f>
        <v>335</v>
      </c>
    </row>
    <row r="157" spans="1:16" x14ac:dyDescent="0.2">
      <c r="A157" s="45" t="s">
        <v>88</v>
      </c>
      <c r="B157" s="18">
        <f t="array" ref="B157">_xll.GetPrice("FP-PNL-0029","Actual","Low",_varPubDate)</f>
        <v>250</v>
      </c>
      <c r="C157" s="18">
        <f t="array" ref="C157">_xll.GetPrice("FP-PNL-0035","Actual","Low",_varPubDate)</f>
        <v>210</v>
      </c>
      <c r="D157" s="18">
        <f t="array" ref="D157">_xll.GetPrice("FP-PNL-0041","Actual","Low",_varPubDate)</f>
        <v>225</v>
      </c>
      <c r="E157" s="18">
        <f t="array" ref="E157">_xll.GetPrice("FP-PNL-0111","Actual","Low",_varPubDate)</f>
        <v>225</v>
      </c>
      <c r="F157" s="18">
        <f t="array" ref="F157">_xll.GetPrice("FP-PNL-0117","Actual","Low",_varPubDate)</f>
        <v>240</v>
      </c>
      <c r="G157" s="18">
        <f t="array" ref="G157">_xll.GetPrice("FP-PNL-0123","Actual","Low",_varPubDate)</f>
        <v>250</v>
      </c>
      <c r="H157" s="18">
        <f t="array" ref="H157">_xll.GetPrice("FP-PNL-0129","Actual","Low",_varPubDate)</f>
        <v>280</v>
      </c>
      <c r="I157" s="18">
        <f t="array" ref="I157">_xll.GetPrice("FP-PNL-0047","Actual","Low",_varPubDate)</f>
        <v>285</v>
      </c>
      <c r="J157" s="18">
        <f t="array" ref="J157">_xll.GetPrice("FP-PNL-0144","Actual","Low",_varPubDate)</f>
        <v>310</v>
      </c>
      <c r="K157" s="18">
        <f t="array" ref="K157">_xll.GetPrice("FP-PNL-0134","Actual","Low",_varPubDate)</f>
        <v>280</v>
      </c>
      <c r="L157" s="13" t="s">
        <v>44</v>
      </c>
    </row>
    <row r="158" spans="1:16" x14ac:dyDescent="0.2">
      <c r="A158" s="45" t="s">
        <v>81</v>
      </c>
      <c r="B158" s="18">
        <f t="array" ref="B158">_xll.GetPrice("FP-PNL-0032","Actual","Low",_varPubDate)</f>
        <v>415</v>
      </c>
      <c r="C158" s="18">
        <f t="array" ref="C158">_xll.GetPrice("FP-PNL-0038","Actual","Low",_varPubDate)</f>
        <v>385</v>
      </c>
      <c r="D158" s="18">
        <f t="array" ref="D158">_xll.GetPrice("FP-PNL-0044","Actual","Low",_varPubDate)</f>
        <v>400</v>
      </c>
      <c r="E158" s="18">
        <f t="array" ref="E158">_xll.GetPrice("FP-PNL-0114","Actual","Low",_varPubDate)</f>
        <v>365</v>
      </c>
      <c r="F158" s="18">
        <f t="array" ref="F158">_xll.GetPrice("FP-PNL-0120","Actual","Low",_varPubDate)</f>
        <v>385</v>
      </c>
      <c r="G158" s="18">
        <f t="array" ref="G158">_xll.GetPrice("FP-PNL-0126","Actual","Low",_varPubDate)</f>
        <v>395</v>
      </c>
      <c r="H158" s="18">
        <f t="array" ref="H158">_xll.GetPrice("FP-PNL-0131","Actual","Low",_varPubDate)</f>
        <v>445</v>
      </c>
      <c r="I158" s="18">
        <f t="array" ref="I158">_xll.GetPrice("FP-PNL-0049","Actual","Low",_varPubDate)</f>
        <v>480</v>
      </c>
      <c r="J158" s="18">
        <f t="array" ref="J158">_xll.GetPrice("FP-PNL-0146","Actual","Low",_varPubDate)</f>
        <v>490</v>
      </c>
      <c r="K158" s="18">
        <f t="array" ref="K158">_xll.GetPrice("FP-PNL-0136","Actual","Low",_varPubDate)</f>
        <v>445</v>
      </c>
      <c r="L158" s="13" t="s">
        <v>44</v>
      </c>
    </row>
    <row r="159" spans="1:16" x14ac:dyDescent="0.2">
      <c r="A159" s="31"/>
      <c r="B159" s="42"/>
      <c r="C159" s="42"/>
      <c r="D159" s="42"/>
      <c r="E159" s="42"/>
      <c r="F159" s="42"/>
      <c r="G159" s="42"/>
      <c r="H159" s="42"/>
      <c r="I159" s="42"/>
      <c r="J159" s="42"/>
      <c r="K159" s="42"/>
      <c r="L159" s="42"/>
    </row>
    <row r="160" spans="1:16" x14ac:dyDescent="0.2">
      <c r="A160" s="45"/>
      <c r="B160" s="18"/>
      <c r="C160" s="18"/>
      <c r="D160" s="18"/>
      <c r="E160" s="18"/>
      <c r="F160" s="18"/>
      <c r="G160" s="18"/>
      <c r="H160" s="18"/>
      <c r="I160" s="18"/>
      <c r="J160" s="18"/>
      <c r="K160" s="18"/>
      <c r="L160" s="18"/>
    </row>
    <row r="161" spans="1:12" x14ac:dyDescent="0.2">
      <c r="A161" s="45"/>
      <c r="B161" s="18"/>
      <c r="C161" s="18"/>
      <c r="D161" s="18"/>
      <c r="E161" s="18"/>
      <c r="F161" s="18"/>
      <c r="G161" s="18"/>
      <c r="H161" s="18"/>
      <c r="I161" s="18"/>
      <c r="J161" s="18"/>
      <c r="K161" s="18"/>
      <c r="L161" s="13"/>
    </row>
    <row r="162" spans="1:12" x14ac:dyDescent="0.2">
      <c r="A162" s="45"/>
      <c r="B162" s="18"/>
      <c r="C162" s="18"/>
      <c r="D162" s="18"/>
      <c r="E162" s="18"/>
      <c r="F162" s="18"/>
      <c r="G162" s="18"/>
      <c r="H162" s="18"/>
      <c r="I162" s="18"/>
      <c r="J162" s="18"/>
      <c r="K162" s="18"/>
      <c r="L162" s="13"/>
    </row>
    <row r="165" spans="1:12" ht="15.75" x14ac:dyDescent="0.25">
      <c r="F165" s="24"/>
    </row>
    <row r="166" spans="1:12" x14ac:dyDescent="0.2">
      <c r="A166" s="31"/>
      <c r="B166" s="42"/>
      <c r="C166" s="42"/>
      <c r="D166" s="42"/>
      <c r="E166" s="42"/>
      <c r="F166" s="42"/>
      <c r="G166" s="42"/>
      <c r="H166" s="42"/>
      <c r="I166" s="1"/>
      <c r="J166" s="1"/>
      <c r="K166" s="1"/>
      <c r="L166" s="1"/>
    </row>
    <row r="167" spans="1:12" x14ac:dyDescent="0.2">
      <c r="A167" s="31"/>
      <c r="B167" s="42"/>
      <c r="C167" s="42"/>
      <c r="D167" s="42"/>
      <c r="E167" s="42"/>
      <c r="F167" s="42"/>
      <c r="G167" s="42"/>
      <c r="H167" s="42"/>
      <c r="I167" s="42"/>
      <c r="J167" s="42"/>
      <c r="K167" s="42"/>
      <c r="L167" s="42"/>
    </row>
    <row r="168" spans="1:12" x14ac:dyDescent="0.2">
      <c r="A168" s="45"/>
      <c r="B168" s="18"/>
      <c r="C168" s="18"/>
      <c r="D168" s="18"/>
      <c r="E168" s="18"/>
      <c r="F168" s="18"/>
      <c r="G168" s="18"/>
      <c r="H168" s="18"/>
      <c r="I168" s="18"/>
      <c r="J168" s="18"/>
      <c r="K168" s="18"/>
      <c r="L168" s="18"/>
    </row>
    <row r="169" spans="1:12" x14ac:dyDescent="0.2">
      <c r="A169" s="45"/>
      <c r="B169" s="18"/>
      <c r="C169" s="18"/>
      <c r="D169" s="18"/>
      <c r="E169" s="18"/>
      <c r="F169" s="18"/>
      <c r="G169" s="18"/>
      <c r="H169" s="18"/>
      <c r="I169" s="18"/>
      <c r="J169" s="18"/>
      <c r="K169" s="18"/>
      <c r="L169" s="13"/>
    </row>
    <row r="170" spans="1:12" x14ac:dyDescent="0.2">
      <c r="A170" s="45"/>
      <c r="B170" s="18"/>
      <c r="C170" s="18"/>
      <c r="D170" s="18"/>
      <c r="E170" s="18"/>
      <c r="F170" s="18"/>
      <c r="G170" s="18"/>
      <c r="H170" s="18"/>
      <c r="I170" s="18"/>
      <c r="J170" s="18"/>
      <c r="K170" s="18"/>
      <c r="L170" s="13"/>
    </row>
  </sheetData>
  <phoneticPr fontId="14" type="noConversion"/>
  <printOptions horizontalCentered="1" verticalCentered="1" headings="1" gridLines="1"/>
  <pageMargins left="0.75" right="0.75" top="1" bottom="1" header="0.5" footer="0.5"/>
  <pageSetup scale="23"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7BFD7DDE2EAE49AAC78A68AB7AA4C6" ma:contentTypeVersion="18" ma:contentTypeDescription="Create a new document." ma:contentTypeScope="" ma:versionID="f204cc806845aa2af1fdfa580804559a">
  <xsd:schema xmlns:xsd="http://www.w3.org/2001/XMLSchema" xmlns:xs="http://www.w3.org/2001/XMLSchema" xmlns:p="http://schemas.microsoft.com/office/2006/metadata/properties" xmlns:ns2="37a4200c-0ed5-4d27-bdfb-343e8c4f4810" xmlns:ns3="de5281ab-0e43-4ae6-a18f-9b82c26df0e2" targetNamespace="http://schemas.microsoft.com/office/2006/metadata/properties" ma:root="true" ma:fieldsID="613ec300197912e5dd627532e1197081" ns2:_="" ns3:_="">
    <xsd:import namespace="37a4200c-0ed5-4d27-bdfb-343e8c4f4810"/>
    <xsd:import namespace="de5281ab-0e43-4ae6-a18f-9b82c26df0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4200c-0ed5-4d27-bdfb-343e8c4f481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281ab-0e43-4ae6-a18f-9b82c26df0e2"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1344A6-E333-4889-8A18-6F1A71EE9B5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6B6EAD4-3096-4873-95AC-5B8E9663E7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4200c-0ed5-4d27-bdfb-343e8c4f4810"/>
    <ds:schemaRef ds:uri="de5281ab-0e43-4ae6-a18f-9b82c26df0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D0D864-9101-4753-A4FF-4164031084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390</vt:i4>
      </vt:variant>
    </vt:vector>
  </HeadingPairs>
  <TitlesOfParts>
    <vt:vector size="392" baseType="lpstr">
      <vt:lpstr>Midweek-Latest price</vt:lpstr>
      <vt:lpstr>Midweek-Specific date</vt:lpstr>
      <vt:lpstr>'Midweek-Latest price'!__Rpt</vt:lpstr>
      <vt:lpstr>__Rpt</vt:lpstr>
      <vt:lpstr>'Midweek-Latest price'!_prtRpt</vt:lpstr>
      <vt:lpstr>_prtRpt</vt:lpstr>
      <vt:lpstr>'Midweek-Latest price'!_varPrvMidWkLbr</vt:lpstr>
      <vt:lpstr>_varPrvMidWkLbr</vt:lpstr>
      <vt:lpstr>'Midweek-Latest price'!_varPrvMidWkPnl</vt:lpstr>
      <vt:lpstr>_varPrvMidWkPnl</vt:lpstr>
      <vt:lpstr>'Midweek-Latest price'!_varPrvWkLbr</vt:lpstr>
      <vt:lpstr>_varPrvWkLbr</vt:lpstr>
      <vt:lpstr>'Midweek-Latest price'!_varPrvWkPnl</vt:lpstr>
      <vt:lpstr>_varPrvWkPnl</vt:lpstr>
      <vt:lpstr>'Midweek-Latest price'!_varPubDate</vt:lpstr>
      <vt:lpstr>_varPubDate</vt:lpstr>
      <vt:lpstr>'Midweek-Latest price'!MAAB</vt:lpstr>
      <vt:lpstr>'Midweek-Specific date'!MAAB</vt:lpstr>
      <vt:lpstr>'Midweek-Latest price'!MAAC</vt:lpstr>
      <vt:lpstr>'Midweek-Specific date'!MAAC</vt:lpstr>
      <vt:lpstr>'Midweek-Latest price'!MAAD</vt:lpstr>
      <vt:lpstr>'Midweek-Specific date'!MAAD</vt:lpstr>
      <vt:lpstr>'Midweek-Latest price'!MAAE</vt:lpstr>
      <vt:lpstr>'Midweek-Specific date'!MAAE</vt:lpstr>
      <vt:lpstr>'Midweek-Latest price'!MAAF</vt:lpstr>
      <vt:lpstr>'Midweek-Specific date'!MAAF</vt:lpstr>
      <vt:lpstr>'Midweek-Latest price'!MAAG</vt:lpstr>
      <vt:lpstr>'Midweek-Specific date'!MAAG</vt:lpstr>
      <vt:lpstr>'Midweek-Latest price'!MAAH</vt:lpstr>
      <vt:lpstr>'Midweek-Specific date'!MAAH</vt:lpstr>
      <vt:lpstr>'Midweek-Latest price'!MAAI</vt:lpstr>
      <vt:lpstr>'Midweek-Specific date'!MAAI</vt:lpstr>
      <vt:lpstr>'Midweek-Latest price'!MAAJ</vt:lpstr>
      <vt:lpstr>'Midweek-Specific date'!MAAJ</vt:lpstr>
      <vt:lpstr>'Midweek-Latest price'!MAAK</vt:lpstr>
      <vt:lpstr>'Midweek-Specific date'!MAAK</vt:lpstr>
      <vt:lpstr>'Midweek-Latest price'!MAAL</vt:lpstr>
      <vt:lpstr>'Midweek-Specific date'!MAAL</vt:lpstr>
      <vt:lpstr>'Midweek-Latest price'!MAAM</vt:lpstr>
      <vt:lpstr>'Midweek-Specific date'!MAAM</vt:lpstr>
      <vt:lpstr>'Midweek-Latest price'!MAAN</vt:lpstr>
      <vt:lpstr>'Midweek-Specific date'!MAAN</vt:lpstr>
      <vt:lpstr>'Midweek-Latest price'!MAAP</vt:lpstr>
      <vt:lpstr>'Midweek-Specific date'!MAAP</vt:lpstr>
      <vt:lpstr>'Midweek-Latest price'!MAAQ</vt:lpstr>
      <vt:lpstr>'Midweek-Specific date'!MAAQ</vt:lpstr>
      <vt:lpstr>'Midweek-Latest price'!MAAR</vt:lpstr>
      <vt:lpstr>'Midweek-Specific date'!MAAR</vt:lpstr>
      <vt:lpstr>'Midweek-Latest price'!MAAS</vt:lpstr>
      <vt:lpstr>'Midweek-Specific date'!MAAS</vt:lpstr>
      <vt:lpstr>'Midweek-Latest price'!MAAT</vt:lpstr>
      <vt:lpstr>'Midweek-Specific date'!MAAT</vt:lpstr>
      <vt:lpstr>'Midweek-Latest price'!MAAV</vt:lpstr>
      <vt:lpstr>'Midweek-Specific date'!MAAV</vt:lpstr>
      <vt:lpstr>'Midweek-Latest price'!MAAW</vt:lpstr>
      <vt:lpstr>'Midweek-Specific date'!MAAW</vt:lpstr>
      <vt:lpstr>'Midweek-Latest price'!MAAX</vt:lpstr>
      <vt:lpstr>'Midweek-Specific date'!MAAX</vt:lpstr>
      <vt:lpstr>'Midweek-Latest price'!MAAY</vt:lpstr>
      <vt:lpstr>'Midweek-Specific date'!MAAY</vt:lpstr>
      <vt:lpstr>'Midweek-Latest price'!MAAZ</vt:lpstr>
      <vt:lpstr>'Midweek-Specific date'!MAAZ</vt:lpstr>
      <vt:lpstr>'Midweek-Latest price'!MABA</vt:lpstr>
      <vt:lpstr>'Midweek-Specific date'!MABA</vt:lpstr>
      <vt:lpstr>'Midweek-Latest price'!MABB</vt:lpstr>
      <vt:lpstr>'Midweek-Specific date'!MABB</vt:lpstr>
      <vt:lpstr>'Midweek-Latest price'!MABC</vt:lpstr>
      <vt:lpstr>'Midweek-Specific date'!MABC</vt:lpstr>
      <vt:lpstr>'Midweek-Latest price'!MABD</vt:lpstr>
      <vt:lpstr>'Midweek-Specific date'!MABD</vt:lpstr>
      <vt:lpstr>'Midweek-Latest price'!MABE</vt:lpstr>
      <vt:lpstr>'Midweek-Specific date'!MABE</vt:lpstr>
      <vt:lpstr>'Midweek-Latest price'!MABF</vt:lpstr>
      <vt:lpstr>'Midweek-Specific date'!MABF</vt:lpstr>
      <vt:lpstr>'Midweek-Latest price'!MABG</vt:lpstr>
      <vt:lpstr>'Midweek-Specific date'!MABG</vt:lpstr>
      <vt:lpstr>'Midweek-Latest price'!MABH</vt:lpstr>
      <vt:lpstr>'Midweek-Specific date'!MABH</vt:lpstr>
      <vt:lpstr>'Midweek-Latest price'!MABI</vt:lpstr>
      <vt:lpstr>'Midweek-Specific date'!MABI</vt:lpstr>
      <vt:lpstr>'Midweek-Latest price'!MABJ</vt:lpstr>
      <vt:lpstr>'Midweek-Specific date'!MABJ</vt:lpstr>
      <vt:lpstr>'Midweek-Latest price'!MABK</vt:lpstr>
      <vt:lpstr>'Midweek-Specific date'!MABK</vt:lpstr>
      <vt:lpstr>'Midweek-Latest price'!MABL</vt:lpstr>
      <vt:lpstr>'Midweek-Specific date'!MABL</vt:lpstr>
      <vt:lpstr>'Midweek-Latest price'!MABM</vt:lpstr>
      <vt:lpstr>'Midweek-Specific date'!MABM</vt:lpstr>
      <vt:lpstr>'Midweek-Latest price'!MABN</vt:lpstr>
      <vt:lpstr>'Midweek-Specific date'!MABN</vt:lpstr>
      <vt:lpstr>'Midweek-Latest price'!MABP</vt:lpstr>
      <vt:lpstr>'Midweek-Specific date'!MABP</vt:lpstr>
      <vt:lpstr>'Midweek-Latest price'!MABQ</vt:lpstr>
      <vt:lpstr>'Midweek-Specific date'!MABQ</vt:lpstr>
      <vt:lpstr>'Midweek-Latest price'!MABR</vt:lpstr>
      <vt:lpstr>'Midweek-Specific date'!MABR</vt:lpstr>
      <vt:lpstr>'Midweek-Latest price'!MABS</vt:lpstr>
      <vt:lpstr>'Midweek-Specific date'!MABS</vt:lpstr>
      <vt:lpstr>'Midweek-Latest price'!MABT</vt:lpstr>
      <vt:lpstr>'Midweek-Specific date'!MABT</vt:lpstr>
      <vt:lpstr>'Midweek-Latest price'!MABU</vt:lpstr>
      <vt:lpstr>'Midweek-Specific date'!MABU</vt:lpstr>
      <vt:lpstr>'Midweek-Latest price'!MABW</vt:lpstr>
      <vt:lpstr>'Midweek-Specific date'!MABW</vt:lpstr>
      <vt:lpstr>'Midweek-Latest price'!MABX</vt:lpstr>
      <vt:lpstr>'Midweek-Specific date'!MABX</vt:lpstr>
      <vt:lpstr>'Midweek-Latest price'!MABY</vt:lpstr>
      <vt:lpstr>'Midweek-Specific date'!MABY</vt:lpstr>
      <vt:lpstr>'Midweek-Latest price'!MABZ</vt:lpstr>
      <vt:lpstr>'Midweek-Specific date'!MABZ</vt:lpstr>
      <vt:lpstr>'Midweek-Latest price'!MACA</vt:lpstr>
      <vt:lpstr>'Midweek-Specific date'!MACA</vt:lpstr>
      <vt:lpstr>'Midweek-Latest price'!MACB</vt:lpstr>
      <vt:lpstr>'Midweek-Specific date'!MACB</vt:lpstr>
      <vt:lpstr>'Midweek-Latest price'!MACG</vt:lpstr>
      <vt:lpstr>'Midweek-Specific date'!MACG</vt:lpstr>
      <vt:lpstr>'Midweek-Latest price'!MACO</vt:lpstr>
      <vt:lpstr>'Midweek-Specific date'!MACO</vt:lpstr>
      <vt:lpstr>'Midweek-Latest price'!MACP</vt:lpstr>
      <vt:lpstr>'Midweek-Specific date'!MACP</vt:lpstr>
      <vt:lpstr>'Midweek-Latest price'!MACQ</vt:lpstr>
      <vt:lpstr>'Midweek-Specific date'!MACQ</vt:lpstr>
      <vt:lpstr>'Midweek-Latest price'!MACR</vt:lpstr>
      <vt:lpstr>'Midweek-Specific date'!MACR</vt:lpstr>
      <vt:lpstr>'Midweek-Latest price'!MACS</vt:lpstr>
      <vt:lpstr>'Midweek-Specific date'!MACS</vt:lpstr>
      <vt:lpstr>'Midweek-Latest price'!MACT</vt:lpstr>
      <vt:lpstr>'Midweek-Specific date'!MACT</vt:lpstr>
      <vt:lpstr>'Midweek-Latest price'!MACU</vt:lpstr>
      <vt:lpstr>'Midweek-Specific date'!MACU</vt:lpstr>
      <vt:lpstr>'Midweek-Latest price'!MACV</vt:lpstr>
      <vt:lpstr>'Midweek-Specific date'!MACV</vt:lpstr>
      <vt:lpstr>'Midweek-Latest price'!MACW</vt:lpstr>
      <vt:lpstr>'Midweek-Specific date'!MACW</vt:lpstr>
      <vt:lpstr>'Midweek-Latest price'!MACX</vt:lpstr>
      <vt:lpstr>'Midweek-Specific date'!MACX</vt:lpstr>
      <vt:lpstr>'Midweek-Latest price'!MACY</vt:lpstr>
      <vt:lpstr>'Midweek-Specific date'!MACY</vt:lpstr>
      <vt:lpstr>'Midweek-Latest price'!MACZ</vt:lpstr>
      <vt:lpstr>'Midweek-Specific date'!MACZ</vt:lpstr>
      <vt:lpstr>'Midweek-Latest price'!MADA</vt:lpstr>
      <vt:lpstr>'Midweek-Specific date'!MADA</vt:lpstr>
      <vt:lpstr>'Midweek-Latest price'!MADB</vt:lpstr>
      <vt:lpstr>'Midweek-Specific date'!MADB</vt:lpstr>
      <vt:lpstr>'Midweek-Latest price'!MADC</vt:lpstr>
      <vt:lpstr>'Midweek-Specific date'!MADC</vt:lpstr>
      <vt:lpstr>'Midweek-Latest price'!MADD</vt:lpstr>
      <vt:lpstr>'Midweek-Specific date'!MADD</vt:lpstr>
      <vt:lpstr>'Midweek-Latest price'!MADE</vt:lpstr>
      <vt:lpstr>'Midweek-Specific date'!MADE</vt:lpstr>
      <vt:lpstr>'Midweek-Latest price'!MADG</vt:lpstr>
      <vt:lpstr>'Midweek-Specific date'!MADG</vt:lpstr>
      <vt:lpstr>'Midweek-Latest price'!MADH</vt:lpstr>
      <vt:lpstr>'Midweek-Specific date'!MADH</vt:lpstr>
      <vt:lpstr>'Midweek-Latest price'!MADI</vt:lpstr>
      <vt:lpstr>'Midweek-Specific date'!MADI</vt:lpstr>
      <vt:lpstr>'Midweek-Latest price'!MADJ</vt:lpstr>
      <vt:lpstr>'Midweek-Specific date'!MADJ</vt:lpstr>
      <vt:lpstr>'Midweek-Latest price'!MADK</vt:lpstr>
      <vt:lpstr>'Midweek-Specific date'!MADK</vt:lpstr>
      <vt:lpstr>'Midweek-Latest price'!MADL</vt:lpstr>
      <vt:lpstr>'Midweek-Specific date'!MADL</vt:lpstr>
      <vt:lpstr>'Midweek-Latest price'!MADM</vt:lpstr>
      <vt:lpstr>'Midweek-Specific date'!MADM</vt:lpstr>
      <vt:lpstr>'Midweek-Latest price'!MADN</vt:lpstr>
      <vt:lpstr>'Midweek-Specific date'!MADN</vt:lpstr>
      <vt:lpstr>'Midweek-Latest price'!MADO</vt:lpstr>
      <vt:lpstr>'Midweek-Specific date'!MADO</vt:lpstr>
      <vt:lpstr>'Midweek-Latest price'!MADP</vt:lpstr>
      <vt:lpstr>'Midweek-Specific date'!MADP</vt:lpstr>
      <vt:lpstr>'Midweek-Latest price'!MADQ</vt:lpstr>
      <vt:lpstr>'Midweek-Specific date'!MADQ</vt:lpstr>
      <vt:lpstr>'Midweek-Latest price'!MADR</vt:lpstr>
      <vt:lpstr>'Midweek-Specific date'!MADR</vt:lpstr>
      <vt:lpstr>'Midweek-Latest price'!MADS</vt:lpstr>
      <vt:lpstr>'Midweek-Specific date'!MADS</vt:lpstr>
      <vt:lpstr>'Midweek-Latest price'!MADT</vt:lpstr>
      <vt:lpstr>'Midweek-Specific date'!MADT</vt:lpstr>
      <vt:lpstr>'Midweek-Latest price'!MADU</vt:lpstr>
      <vt:lpstr>'Midweek-Specific date'!MADU</vt:lpstr>
      <vt:lpstr>'Midweek-Latest price'!MADV</vt:lpstr>
      <vt:lpstr>'Midweek-Specific date'!MADV</vt:lpstr>
      <vt:lpstr>'Midweek-Latest price'!MADW</vt:lpstr>
      <vt:lpstr>'Midweek-Specific date'!MADW</vt:lpstr>
      <vt:lpstr>'Midweek-Latest price'!MADX</vt:lpstr>
      <vt:lpstr>'Midweek-Specific date'!MADX</vt:lpstr>
      <vt:lpstr>'Midweek-Latest price'!MADY</vt:lpstr>
      <vt:lpstr>'Midweek-Specific date'!MADY</vt:lpstr>
      <vt:lpstr>'Midweek-Latest price'!MADZ</vt:lpstr>
      <vt:lpstr>'Midweek-Specific date'!MADZ</vt:lpstr>
      <vt:lpstr>'Midweek-Latest price'!MAEA</vt:lpstr>
      <vt:lpstr>'Midweek-Specific date'!MAEA</vt:lpstr>
      <vt:lpstr>'Midweek-Latest price'!MAEB</vt:lpstr>
      <vt:lpstr>'Midweek-Specific date'!MAEB</vt:lpstr>
      <vt:lpstr>'Midweek-Latest price'!MAEC</vt:lpstr>
      <vt:lpstr>'Midweek-Specific date'!MAEC</vt:lpstr>
      <vt:lpstr>'Midweek-Latest price'!MAED</vt:lpstr>
      <vt:lpstr>'Midweek-Specific date'!MAED</vt:lpstr>
      <vt:lpstr>'Midweek-Latest price'!MAEE</vt:lpstr>
      <vt:lpstr>'Midweek-Specific date'!MAEE</vt:lpstr>
      <vt:lpstr>'Midweek-Latest price'!MAEF</vt:lpstr>
      <vt:lpstr>'Midweek-Specific date'!MAEF</vt:lpstr>
      <vt:lpstr>'Midweek-Latest price'!MAEG</vt:lpstr>
      <vt:lpstr>'Midweek-Specific date'!MAEG</vt:lpstr>
      <vt:lpstr>'Midweek-Latest price'!MAEH</vt:lpstr>
      <vt:lpstr>'Midweek-Specific date'!MAEH</vt:lpstr>
      <vt:lpstr>'Midweek-Latest price'!MAEI</vt:lpstr>
      <vt:lpstr>'Midweek-Specific date'!MAEI</vt:lpstr>
      <vt:lpstr>'Midweek-Latest price'!MAEJ</vt:lpstr>
      <vt:lpstr>'Midweek-Specific date'!MAEJ</vt:lpstr>
      <vt:lpstr>'Midweek-Latest price'!MAEK</vt:lpstr>
      <vt:lpstr>'Midweek-Specific date'!MAEK</vt:lpstr>
      <vt:lpstr>'Midweek-Latest price'!MAEL</vt:lpstr>
      <vt:lpstr>'Midweek-Specific date'!MAEL</vt:lpstr>
      <vt:lpstr>'Midweek-Latest price'!MAEM</vt:lpstr>
      <vt:lpstr>'Midweek-Specific date'!MAEM</vt:lpstr>
      <vt:lpstr>'Midweek-Latest price'!MAEN</vt:lpstr>
      <vt:lpstr>'Midweek-Specific date'!MAEN</vt:lpstr>
      <vt:lpstr>'Midweek-Latest price'!MAEO</vt:lpstr>
      <vt:lpstr>'Midweek-Specific date'!MAEO</vt:lpstr>
      <vt:lpstr>'Midweek-Latest price'!MAEP</vt:lpstr>
      <vt:lpstr>'Midweek-Specific date'!MAEP</vt:lpstr>
      <vt:lpstr>'Midweek-Latest price'!MAEQ</vt:lpstr>
      <vt:lpstr>'Midweek-Specific date'!MAEQ</vt:lpstr>
      <vt:lpstr>'Midweek-Latest price'!MAER</vt:lpstr>
      <vt:lpstr>'Midweek-Specific date'!MAER</vt:lpstr>
      <vt:lpstr>'Midweek-Latest price'!MAES</vt:lpstr>
      <vt:lpstr>'Midweek-Specific date'!MAES</vt:lpstr>
      <vt:lpstr>'Midweek-Latest price'!MAET</vt:lpstr>
      <vt:lpstr>'Midweek-Specific date'!MAET</vt:lpstr>
      <vt:lpstr>'Midweek-Latest price'!MAEU</vt:lpstr>
      <vt:lpstr>'Midweek-Specific date'!MAEU</vt:lpstr>
      <vt:lpstr>'Midweek-Latest price'!MAEV</vt:lpstr>
      <vt:lpstr>'Midweek-Specific date'!MAEV</vt:lpstr>
      <vt:lpstr>'Midweek-Latest price'!MAEW</vt:lpstr>
      <vt:lpstr>'Midweek-Specific date'!MAEW</vt:lpstr>
      <vt:lpstr>'Midweek-Latest price'!MAEX</vt:lpstr>
      <vt:lpstr>'Midweek-Specific date'!MAEX</vt:lpstr>
      <vt:lpstr>'Midweek-Latest price'!MAFA</vt:lpstr>
      <vt:lpstr>'Midweek-Specific date'!MAFA</vt:lpstr>
      <vt:lpstr>'Midweek-Latest price'!MAFB</vt:lpstr>
      <vt:lpstr>'Midweek-Specific date'!MAFB</vt:lpstr>
      <vt:lpstr>'Midweek-Latest price'!MAFC</vt:lpstr>
      <vt:lpstr>'Midweek-Specific date'!MAFC</vt:lpstr>
      <vt:lpstr>'Midweek-Latest price'!MAFD</vt:lpstr>
      <vt:lpstr>'Midweek-Specific date'!MAFD</vt:lpstr>
      <vt:lpstr>'Midweek-Latest price'!MAFE</vt:lpstr>
      <vt:lpstr>'Midweek-Specific date'!MAFE</vt:lpstr>
      <vt:lpstr>'Midweek-Latest price'!MAFF</vt:lpstr>
      <vt:lpstr>'Midweek-Specific date'!MAFF</vt:lpstr>
      <vt:lpstr>'Midweek-Latest price'!MAFG</vt:lpstr>
      <vt:lpstr>'Midweek-Specific date'!MAFG</vt:lpstr>
      <vt:lpstr>'Midweek-Latest price'!MAFH</vt:lpstr>
      <vt:lpstr>'Midweek-Specific date'!MAFH</vt:lpstr>
      <vt:lpstr>'Midweek-Latest price'!MAFI</vt:lpstr>
      <vt:lpstr>'Midweek-Specific date'!MAFI</vt:lpstr>
      <vt:lpstr>'Midweek-Latest price'!MAFJ</vt:lpstr>
      <vt:lpstr>'Midweek-Specific date'!MAFJ</vt:lpstr>
      <vt:lpstr>'Midweek-Latest price'!MAFK</vt:lpstr>
      <vt:lpstr>'Midweek-Specific date'!MAFK</vt:lpstr>
      <vt:lpstr>'Midweek-Latest price'!MAFL</vt:lpstr>
      <vt:lpstr>'Midweek-Specific date'!MAFL</vt:lpstr>
      <vt:lpstr>'Midweek-Latest price'!MAFM</vt:lpstr>
      <vt:lpstr>'Midweek-Specific date'!MAFM</vt:lpstr>
      <vt:lpstr>'Midweek-Latest price'!MAFN</vt:lpstr>
      <vt:lpstr>'Midweek-Specific date'!MAFN</vt:lpstr>
      <vt:lpstr>'Midweek-Latest price'!MAFO</vt:lpstr>
      <vt:lpstr>'Midweek-Specific date'!MAFO</vt:lpstr>
      <vt:lpstr>'Midweek-Latest price'!MAFP</vt:lpstr>
      <vt:lpstr>'Midweek-Specific date'!MAFP</vt:lpstr>
      <vt:lpstr>'Midweek-Latest price'!MAFQ</vt:lpstr>
      <vt:lpstr>'Midweek-Specific date'!MAFQ</vt:lpstr>
      <vt:lpstr>'Midweek-Latest price'!MAFR</vt:lpstr>
      <vt:lpstr>'Midweek-Specific date'!MAFR</vt:lpstr>
      <vt:lpstr>'Midweek-Latest price'!MAFS</vt:lpstr>
      <vt:lpstr>'Midweek-Specific date'!MAFS</vt:lpstr>
      <vt:lpstr>'Midweek-Latest price'!MAFT</vt:lpstr>
      <vt:lpstr>'Midweek-Specific date'!MAFT</vt:lpstr>
      <vt:lpstr>'Midweek-Latest price'!MAFU</vt:lpstr>
      <vt:lpstr>'Midweek-Specific date'!MAFU</vt:lpstr>
      <vt:lpstr>'Midweek-Latest price'!MAFW</vt:lpstr>
      <vt:lpstr>'Midweek-Specific date'!MAFW</vt:lpstr>
      <vt:lpstr>'Midweek-Latest price'!MAFX</vt:lpstr>
      <vt:lpstr>'Midweek-Specific date'!MAFX</vt:lpstr>
      <vt:lpstr>'Midweek-Latest price'!MAFY</vt:lpstr>
      <vt:lpstr>'Midweek-Specific date'!MAFY</vt:lpstr>
      <vt:lpstr>'Midweek-Latest price'!MAFZ</vt:lpstr>
      <vt:lpstr>'Midweek-Specific date'!MAFZ</vt:lpstr>
      <vt:lpstr>'Midweek-Latest price'!MAGA</vt:lpstr>
      <vt:lpstr>'Midweek-Specific date'!MAGA</vt:lpstr>
      <vt:lpstr>'Midweek-Latest price'!MAGB</vt:lpstr>
      <vt:lpstr>'Midweek-Specific date'!MAGB</vt:lpstr>
      <vt:lpstr>'Midweek-Latest price'!MAGC</vt:lpstr>
      <vt:lpstr>'Midweek-Specific date'!MAGC</vt:lpstr>
      <vt:lpstr>'Midweek-Latest price'!MAGD</vt:lpstr>
      <vt:lpstr>'Midweek-Specific date'!MAGD</vt:lpstr>
      <vt:lpstr>'Midweek-Latest price'!MAGE</vt:lpstr>
      <vt:lpstr>'Midweek-Specific date'!MAGE</vt:lpstr>
      <vt:lpstr>'Midweek-Latest price'!MAGG</vt:lpstr>
      <vt:lpstr>'Midweek-Specific date'!MAGG</vt:lpstr>
      <vt:lpstr>'Midweek-Latest price'!MAGI</vt:lpstr>
      <vt:lpstr>'Midweek-Specific date'!MAGI</vt:lpstr>
      <vt:lpstr>'Midweek-Latest price'!MAGK</vt:lpstr>
      <vt:lpstr>'Midweek-Specific date'!MAGK</vt:lpstr>
      <vt:lpstr>'Midweek-Latest price'!MAGM</vt:lpstr>
      <vt:lpstr>'Midweek-Specific date'!MAGM</vt:lpstr>
      <vt:lpstr>'Midweek-Latest price'!MAGN</vt:lpstr>
      <vt:lpstr>'Midweek-Specific date'!MAGN</vt:lpstr>
      <vt:lpstr>'Midweek-Latest price'!MAGO</vt:lpstr>
      <vt:lpstr>'Midweek-Specific date'!MAGO</vt:lpstr>
      <vt:lpstr>'Midweek-Latest price'!MAGQ</vt:lpstr>
      <vt:lpstr>'Midweek-Specific date'!MAGQ</vt:lpstr>
      <vt:lpstr>'Midweek-Latest price'!MAGR</vt:lpstr>
      <vt:lpstr>'Midweek-Specific date'!MAGR</vt:lpstr>
      <vt:lpstr>'Midweek-Latest price'!MAGS</vt:lpstr>
      <vt:lpstr>'Midweek-Specific date'!MAGS</vt:lpstr>
      <vt:lpstr>'Midweek-Latest price'!MAGT</vt:lpstr>
      <vt:lpstr>'Midweek-Specific date'!MAGT</vt:lpstr>
      <vt:lpstr>'Midweek-Latest price'!MAGU</vt:lpstr>
      <vt:lpstr>'Midweek-Specific date'!MAGU</vt:lpstr>
      <vt:lpstr>'Midweek-Latest price'!MAGW</vt:lpstr>
      <vt:lpstr>'Midweek-Specific date'!MAGW</vt:lpstr>
      <vt:lpstr>'Midweek-Latest price'!MAGX</vt:lpstr>
      <vt:lpstr>'Midweek-Specific date'!MAGX</vt:lpstr>
      <vt:lpstr>'Midweek-Latest price'!MAGZ</vt:lpstr>
      <vt:lpstr>'Midweek-Specific date'!MAGZ</vt:lpstr>
      <vt:lpstr>'Midweek-Latest price'!MAHA</vt:lpstr>
      <vt:lpstr>'Midweek-Specific date'!MAHA</vt:lpstr>
      <vt:lpstr>'Midweek-Latest price'!MAHB</vt:lpstr>
      <vt:lpstr>'Midweek-Specific date'!MAHB</vt:lpstr>
      <vt:lpstr>'Midweek-Latest price'!MAHC</vt:lpstr>
      <vt:lpstr>'Midweek-Specific date'!MAHC</vt:lpstr>
      <vt:lpstr>'Midweek-Latest price'!MAHD</vt:lpstr>
      <vt:lpstr>'Midweek-Specific date'!MAHD</vt:lpstr>
      <vt:lpstr>'Midweek-Latest price'!MAHE</vt:lpstr>
      <vt:lpstr>'Midweek-Specific date'!MAHE</vt:lpstr>
      <vt:lpstr>'Midweek-Latest price'!MAHF</vt:lpstr>
      <vt:lpstr>'Midweek-Specific date'!MAHF</vt:lpstr>
      <vt:lpstr>'Midweek-Latest price'!MAHG</vt:lpstr>
      <vt:lpstr>'Midweek-Specific date'!MAHG</vt:lpstr>
      <vt:lpstr>'Midweek-Latest price'!MAHH</vt:lpstr>
      <vt:lpstr>'Midweek-Specific date'!MAHH</vt:lpstr>
      <vt:lpstr>'Midweek-Latest price'!MAHI</vt:lpstr>
      <vt:lpstr>'Midweek-Specific date'!MAHI</vt:lpstr>
      <vt:lpstr>'Midweek-Latest price'!MAHJ</vt:lpstr>
      <vt:lpstr>'Midweek-Specific date'!MAHJ</vt:lpstr>
      <vt:lpstr>'Midweek-Latest price'!MAHK</vt:lpstr>
      <vt:lpstr>'Midweek-Specific date'!MAHK</vt:lpstr>
      <vt:lpstr>'Midweek-Latest price'!MAHL</vt:lpstr>
      <vt:lpstr>'Midweek-Specific date'!MAHL</vt:lpstr>
      <vt:lpstr>'Midweek-Latest price'!MAHM</vt:lpstr>
      <vt:lpstr>'Midweek-Specific date'!MAHM</vt:lpstr>
      <vt:lpstr>'Midweek-Latest price'!MAHR</vt:lpstr>
      <vt:lpstr>'Midweek-Specific date'!MAHR</vt:lpstr>
      <vt:lpstr>'Midweek-Latest price'!MAHS</vt:lpstr>
      <vt:lpstr>'Midweek-Specific date'!MAHS</vt:lpstr>
      <vt:lpstr>'Midweek-Latest price'!MAHT</vt:lpstr>
      <vt:lpstr>'Midweek-Specific date'!MAHT</vt:lpstr>
      <vt:lpstr>'Midweek-Latest price'!MAHU</vt:lpstr>
      <vt:lpstr>'Midweek-Specific date'!MAHU</vt:lpstr>
      <vt:lpstr>'Midweek-Latest price'!MAHV</vt:lpstr>
      <vt:lpstr>'Midweek-Specific date'!MAHV</vt:lpstr>
      <vt:lpstr>'Midweek-Latest price'!MAHW</vt:lpstr>
      <vt:lpstr>'Midweek-Specific date'!MAHW</vt:lpstr>
      <vt:lpstr>'Midweek-Latest price'!MAHX</vt:lpstr>
      <vt:lpstr>'Midweek-Specific date'!MAHX</vt:lpstr>
      <vt:lpstr>'Midweek-Latest price'!MAHY</vt:lpstr>
      <vt:lpstr>'Midweek-Specific date'!MAHY</vt:lpstr>
      <vt:lpstr>'Midweek-Latest price'!MAHZ</vt:lpstr>
      <vt:lpstr>'Midweek-Specific date'!MAHZ</vt:lpstr>
      <vt:lpstr>'Midweek-Latest price'!MAIA</vt:lpstr>
      <vt:lpstr>'Midweek-Specific date'!MAIA</vt:lpstr>
      <vt:lpstr>'Midweek-Latest price'!MAIB</vt:lpstr>
      <vt:lpstr>'Midweek-Specific date'!MAIB</vt:lpstr>
      <vt:lpstr>'Midweek-Latest price'!MAIC</vt:lpstr>
      <vt:lpstr>'Midweek-Specific date'!MAIC</vt:lpstr>
      <vt:lpstr>'Midweek-Latest price'!MAID</vt:lpstr>
      <vt:lpstr>'Midweek-Specific date'!MAID</vt:lpstr>
      <vt:lpstr>'Midweek-Latest price'!MAIE</vt:lpstr>
      <vt:lpstr>'Midweek-Specific date'!MAIE</vt:lpstr>
      <vt:lpstr>'Midweek-Latest price'!MAIF</vt:lpstr>
      <vt:lpstr>'Midweek-Specific date'!MAIF</vt:lpstr>
      <vt:lpstr>'Midweek-Latest price'!MAIG</vt:lpstr>
      <vt:lpstr>'Midweek-Specific date'!MAIG</vt:lpstr>
      <vt:lpstr>'Midweek-Latest price'!MAIH</vt:lpstr>
      <vt:lpstr>'Midweek-Specific date'!MAIH</vt:lpstr>
      <vt:lpstr>'Midweek-Latest price'!MAII</vt:lpstr>
      <vt:lpstr>'Midweek-Specific date'!MAII</vt:lpstr>
      <vt:lpstr>'Midweek-Latest price'!MAIJ</vt:lpstr>
      <vt:lpstr>'Midweek-Specific date'!MAIJ</vt:lpstr>
      <vt:lpstr>'Midweek-Latest price'!MAIK</vt:lpstr>
      <vt:lpstr>'Midweek-Specific date'!MAIK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Chew, Charmaine (UK)</dc:creator>
  <cp:keywords/>
  <dc:description/>
  <cp:lastModifiedBy>Fitzgerald, Amber (UK)</cp:lastModifiedBy>
  <cp:revision/>
  <dcterms:created xsi:type="dcterms:W3CDTF">2005-11-03T19:53:28Z</dcterms:created>
  <dcterms:modified xsi:type="dcterms:W3CDTF">2025-07-15T13:11:50Z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0x0101002E7BFD7DDE2EAE49AAC78A68AB7AA4C6</vt:lpwstr>
  </property>
  <property fmtid="{D5CDD505-2E9C-101B-9397-08002B2CF9AE}" pid="3" name="_ExtendedDescription">
    <vt:lpwstr/>
  </property>
</Properties>
</file>