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fmpra-my.sharepoint.com/personal/amber_fitzgerald_fastmarkets_com/Documents/Desktop/Changes/Random Lengths/2025/2025 open consultation/xls and dbf files/Live versions/updated files for July 2025/"/>
    </mc:Choice>
  </mc:AlternateContent>
  <xr:revisionPtr revIDLastSave="793" documentId="8_{4F8592D4-D722-4190-881B-56F33FFC7E72}" xr6:coauthVersionLast="47" xr6:coauthVersionMax="47" xr10:uidLastSave="{944A9825-3B73-490B-874B-F8AC01D66522}"/>
  <bookViews>
    <workbookView xWindow="28680" yWindow="-120" windowWidth="29040" windowHeight="15720" xr2:uid="{00000000-000D-0000-FFFF-FFFF00000000}"/>
  </bookViews>
  <sheets>
    <sheet name="Panel Assessments-Latest price" sheetId="1" r:id="rId1"/>
    <sheet name="Panel Assessments-Specify date" sheetId="4" r:id="rId2"/>
    <sheet name="Panel Assessments-SpecificDate" sheetId="3" r:id="rId3"/>
  </sheets>
  <definedNames>
    <definedName name="_xlnm._FilterDatabase" localSheetId="0" hidden="1">'Panel Assessments-Latest price'!$A$1:$I$402</definedName>
    <definedName name="_xlnm._FilterDatabase" localSheetId="2" hidden="1">'Panel Assessments-SpecificDate'!$A$1:$H$402</definedName>
    <definedName name="_SPECIFIEDvarMonth" localSheetId="2">'Panel Assessments-Specify date'!$D$4</definedName>
    <definedName name="_SPECIFIEDvarMonth" localSheetId="1">'Panel Assessments-Specify date'!$D$4</definedName>
    <definedName name="_SPECIFIEDvarPrvWeekDate" localSheetId="2">'Panel Assessments-Specify date'!$H$4</definedName>
    <definedName name="_SPECIFIEDvarPrvWeekDate" localSheetId="1">'Panel Assessments-Specify date'!$H$4</definedName>
    <definedName name="_SPECIFIEDvarPrvYearDate" localSheetId="2">'Panel Assessments-Specify date'!$I$4</definedName>
    <definedName name="_SPECIFIEDvarPrvYearDate" localSheetId="1">'Panel Assessments-Specify date'!$I$4</definedName>
    <definedName name="_SPECIFIEDvarPubDate" localSheetId="2">'Panel Assessments-Specify date'!$B$4</definedName>
    <definedName name="_SPECIFIEDvarPubDate" localSheetId="1">'Panel Assessments-Specify date'!$B$4</definedName>
    <definedName name="_SPECIFIEDvarYear" localSheetId="2">'Panel Assessments-Specify date'!$C$4</definedName>
    <definedName name="_SPECIFIEDvarYear" localSheetId="1">'Panel Assessments-Specify date'!$C$4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4" l="1"/>
  <c r="D62" i="3" s="1"/>
  <c r="D4" i="4"/>
  <c r="E135" i="3" s="1"/>
  <c r="C2" i="3"/>
  <c r="C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86" i="1" a="1"/>
  <c r="C91" i="1" a="1"/>
  <c r="B238" i="1" a="1"/>
  <c r="B79" i="1" a="1"/>
  <c r="B149" i="1" a="1"/>
  <c r="C241" i="1" a="1"/>
  <c r="B145" i="1" a="1"/>
  <c r="C307" i="1" a="1"/>
  <c r="C351" i="1" a="1"/>
  <c r="C53" i="1" a="1"/>
  <c r="B162" i="1" a="1"/>
  <c r="B150" i="1" a="1"/>
  <c r="C334" i="1" a="1"/>
  <c r="B202" i="1" a="1"/>
  <c r="B51" i="1" a="1"/>
  <c r="B239" i="1" a="1"/>
  <c r="B196" i="1" a="1"/>
  <c r="C167" i="1" a="1"/>
  <c r="B322" i="1" a="1"/>
  <c r="C181" i="1" a="1"/>
  <c r="B55" i="1" a="1"/>
  <c r="C250" i="1" a="1"/>
  <c r="B153" i="1" a="1"/>
  <c r="C277" i="1" a="1"/>
  <c r="C357" i="1" a="1"/>
  <c r="C384" i="1" a="1"/>
  <c r="C236" i="1" a="1"/>
  <c r="C123" i="1" a="1"/>
  <c r="C192" i="1" a="1"/>
  <c r="C43" i="1" a="1"/>
  <c r="C337" i="1" a="1"/>
  <c r="C253" i="1" a="1"/>
  <c r="B217" i="1" a="1"/>
  <c r="C271" i="1" a="1"/>
  <c r="B113" i="1" a="1"/>
  <c r="C130" i="1" a="1"/>
  <c r="C319" i="1" a="1"/>
  <c r="B156" i="1" a="1"/>
  <c r="C286" i="1" a="1"/>
  <c r="B266" i="1" a="1"/>
  <c r="B85" i="1" a="1"/>
  <c r="C378" i="1" a="1"/>
  <c r="B91" i="1" a="1"/>
  <c r="B21" i="1" a="1"/>
  <c r="C38" i="1" a="1"/>
  <c r="C103" i="1" a="1"/>
  <c r="B185" i="1" a="1"/>
  <c r="B190" i="1" a="1"/>
  <c r="B129" i="1" a="1"/>
  <c r="C122" i="1" a="1"/>
  <c r="B375" i="1" a="1"/>
  <c r="B112" i="1" a="1"/>
  <c r="B298" i="1" a="1"/>
  <c r="C256" i="1" a="1"/>
  <c r="B210" i="1" a="1"/>
  <c r="B177" i="1" a="1"/>
  <c r="B98" i="1" a="1"/>
  <c r="C220" i="1" a="1"/>
  <c r="B353" i="1" a="1"/>
  <c r="B384" i="1" a="1"/>
  <c r="B211" i="1" a="1"/>
  <c r="C87" i="1" a="1"/>
  <c r="C402" i="1" a="1"/>
  <c r="C267" i="1" a="1"/>
  <c r="C226" i="1" a="1"/>
  <c r="C4" i="1" a="1"/>
  <c r="B151" i="1" a="1"/>
  <c r="C110" i="1" a="1"/>
  <c r="C300" i="1" a="1"/>
  <c r="B87" i="1" a="1"/>
  <c r="B347" i="1" a="1"/>
  <c r="B123" i="1" a="1"/>
  <c r="C177" i="1" a="1"/>
  <c r="C261" i="1" a="1"/>
  <c r="B172" i="1" a="1"/>
  <c r="B386" i="1" a="1"/>
  <c r="C58" i="1" a="1"/>
  <c r="B23" i="1" a="1"/>
  <c r="C22" i="1" a="1"/>
  <c r="B38" i="1" a="1"/>
  <c r="B76" i="1" a="1"/>
  <c r="B180" i="1" a="1"/>
  <c r="B214" i="1" a="1"/>
  <c r="B197" i="1" a="1"/>
  <c r="C335" i="1" a="1"/>
  <c r="B276" i="1" a="1"/>
  <c r="C354" i="1" a="1"/>
  <c r="B159" i="1" a="1"/>
  <c r="B64" i="1" a="1"/>
  <c r="B28" i="1" a="1"/>
  <c r="B54" i="1" a="1"/>
  <c r="C219" i="1" a="1"/>
  <c r="B77" i="1" a="1"/>
  <c r="B383" i="1" a="1"/>
  <c r="C145" i="1" a="1"/>
  <c r="C141" i="1" a="1"/>
  <c r="C41" i="1" a="1"/>
  <c r="C380" i="1" a="1"/>
  <c r="C276" i="1" a="1"/>
  <c r="C289" i="1" a="1"/>
  <c r="C218" i="1" a="1"/>
  <c r="C242" i="1" a="1"/>
  <c r="C13" i="1" a="1"/>
  <c r="C166" i="1" a="1"/>
  <c r="B287" i="1" a="1"/>
  <c r="B224" i="1" a="1"/>
  <c r="C248" i="1" a="1"/>
  <c r="B128" i="1" a="1"/>
  <c r="C134" i="1" a="1"/>
  <c r="B168" i="1" a="1"/>
  <c r="B240" i="1" a="1"/>
  <c r="C182" i="1" a="1"/>
  <c r="C370" i="1" a="1"/>
  <c r="B244" i="1" a="1"/>
  <c r="C96" i="1" a="1"/>
  <c r="B10" i="1" a="1"/>
  <c r="B220" i="1" a="1"/>
  <c r="B110" i="1" a="1"/>
  <c r="C30" i="1" a="1"/>
  <c r="C139" i="1" a="1"/>
  <c r="B306" i="1" a="1"/>
  <c r="B6" i="1" a="1"/>
  <c r="B320" i="1" a="1"/>
  <c r="C90" i="1" a="1"/>
  <c r="B376" i="1" a="1"/>
  <c r="C65" i="1" a="1"/>
  <c r="B321" i="1" a="1"/>
  <c r="B111" i="1" a="1"/>
  <c r="B193" i="1" a="1"/>
  <c r="C392" i="1" a="1"/>
  <c r="B146" i="1" a="1"/>
  <c r="B199" i="1" a="1"/>
  <c r="C11" i="1" a="1"/>
  <c r="C185" i="1" a="1"/>
  <c r="C176" i="1" a="1"/>
  <c r="B137" i="1" a="1"/>
  <c r="B341" i="1" a="1"/>
  <c r="B73" i="1" a="1"/>
  <c r="B207" i="1" a="1"/>
  <c r="B325" i="1" a="1"/>
  <c r="B160" i="1" a="1"/>
  <c r="C237" i="1" a="1"/>
  <c r="C350" i="1" a="1"/>
  <c r="C315" i="1" a="1"/>
  <c r="B232" i="1" a="1"/>
  <c r="B47" i="1" a="1"/>
  <c r="C99" i="1" a="1"/>
  <c r="B237" i="1" a="1"/>
  <c r="B257" i="1" a="1"/>
  <c r="B152" i="1" a="1"/>
  <c r="B340" i="1" a="1"/>
  <c r="C126" i="1" a="1"/>
  <c r="C79" i="1" a="1"/>
  <c r="B335" i="1" a="1"/>
  <c r="B11" i="1" a="1"/>
  <c r="B132" i="1" a="1"/>
  <c r="B127" i="1" a="1"/>
  <c r="B174" i="1" a="1"/>
  <c r="B161" i="1" a="1"/>
  <c r="B45" i="1" a="1"/>
  <c r="B39" i="1" a="1"/>
  <c r="B52" i="1" a="1"/>
  <c r="B8" i="1" a="1"/>
  <c r="B179" i="1" a="1"/>
  <c r="C346" i="1" a="1"/>
  <c r="C313" i="1" a="1"/>
  <c r="C243" i="1" a="1"/>
  <c r="B93" i="1" a="1"/>
  <c r="C399" i="1" a="1"/>
  <c r="C283" i="1" a="1"/>
  <c r="B184" i="1" a="1"/>
  <c r="C321" i="1" a="1"/>
  <c r="C308" i="1" a="1"/>
  <c r="C211" i="1" a="1"/>
  <c r="C347" i="1" a="1"/>
  <c r="B37" i="1" a="1"/>
  <c r="C343" i="1" a="1"/>
  <c r="B251" i="1" a="1"/>
  <c r="C396" i="1" a="1"/>
  <c r="C85" i="1" a="1"/>
  <c r="C389" i="1" a="1"/>
  <c r="B62" i="1" a="1"/>
  <c r="C306" i="1" a="1"/>
  <c r="B362" i="1" a="1"/>
  <c r="C12" i="1" a="1"/>
  <c r="C301" i="1" a="1"/>
  <c r="C229" i="1" a="1"/>
  <c r="B242" i="1" a="1"/>
  <c r="B143" i="1" a="1"/>
  <c r="C7" i="1" a="1"/>
  <c r="C373" i="1" a="1"/>
  <c r="B36" i="1" a="1"/>
  <c r="B183" i="1" a="1"/>
  <c r="C270" i="1" a="1"/>
  <c r="C214" i="1" a="1"/>
  <c r="B138" i="1" a="1"/>
  <c r="C387" i="1" a="1"/>
  <c r="B356" i="1" a="1"/>
  <c r="B331" i="1" a="1"/>
  <c r="B300" i="1" a="1"/>
  <c r="C263" i="1" a="1"/>
  <c r="C317" i="1" a="1"/>
  <c r="C24" i="1" a="1"/>
  <c r="C107" i="1" a="1"/>
  <c r="B280" i="1" a="1"/>
  <c r="B339" i="1" a="1"/>
  <c r="B20" i="1" a="1"/>
  <c r="C17" i="1" a="1"/>
  <c r="C74" i="1" a="1"/>
  <c r="B14" i="1" a="1"/>
  <c r="C35" i="1" a="1"/>
  <c r="C393" i="1" a="1"/>
  <c r="C339" i="1" a="1"/>
  <c r="B175" i="1" a="1"/>
  <c r="B135" i="1" a="1"/>
  <c r="C16" i="1" a="1"/>
  <c r="C40" i="1" a="1"/>
  <c r="B382" i="1" a="1"/>
  <c r="B307" i="1" a="1"/>
  <c r="C342" i="1" a="1"/>
  <c r="B83" i="1" a="1"/>
  <c r="C284" i="1" a="1"/>
  <c r="C269" i="1" a="1"/>
  <c r="B139" i="1" a="1"/>
  <c r="B389" i="1" a="1"/>
  <c r="B70" i="1" a="1"/>
  <c r="B166" i="1" a="1"/>
  <c r="B380" i="1" a="1"/>
  <c r="C332" i="1" a="1"/>
  <c r="B235" i="1" a="1"/>
  <c r="C148" i="1" a="1"/>
  <c r="B75" i="1" a="1"/>
  <c r="C97" i="1" a="1"/>
  <c r="C240" i="1" a="1"/>
  <c r="B332" i="1" a="1"/>
  <c r="B173" i="1" a="1"/>
  <c r="B69" i="1" a="1"/>
  <c r="B158" i="1" a="1"/>
  <c r="B40" i="1" a="1"/>
  <c r="B271" i="1" a="1"/>
  <c r="B5" i="1" a="1"/>
  <c r="C154" i="1" a="1"/>
  <c r="B334" i="1" a="1"/>
  <c r="B350" i="1" a="1"/>
  <c r="B200" i="1" a="1"/>
  <c r="B374" i="1" a="1"/>
  <c r="C364" i="1" a="1"/>
  <c r="C213" i="1" a="1"/>
  <c r="B101" i="1" a="1"/>
  <c r="B317" i="1" a="1"/>
  <c r="B400" i="1" a="1"/>
  <c r="B349" i="1" a="1"/>
  <c r="C395" i="1" a="1"/>
  <c r="C20" i="1" a="1"/>
  <c r="B330" i="1" a="1"/>
  <c r="C144" i="1" a="1"/>
  <c r="C83" i="1" a="1"/>
  <c r="B201" i="1" a="1"/>
  <c r="B377" i="1" a="1"/>
  <c r="B81" i="1" a="1"/>
  <c r="C109" i="1" a="1"/>
  <c r="B41" i="1" a="1"/>
  <c r="C138" i="1" a="1"/>
  <c r="B394" i="1" a="1"/>
  <c r="C72" i="1" a="1"/>
  <c r="B131" i="1" a="1"/>
  <c r="B71" i="1" a="1"/>
  <c r="C288" i="1" a="1"/>
  <c r="C398" i="1" a="1"/>
  <c r="C161" i="1" a="1"/>
  <c r="C330" i="1" a="1"/>
  <c r="B61" i="1" a="1"/>
  <c r="C8" i="1" a="1"/>
  <c r="B3" i="1" a="1"/>
  <c r="B12" i="1" a="1"/>
  <c r="C108" i="1" a="1"/>
  <c r="C52" i="1" a="1"/>
  <c r="C360" i="1" a="1"/>
  <c r="C222" i="1" a="1"/>
  <c r="B155" i="1" a="1"/>
  <c r="C245" i="1" a="1"/>
  <c r="C14" i="1" a="1"/>
  <c r="B312" i="1" a="1"/>
  <c r="C372" i="1" a="1"/>
  <c r="C75" i="1" a="1"/>
  <c r="C336" i="1" a="1"/>
  <c r="C23" i="1" a="1"/>
  <c r="C290" i="1" a="1"/>
  <c r="C230" i="1" a="1"/>
  <c r="C221" i="1" a="1"/>
  <c r="B212" i="1" a="1"/>
  <c r="B187" i="1" a="1"/>
  <c r="C282" i="1" a="1"/>
  <c r="C92" i="1" a="1"/>
  <c r="C179" i="1" a="1"/>
  <c r="B120" i="1" a="1"/>
  <c r="C325" i="1" a="1"/>
  <c r="B130" i="1" a="1"/>
  <c r="B58" i="1" a="1"/>
  <c r="B218" i="1" a="1"/>
  <c r="B311" i="1" a="1"/>
  <c r="B44" i="1" a="1"/>
  <c r="C157" i="1" a="1"/>
  <c r="C54" i="1" a="1"/>
  <c r="B157" i="1" a="1"/>
  <c r="C66" i="1" a="1"/>
  <c r="B357" i="1" a="1"/>
  <c r="C39" i="1" a="1"/>
  <c r="C340" i="1" a="1"/>
  <c r="B351" i="1" a="1"/>
  <c r="B89" i="1" a="1"/>
  <c r="C81" i="1" a="1"/>
  <c r="B401" i="1" a="1"/>
  <c r="C323" i="1" a="1"/>
  <c r="B296" i="1" a="1"/>
  <c r="C150" i="1" a="1"/>
  <c r="B250" i="1" a="1"/>
  <c r="B395" i="1" a="1"/>
  <c r="B46" i="1" a="1"/>
  <c r="C36" i="1" a="1"/>
  <c r="C48" i="1" a="1"/>
  <c r="C127" i="1" a="1"/>
  <c r="C57" i="1" a="1"/>
  <c r="B169" i="1" a="1"/>
  <c r="C246" i="1" a="1"/>
  <c r="C207" i="1" a="1"/>
  <c r="B299" i="1" a="1"/>
  <c r="C163" i="1" a="1"/>
  <c r="C251" i="1" a="1"/>
  <c r="B133" i="1" a="1"/>
  <c r="C233" i="1" a="1"/>
  <c r="B188" i="1" a="1"/>
  <c r="B352" i="1" a="1"/>
  <c r="B259" i="1" a="1"/>
  <c r="B256" i="1" a="1"/>
  <c r="B181" i="1" a="1"/>
  <c r="B285" i="1" a="1"/>
  <c r="B283" i="1" a="1"/>
  <c r="B346" i="1" a="1"/>
  <c r="B344" i="1" a="1"/>
  <c r="C95" i="1" a="1"/>
  <c r="C324" i="1" a="1"/>
  <c r="B27" i="1" a="1"/>
  <c r="B59" i="1" a="1"/>
  <c r="B192" i="1" a="1"/>
  <c r="C162" i="1" a="1"/>
  <c r="B194" i="1" a="1"/>
  <c r="B125" i="1" a="1"/>
  <c r="B314" i="1" a="1"/>
  <c r="B182" i="1" a="1"/>
  <c r="B223" i="1" a="1"/>
  <c r="B293" i="1" a="1"/>
  <c r="C159" i="1" a="1"/>
  <c r="B34" i="1" a="1"/>
  <c r="C158" i="1" a="1"/>
  <c r="B281" i="1" a="1"/>
  <c r="C133" i="1" a="1"/>
  <c r="C299" i="1" a="1"/>
  <c r="B163" i="1" a="1"/>
  <c r="C391" i="1" a="1"/>
  <c r="B304" i="1" a="1"/>
  <c r="C29" i="1" a="1"/>
  <c r="C111" i="1" a="1"/>
  <c r="C64" i="1" a="1"/>
  <c r="C45" i="1" a="1"/>
  <c r="C69" i="1" a="1"/>
  <c r="B302" i="1" a="1"/>
  <c r="C189" i="1" a="1"/>
  <c r="C116" i="1" a="1"/>
  <c r="C344" i="1" a="1"/>
  <c r="C382" i="1" a="1"/>
  <c r="B366" i="1" a="1"/>
  <c r="C25" i="1" a="1"/>
  <c r="C352" i="1" a="1"/>
  <c r="B189" i="1" a="1"/>
  <c r="C129" i="1" a="1"/>
  <c r="B56" i="1" a="1"/>
  <c r="B318" i="1" a="1"/>
  <c r="B291" i="1" a="1"/>
  <c r="B165" i="1" a="1"/>
  <c r="B68" i="1" a="1"/>
  <c r="B142" i="1" a="1"/>
  <c r="C254" i="1" a="1"/>
  <c r="C170" i="1" a="1"/>
  <c r="C56" i="1" a="1"/>
  <c r="B236" i="1" a="1"/>
  <c r="B50" i="1" a="1"/>
  <c r="C358" i="1" a="1"/>
  <c r="B277" i="1" a="1"/>
  <c r="B74" i="1" a="1"/>
  <c r="B4" i="1" a="1"/>
  <c r="C63" i="1" a="1"/>
  <c r="C255" i="1" a="1"/>
  <c r="B109" i="1" a="1"/>
  <c r="B310" i="1" a="1"/>
  <c r="B342" i="1" a="1"/>
  <c r="B84" i="1" a="1"/>
  <c r="B255" i="1" a="1"/>
  <c r="B49" i="1" a="1"/>
  <c r="C235" i="1" a="1"/>
  <c r="C292" i="1" a="1"/>
  <c r="C312" i="1" a="1"/>
  <c r="B116" i="1" a="1"/>
  <c r="C275" i="1" a="1"/>
  <c r="B396" i="1" a="1"/>
  <c r="C6" i="1" a="1"/>
  <c r="B32" i="1" a="1"/>
  <c r="B355" i="1" a="1"/>
  <c r="C234" i="1" a="1"/>
  <c r="C47" i="1" a="1"/>
  <c r="B315" i="1" a="1"/>
  <c r="B247" i="1" a="1"/>
  <c r="C104" i="1" a="1"/>
  <c r="C59" i="1" a="1"/>
  <c r="B205" i="1" a="1"/>
  <c r="C173" i="1" a="1"/>
  <c r="B333" i="1" a="1"/>
  <c r="B195" i="1" a="1"/>
  <c r="C193" i="1" a="1"/>
  <c r="B391" i="1" a="1"/>
  <c r="C305" i="1" a="1"/>
  <c r="B272" i="1" a="1"/>
  <c r="C322" i="1" a="1"/>
  <c r="B209" i="1" a="1"/>
  <c r="C112" i="1" a="1"/>
  <c r="C293" i="1" a="1"/>
  <c r="B117" i="1" a="1"/>
  <c r="C287" i="1" a="1"/>
  <c r="C174" i="1" a="1"/>
  <c r="B53" i="1" a="1"/>
  <c r="C115" i="1" a="1"/>
  <c r="B397" i="1" a="1"/>
  <c r="B286" i="1" a="1"/>
  <c r="C202" i="1" a="1"/>
  <c r="C272" i="1" a="1"/>
  <c r="B399" i="1" a="1"/>
  <c r="B80" i="1" a="1"/>
  <c r="C208" i="1" a="1"/>
  <c r="C345" i="1" a="1"/>
  <c r="C5" i="1" a="1"/>
  <c r="C298" i="1" a="1"/>
  <c r="C102" i="1" a="1"/>
  <c r="C258" i="1" a="1"/>
  <c r="C397" i="1" a="1"/>
  <c r="C400" i="1" a="1"/>
  <c r="C201" i="1" a="1"/>
  <c r="B378" i="1" a="1"/>
  <c r="C367" i="1" a="1"/>
  <c r="B191" i="1" a="1"/>
  <c r="B372" i="1" a="1"/>
  <c r="C120" i="1" a="1"/>
  <c r="C371" i="1" a="1"/>
  <c r="C42" i="1" a="1"/>
  <c r="C151" i="1" a="1"/>
  <c r="C191" i="1" a="1"/>
  <c r="B303" i="1" a="1"/>
  <c r="C217" i="1" a="1"/>
  <c r="B206" i="1" a="1"/>
  <c r="C51" i="1" a="1"/>
  <c r="B29" i="1" a="1"/>
  <c r="C394" i="1" a="1"/>
  <c r="C2" i="1" a="1"/>
  <c r="B115" i="1" a="1"/>
  <c r="B114" i="1" a="1"/>
  <c r="B122" i="1" a="1"/>
  <c r="C361" i="1" a="1"/>
  <c r="C60" i="1" a="1"/>
  <c r="C247" i="1" a="1"/>
  <c r="B215" i="1" a="1"/>
  <c r="B104" i="1" a="1"/>
  <c r="B119" i="1" a="1"/>
  <c r="C310" i="1" a="1"/>
  <c r="B327" i="1" a="1"/>
  <c r="C160" i="1" a="1"/>
  <c r="B319" i="1" a="1"/>
  <c r="B126" i="1" a="1"/>
  <c r="B63" i="1" a="1"/>
  <c r="C359" i="1" a="1"/>
  <c r="B393" i="1" a="1"/>
  <c r="B141" i="1" a="1"/>
  <c r="C142" i="1" a="1"/>
  <c r="B274" i="1" a="1"/>
  <c r="B364" i="1" a="1"/>
  <c r="B392" i="1" a="1"/>
  <c r="C390" i="1" a="1"/>
  <c r="C169" i="1" a="1"/>
  <c r="C135" i="1" a="1"/>
  <c r="C314" i="1" a="1"/>
  <c r="B295" i="1" a="1"/>
  <c r="C18" i="1" a="1"/>
  <c r="C294" i="1" a="1"/>
  <c r="C204" i="1" a="1"/>
  <c r="B78" i="1" a="1"/>
  <c r="C84" i="1" a="1"/>
  <c r="B198" i="1" a="1"/>
  <c r="C124" i="1" a="1"/>
  <c r="C168" i="1" a="1"/>
  <c r="C210" i="1" a="1"/>
  <c r="B88" i="1" a="1"/>
  <c r="C114" i="1" a="1"/>
  <c r="B363" i="1" a="1"/>
  <c r="B203" i="1" a="1"/>
  <c r="C212" i="1" a="1"/>
  <c r="B246" i="1" a="1"/>
  <c r="C385" i="1" a="1"/>
  <c r="C297" i="1" a="1"/>
  <c r="B370" i="1" a="1"/>
  <c r="C338" i="1" a="1"/>
  <c r="C15" i="1" a="1"/>
  <c r="C374" i="1" a="1"/>
  <c r="C320" i="1" a="1"/>
  <c r="B373" i="1" a="1"/>
  <c r="C388" i="1" a="1"/>
  <c r="C257" i="1" a="1"/>
  <c r="C61" i="1" a="1"/>
  <c r="C121" i="1" a="1"/>
  <c r="B329" i="1" a="1"/>
  <c r="B225" i="1" a="1"/>
  <c r="C101" i="1" a="1"/>
  <c r="B31" i="1" a="1"/>
  <c r="B136" i="1" a="1"/>
  <c r="C77" i="1" a="1"/>
  <c r="C149" i="1" a="1"/>
  <c r="C188" i="1" a="1"/>
  <c r="C260" i="1" a="1"/>
  <c r="B176" i="1" a="1"/>
  <c r="C244" i="1" a="1"/>
  <c r="B345" i="1" a="1"/>
  <c r="C71" i="1" a="1"/>
  <c r="C311" i="1" a="1"/>
  <c r="C353" i="1" a="1"/>
  <c r="B230" i="1" a="1"/>
  <c r="B398" i="1" a="1"/>
  <c r="B273" i="1" a="1"/>
  <c r="C376" i="1" a="1"/>
  <c r="C9" i="1" a="1"/>
  <c r="C143" i="1" a="1"/>
  <c r="C341" i="1" a="1"/>
  <c r="B124" i="1" a="1"/>
  <c r="C113" i="1" a="1"/>
  <c r="B42" i="1" a="1"/>
  <c r="B144" i="1" a="1"/>
  <c r="B252" i="1" a="1"/>
  <c r="C80" i="1" a="1"/>
  <c r="C381" i="1" a="1"/>
  <c r="C165" i="1" a="1"/>
  <c r="C228" i="1" a="1"/>
  <c r="B13" i="1" a="1"/>
  <c r="C375" i="1" a="1"/>
  <c r="B22" i="1" a="1"/>
  <c r="C200" i="1" a="1"/>
  <c r="C362" i="1" a="1"/>
  <c r="C27" i="1" a="1"/>
  <c r="B288" i="1" a="1"/>
  <c r="B60" i="1" a="1"/>
  <c r="C153" i="1" a="1"/>
  <c r="C303" i="1" a="1"/>
  <c r="C227" i="1" a="1"/>
  <c r="B234" i="1" a="1"/>
  <c r="B278" i="1" a="1"/>
  <c r="C356" i="1" a="1"/>
  <c r="B358" i="1" a="1"/>
  <c r="C93" i="1" a="1"/>
  <c r="C326" i="1" a="1"/>
  <c r="B385" i="1" a="1"/>
  <c r="C328" i="1" a="1"/>
  <c r="C78" i="1" a="1"/>
  <c r="B270" i="1" a="1"/>
  <c r="C296" i="1" a="1"/>
  <c r="C132" i="1" a="1"/>
  <c r="C49" i="1" a="1"/>
  <c r="B284" i="1" a="1"/>
  <c r="B228" i="1" a="1"/>
  <c r="C281" i="1" a="1"/>
  <c r="B371" i="1" a="1"/>
  <c r="B245" i="1" a="1"/>
  <c r="C106" i="1" a="1"/>
  <c r="C62" i="1" a="1"/>
  <c r="B292" i="1" a="1"/>
  <c r="C259" i="1" a="1"/>
  <c r="C76" i="1" a="1"/>
  <c r="C199" i="1" a="1"/>
  <c r="C155" i="1" a="1"/>
  <c r="B19" i="1" a="1"/>
  <c r="B105" i="1" a="1"/>
  <c r="B9" i="1" a="1"/>
  <c r="C238" i="1" a="1"/>
  <c r="C70" i="1" a="1"/>
  <c r="C225" i="1" a="1"/>
  <c r="B359" i="1" a="1"/>
  <c r="C171" i="1" a="1"/>
  <c r="C88" i="1" a="1"/>
  <c r="C175" i="1" a="1"/>
  <c r="B275" i="1" a="1"/>
  <c r="B106" i="1" a="1"/>
  <c r="B164" i="1" a="1"/>
  <c r="C73" i="1" a="1"/>
  <c r="C309" i="1" a="1"/>
  <c r="C183" i="1" a="1"/>
  <c r="B121" i="1" a="1"/>
  <c r="B108" i="1" a="1"/>
  <c r="B82" i="1" a="1"/>
  <c r="B102" i="1" a="1"/>
  <c r="B313" i="1" a="1"/>
  <c r="B96" i="1" a="1"/>
  <c r="B43" i="1" a="1"/>
  <c r="B324" i="1" a="1"/>
  <c r="B95" i="1" a="1"/>
  <c r="C105" i="1" a="1"/>
  <c r="C316" i="1" a="1"/>
  <c r="B253" i="1" a="1"/>
  <c r="B219" i="1" a="1"/>
  <c r="B86" i="1" a="1"/>
  <c r="B249" i="1" a="1"/>
  <c r="B308" i="1" a="1"/>
  <c r="C44" i="1" a="1"/>
  <c r="B379" i="1" a="1"/>
  <c r="B297" i="1" a="1"/>
  <c r="B343" i="1" a="1"/>
  <c r="C100" i="1" a="1"/>
  <c r="C331" i="1" a="1"/>
  <c r="B361" i="1" a="1"/>
  <c r="B208" i="1" a="1"/>
  <c r="C89" i="1" a="1"/>
  <c r="C239" i="1" a="1"/>
  <c r="B204" i="1" a="1"/>
  <c r="B369" i="1" a="1"/>
  <c r="C285" i="1" a="1"/>
  <c r="B15" i="1" a="1"/>
  <c r="B388" i="1" a="1"/>
  <c r="B134" i="1" a="1"/>
  <c r="C82" i="1" a="1"/>
  <c r="C232" i="1" a="1"/>
  <c r="B216" i="1" a="1"/>
  <c r="C125" i="1" a="1"/>
  <c r="C50" i="1" a="1"/>
  <c r="C147" i="1" a="1"/>
  <c r="C187" i="1" a="1"/>
  <c r="B16" i="1" a="1"/>
  <c r="C19" i="1" a="1"/>
  <c r="B48" i="1" a="1"/>
  <c r="B57" i="1" a="1"/>
  <c r="B282" i="1" a="1"/>
  <c r="C156" i="1" a="1"/>
  <c r="B289" i="1" a="1"/>
  <c r="C379" i="1" a="1"/>
  <c r="B316" i="1" a="1"/>
  <c r="B99" i="1" a="1"/>
  <c r="C366" i="1" a="1"/>
  <c r="C262" i="1" a="1"/>
  <c r="C197" i="1" a="1"/>
  <c r="C137" i="1" a="1"/>
  <c r="C327" i="1" a="1"/>
  <c r="C194" i="1" a="1"/>
  <c r="B90" i="1" a="1"/>
  <c r="B360" i="1" a="1"/>
  <c r="C274" i="1" a="1"/>
  <c r="B229" i="1" a="1"/>
  <c r="B267" i="1" a="1"/>
  <c r="C10" i="1" a="1"/>
  <c r="B67" i="1" a="1"/>
  <c r="B354" i="1" a="1"/>
  <c r="B231" i="1" a="1"/>
  <c r="B18" i="1" a="1"/>
  <c r="B2" i="1" a="1"/>
  <c r="B248" i="1" a="1"/>
  <c r="C280" i="1" a="1"/>
  <c r="C329" i="1" a="1"/>
  <c r="C278" i="1" a="1"/>
  <c r="C273" i="1" a="1"/>
  <c r="B26" i="1" a="1"/>
  <c r="B213" i="1" a="1"/>
  <c r="C231" i="1" a="1"/>
  <c r="B305" i="1" a="1"/>
  <c r="B402" i="1" a="1"/>
  <c r="C164" i="1" a="1"/>
  <c r="B269" i="1" a="1"/>
  <c r="C302" i="1" a="1"/>
  <c r="B323" i="1" a="1"/>
  <c r="B33" i="1" a="1"/>
  <c r="C206" i="1" a="1"/>
  <c r="C203" i="1" a="1"/>
  <c r="B118" i="1" a="1"/>
  <c r="C178" i="1" a="1"/>
  <c r="B140" i="1" a="1"/>
  <c r="C363" i="1" a="1"/>
  <c r="C224" i="1" a="1"/>
  <c r="B100" i="1" a="1"/>
  <c r="C223" i="1" a="1"/>
  <c r="C266" i="1" a="1"/>
  <c r="B309" i="1" a="1"/>
  <c r="B290" i="1" a="1"/>
  <c r="C140" i="1" a="1"/>
  <c r="C118" i="1" a="1"/>
  <c r="C186" i="1" a="1"/>
  <c r="C32" i="1" a="1"/>
  <c r="C355" i="1" a="1"/>
  <c r="B72" i="1" a="1"/>
  <c r="B387" i="1" a="1"/>
  <c r="C304" i="1" a="1"/>
  <c r="B97" i="1" a="1"/>
  <c r="B368" i="1" a="1"/>
  <c r="C279" i="1" a="1"/>
  <c r="B154" i="1" a="1"/>
  <c r="B147" i="1" a="1"/>
  <c r="C333" i="1" a="1"/>
  <c r="B326" i="1" a="1"/>
  <c r="B348" i="1" a="1"/>
  <c r="B186" i="1" a="1"/>
  <c r="C195" i="1" a="1"/>
  <c r="C46" i="1" a="1"/>
  <c r="B279" i="1" a="1"/>
  <c r="C268" i="1" a="1"/>
  <c r="C383" i="1" a="1"/>
  <c r="C318" i="1" a="1"/>
  <c r="C68" i="1" a="1"/>
  <c r="C368" i="1" a="1"/>
  <c r="B92" i="1" a="1"/>
  <c r="B294" i="1" a="1"/>
  <c r="B222" i="1" a="1"/>
  <c r="C198" i="1" a="1"/>
  <c r="C369" i="1" a="1"/>
  <c r="B233" i="1" a="1"/>
  <c r="B243" i="1" a="1"/>
  <c r="B94" i="1" a="1"/>
  <c r="C37" i="1" a="1"/>
  <c r="B148" i="1" a="1"/>
  <c r="B30" i="1" a="1"/>
  <c r="B167" i="1" a="1"/>
  <c r="C94" i="1" a="1"/>
  <c r="C31" i="1" a="1"/>
  <c r="B65" i="1" a="1"/>
  <c r="C348" i="1" a="1"/>
  <c r="C3" i="1" a="1"/>
  <c r="B178" i="1" a="1"/>
  <c r="C264" i="1" a="1"/>
  <c r="C190" i="1" a="1"/>
  <c r="C215" i="1" a="1"/>
  <c r="C98" i="1" a="1"/>
  <c r="B367" i="1" a="1"/>
  <c r="B336" i="1" a="1"/>
  <c r="C265" i="1" a="1"/>
  <c r="C249" i="1" a="1"/>
  <c r="B254" i="1" a="1"/>
  <c r="C136" i="1" a="1"/>
  <c r="B25" i="1" a="1"/>
  <c r="B7" i="1" a="1"/>
  <c r="B66" i="1" a="1"/>
  <c r="C119" i="1" a="1"/>
  <c r="C55" i="1" a="1"/>
  <c r="C209" i="1" a="1"/>
  <c r="B24" i="1" a="1"/>
  <c r="C401" i="1" a="1"/>
  <c r="C128" i="1" a="1"/>
  <c r="B35" i="1" a="1"/>
  <c r="C205" i="1" a="1"/>
  <c r="C252" i="1" a="1"/>
  <c r="C386" i="1" a="1"/>
  <c r="B268" i="1" a="1"/>
  <c r="C34" i="1" a="1"/>
  <c r="C349" i="1" a="1"/>
  <c r="B103" i="1" a="1"/>
  <c r="B338" i="1" a="1"/>
  <c r="C21" i="1" a="1"/>
  <c r="B337" i="1" a="1"/>
  <c r="C28" i="1" a="1"/>
  <c r="C67" i="1" a="1"/>
  <c r="B365" i="1" a="1"/>
  <c r="B241" i="1" a="1"/>
  <c r="C33" i="1" a="1"/>
  <c r="B328" i="1" a="1"/>
  <c r="C295" i="1" a="1"/>
  <c r="C26" i="1" a="1"/>
  <c r="C291" i="1" a="1"/>
  <c r="C216" i="1" a="1"/>
  <c r="B170" i="1" a="1"/>
  <c r="C117" i="1" a="1"/>
  <c r="C152" i="1" a="1"/>
  <c r="B171" i="1" a="1"/>
  <c r="B221" i="1" a="1"/>
  <c r="C172" i="1" a="1"/>
  <c r="B258" i="1" a="1"/>
  <c r="C196" i="1" a="1"/>
  <c r="B381" i="1" a="1"/>
  <c r="C131" i="1" a="1"/>
  <c r="C377" i="1" a="1"/>
  <c r="B107" i="1" a="1"/>
  <c r="C146" i="1" a="1"/>
  <c r="B301" i="1" a="1"/>
  <c r="B17" i="1" a="1"/>
  <c r="C184" i="1" a="1"/>
  <c r="C365" i="1" a="1"/>
  <c r="C180" i="1" a="1"/>
  <c r="B192" i="3" a="1"/>
  <c r="B335" i="3" a="1"/>
  <c r="B91" i="3" a="1"/>
  <c r="B371" i="3" a="1"/>
  <c r="B207" i="3" a="1"/>
  <c r="B354" i="3" a="1"/>
  <c r="B150" i="3" a="1"/>
  <c r="B324" i="3" a="1"/>
  <c r="B396" i="3" a="1"/>
  <c r="B209" i="3" a="1"/>
  <c r="B102" i="3" a="1"/>
  <c r="B389" i="3" a="1"/>
  <c r="B308" i="3" a="1"/>
  <c r="B164" i="3" a="1"/>
  <c r="B137" i="3" a="1"/>
  <c r="B330" i="3" a="1"/>
  <c r="B346" i="3" a="1"/>
  <c r="B114" i="3" a="1"/>
  <c r="B273" i="3" a="1"/>
  <c r="B134" i="3" a="1"/>
  <c r="B208" i="3" a="1"/>
  <c r="B221" i="3" a="1"/>
  <c r="B307" i="3" a="1"/>
  <c r="B387" i="3" a="1"/>
  <c r="B334" i="3" a="1"/>
  <c r="B4" i="3" a="1"/>
  <c r="B399" i="3" a="1"/>
  <c r="B381" i="3" a="1"/>
  <c r="B67" i="3" a="1"/>
  <c r="B2" i="3" a="1"/>
  <c r="B128" i="3" a="1"/>
  <c r="B309" i="3" a="1"/>
  <c r="B69" i="3" a="1"/>
  <c r="B189" i="3" a="1"/>
  <c r="B78" i="3" a="1"/>
  <c r="B104" i="3" a="1"/>
  <c r="B241" i="3" a="1"/>
  <c r="B105" i="3" a="1"/>
  <c r="B290" i="3" a="1"/>
  <c r="B203" i="3" a="1"/>
  <c r="B193" i="3" a="1"/>
  <c r="B191" i="3" a="1"/>
  <c r="B160" i="3" a="1"/>
  <c r="B115" i="3" a="1"/>
  <c r="B244" i="3" a="1"/>
  <c r="B302" i="3" a="1"/>
  <c r="B148" i="3" a="1"/>
  <c r="B166" i="3" a="1"/>
  <c r="B323" i="3" a="1"/>
  <c r="B199" i="3" a="1"/>
  <c r="B257" i="3" a="1"/>
  <c r="B75" i="3" a="1"/>
  <c r="B29" i="3" a="1"/>
  <c r="B173" i="3" a="1"/>
  <c r="B201" i="3" a="1"/>
  <c r="B275" i="3" a="1"/>
  <c r="B276" i="3" a="1"/>
  <c r="B252" i="3" a="1"/>
  <c r="B373" i="3" a="1"/>
  <c r="B385" i="3" a="1"/>
  <c r="B120" i="3" a="1"/>
  <c r="B169" i="3" a="1"/>
  <c r="B159" i="3" a="1"/>
  <c r="B100" i="3" a="1"/>
  <c r="B313" i="3" a="1"/>
  <c r="B52" i="3" a="1"/>
  <c r="B317" i="3" a="1"/>
  <c r="B190" i="3" a="1"/>
  <c r="B298" i="3" a="1"/>
  <c r="B27" i="3" a="1"/>
  <c r="B225" i="3" a="1"/>
  <c r="B224" i="3" a="1"/>
  <c r="B156" i="3" a="1"/>
  <c r="B131" i="3" a="1"/>
  <c r="B80" i="3" a="1"/>
  <c r="B106" i="3" a="1"/>
  <c r="B135" i="3" a="1"/>
  <c r="B259" i="3" a="1"/>
  <c r="B185" i="3" a="1"/>
  <c r="B304" i="3" a="1"/>
  <c r="B124" i="3" a="1"/>
  <c r="B89" i="3" a="1"/>
  <c r="B12" i="3" a="1"/>
  <c r="B285" i="3" a="1"/>
  <c r="B28" i="3" a="1"/>
  <c r="B351" i="3" a="1"/>
  <c r="B326" i="3" a="1"/>
  <c r="B369" i="3" a="1"/>
  <c r="B108" i="3" a="1"/>
  <c r="B119" i="3" a="1"/>
  <c r="B397" i="3" a="1"/>
  <c r="B362" i="3" a="1"/>
  <c r="B54" i="3" a="1"/>
  <c r="B152" i="3" a="1"/>
  <c r="B312" i="3" a="1"/>
  <c r="B367" i="3" a="1"/>
  <c r="B99" i="3" a="1"/>
  <c r="B361" i="3" a="1"/>
  <c r="B233" i="3" a="1"/>
  <c r="B392" i="3" a="1"/>
  <c r="B394" i="3" a="1"/>
  <c r="B11" i="3" a="1"/>
  <c r="B212" i="3" a="1"/>
  <c r="B41" i="3" a="1"/>
  <c r="B33" i="3" a="1"/>
  <c r="B58" i="3" a="1"/>
  <c r="B281" i="3" a="1"/>
  <c r="B65" i="3" a="1"/>
  <c r="B236" i="3" a="1"/>
  <c r="B340" i="3" a="1"/>
  <c r="B337" i="3" a="1"/>
  <c r="B149" i="3" a="1"/>
  <c r="B344" i="3" a="1"/>
  <c r="B44" i="3" a="1"/>
  <c r="B36" i="3" a="1"/>
  <c r="B336" i="3" a="1"/>
  <c r="B331" i="3" a="1"/>
  <c r="B113" i="3" a="1"/>
  <c r="B94" i="3" a="1"/>
  <c r="B57" i="3" a="1"/>
  <c r="B46" i="3" a="1"/>
  <c r="B388" i="3" a="1"/>
  <c r="B231" i="3" a="1"/>
  <c r="B184" i="3" a="1"/>
  <c r="B365" i="3" a="1"/>
  <c r="B30" i="3" a="1"/>
  <c r="B242" i="3" a="1"/>
  <c r="B398" i="3" a="1"/>
  <c r="B332" i="3" a="1"/>
  <c r="B38" i="3" a="1"/>
  <c r="B393" i="3" a="1"/>
  <c r="B311" i="3" a="1"/>
  <c r="B249" i="3" a="1"/>
  <c r="B3" i="3" a="1"/>
  <c r="B163" i="3" a="1"/>
  <c r="B83" i="3" a="1"/>
  <c r="B292" i="3" a="1"/>
  <c r="B143" i="3" a="1"/>
  <c r="B187" i="3" a="1"/>
  <c r="B79" i="3" a="1"/>
  <c r="B291" i="3" a="1"/>
  <c r="B97" i="3" a="1"/>
  <c r="B382" i="3" a="1"/>
  <c r="B194" i="3" a="1"/>
  <c r="B372" i="3" a="1"/>
  <c r="B26" i="3" a="1"/>
  <c r="B219" i="3" a="1"/>
  <c r="B255" i="3" a="1"/>
  <c r="B171" i="3" a="1"/>
  <c r="B5" i="3" a="1"/>
  <c r="B20" i="3" a="1"/>
  <c r="B299" i="3" a="1"/>
  <c r="B296" i="3" a="1"/>
  <c r="B178" i="3" a="1"/>
  <c r="B256" i="3" a="1"/>
  <c r="B92" i="3" a="1"/>
  <c r="B172" i="3" a="1"/>
  <c r="B202" i="3" a="1"/>
  <c r="B87" i="3" a="1"/>
  <c r="B181" i="3" a="1"/>
  <c r="B402" i="3" a="1"/>
  <c r="B338" i="3" a="1"/>
  <c r="B22" i="3" a="1"/>
  <c r="B40" i="3" a="1"/>
  <c r="B82" i="3" a="1"/>
  <c r="B400" i="3" a="1"/>
  <c r="B18" i="3" a="1"/>
  <c r="B111" i="3" a="1"/>
  <c r="B217" i="3" a="1"/>
  <c r="B206" i="3" a="1"/>
  <c r="B248" i="3" a="1"/>
  <c r="B375" i="3" a="1"/>
  <c r="B325" i="3" a="1"/>
  <c r="B250" i="3" a="1"/>
  <c r="B182" i="3" a="1"/>
  <c r="B68" i="3" a="1"/>
  <c r="B277" i="3" a="1"/>
  <c r="B141" i="3" a="1"/>
  <c r="B112" i="3" a="1"/>
  <c r="B239" i="3" a="1"/>
  <c r="B151" i="3" a="1"/>
  <c r="B96" i="3" a="1"/>
  <c r="B37" i="3" a="1"/>
  <c r="B319" i="3" a="1"/>
  <c r="B216" i="3" a="1"/>
  <c r="B123" i="3" a="1"/>
  <c r="B86" i="3" a="1"/>
  <c r="B267" i="3" a="1"/>
  <c r="B246" i="3" a="1"/>
  <c r="B176" i="3" a="1"/>
  <c r="B179" i="3" a="1"/>
  <c r="B364" i="3" a="1"/>
  <c r="B62" i="3" a="1"/>
  <c r="B72" i="3" a="1"/>
  <c r="B17" i="3" a="1"/>
  <c r="B297" i="3" a="1"/>
  <c r="B196" i="3" a="1"/>
  <c r="B55" i="3" a="1"/>
  <c r="B122" i="3" a="1"/>
  <c r="B254" i="3" a="1"/>
  <c r="B301" i="3" a="1"/>
  <c r="B238" i="3" a="1"/>
  <c r="B145" i="3" a="1"/>
  <c r="B205" i="3" a="1"/>
  <c r="B279" i="3" a="1"/>
  <c r="B59" i="3" a="1"/>
  <c r="B66" i="3" a="1"/>
  <c r="B316" i="3" a="1"/>
  <c r="B322" i="3" a="1"/>
  <c r="B140" i="3" a="1"/>
  <c r="B213" i="3" a="1"/>
  <c r="B253" i="3" a="1"/>
  <c r="B161" i="3" a="1"/>
  <c r="B103" i="3" a="1"/>
  <c r="B272" i="3" a="1"/>
  <c r="B289" i="3" a="1"/>
  <c r="B339" i="3" a="1"/>
  <c r="B188" i="3" a="1"/>
  <c r="B215" i="3" a="1"/>
  <c r="B118" i="3" a="1"/>
  <c r="B243" i="3" a="1"/>
  <c r="B165" i="3" a="1"/>
  <c r="B197" i="3" a="1"/>
  <c r="B286" i="3" a="1"/>
  <c r="B278" i="3" a="1"/>
  <c r="B305" i="3" a="1"/>
  <c r="B8" i="3" a="1"/>
  <c r="B31" i="3" a="1"/>
  <c r="B170" i="3" a="1"/>
  <c r="B347" i="3" a="1"/>
  <c r="B200" i="3" a="1"/>
  <c r="B401" i="3" a="1"/>
  <c r="B25" i="3" a="1"/>
  <c r="B6" i="3" a="1"/>
  <c r="B234" i="3" a="1"/>
  <c r="B73" i="3" a="1"/>
  <c r="B9" i="3" a="1"/>
  <c r="B158" i="3" a="1"/>
  <c r="B386" i="3" a="1"/>
  <c r="B329" i="3" a="1"/>
  <c r="B64" i="3" a="1"/>
  <c r="B142" i="3" a="1"/>
  <c r="B315" i="3" a="1"/>
  <c r="B333" i="3" a="1"/>
  <c r="B378" i="3" a="1"/>
  <c r="B222" i="3" a="1"/>
  <c r="B107" i="3" a="1"/>
  <c r="B167" i="3" a="1"/>
  <c r="B360" i="3" a="1"/>
  <c r="B223" i="3" a="1"/>
  <c r="B84" i="3" a="1"/>
  <c r="B132" i="3" a="1"/>
  <c r="B138" i="3" a="1"/>
  <c r="B368" i="3" a="1"/>
  <c r="B125" i="3" a="1"/>
  <c r="B287" i="3" a="1"/>
  <c r="B355" i="3" a="1"/>
  <c r="B71" i="3" a="1"/>
  <c r="B348" i="3" a="1"/>
  <c r="B56" i="3" a="1"/>
  <c r="B251" i="3" a="1"/>
  <c r="B357" i="3" a="1"/>
  <c r="I4" i="4" a="1"/>
  <c r="B117" i="3" a="1"/>
  <c r="B180" i="3" a="1"/>
  <c r="B266" i="3" a="1"/>
  <c r="B283" i="3" a="1"/>
  <c r="B168" i="3" a="1"/>
  <c r="B19" i="3" a="1"/>
  <c r="B211" i="3" a="1"/>
  <c r="B50" i="3" a="1"/>
  <c r="B81" i="3" a="1"/>
  <c r="B129" i="3" a="1"/>
  <c r="B76" i="3" a="1"/>
  <c r="B229" i="3" a="1"/>
  <c r="B175" i="3" a="1"/>
  <c r="B310" i="3" a="1"/>
  <c r="B88" i="3" a="1"/>
  <c r="B358" i="3" a="1"/>
  <c r="B228" i="3" a="1"/>
  <c r="B210" i="3" a="1"/>
  <c r="B258" i="3" a="1"/>
  <c r="B306" i="3" a="1"/>
  <c r="B174" i="3" a="1"/>
  <c r="B154" i="3" a="1"/>
  <c r="B293" i="3" a="1"/>
  <c r="B101" i="3" a="1"/>
  <c r="B379" i="3" a="1"/>
  <c r="B130" i="3" a="1"/>
  <c r="B294" i="3" a="1"/>
  <c r="B341" i="3" a="1"/>
  <c r="B300" i="3" a="1"/>
  <c r="B146" i="3" a="1"/>
  <c r="B269" i="3" a="1"/>
  <c r="B374" i="3" a="1"/>
  <c r="B198" i="3" a="1"/>
  <c r="B350" i="3" a="1"/>
  <c r="B359" i="3" a="1"/>
  <c r="B384" i="3" a="1"/>
  <c r="B42" i="3" a="1"/>
  <c r="B162" i="3" a="1"/>
  <c r="B14" i="3" a="1"/>
  <c r="B70" i="3" a="1"/>
  <c r="B345" i="3" a="1"/>
  <c r="B268" i="3" a="1"/>
  <c r="B282" i="3" a="1"/>
  <c r="B235" i="3" a="1"/>
  <c r="B127" i="3" a="1"/>
  <c r="B230" i="3" a="1"/>
  <c r="B356" i="3" a="1"/>
  <c r="B380" i="3" a="1"/>
  <c r="B139" i="3" a="1"/>
  <c r="B90" i="3" a="1"/>
  <c r="B314" i="3" a="1"/>
  <c r="B349" i="3" a="1"/>
  <c r="B271" i="3" a="1"/>
  <c r="B204" i="3" a="1"/>
  <c r="B32" i="3" a="1"/>
  <c r="B177" i="3" a="1"/>
  <c r="B342" i="3" a="1"/>
  <c r="B214" i="3" a="1"/>
  <c r="B53" i="3" a="1"/>
  <c r="B116" i="3" a="1"/>
  <c r="B24" i="3" a="1"/>
  <c r="B376" i="3" a="1"/>
  <c r="B383" i="3" a="1"/>
  <c r="B136" i="3" a="1"/>
  <c r="B48" i="3" a="1"/>
  <c r="B288" i="3" a="1"/>
  <c r="B7" i="3" a="1"/>
  <c r="B74" i="3" a="1"/>
  <c r="B126" i="3" a="1"/>
  <c r="B39" i="3" a="1"/>
  <c r="B327" i="3" a="1"/>
  <c r="B109" i="3" a="1"/>
  <c r="B93" i="3" a="1"/>
  <c r="B98" i="3" a="1"/>
  <c r="B303" i="3" a="1"/>
  <c r="B218" i="3" a="1"/>
  <c r="B49" i="3" a="1"/>
  <c r="B195" i="3" a="1"/>
  <c r="B247" i="3" a="1"/>
  <c r="B370" i="3" a="1"/>
  <c r="B343" i="3" a="1"/>
  <c r="B395" i="3" a="1"/>
  <c r="B155" i="3" a="1"/>
  <c r="B45" i="3" a="1"/>
  <c r="B15" i="3" a="1"/>
  <c r="B237" i="3" a="1"/>
  <c r="B363" i="3" a="1"/>
  <c r="B63" i="3" a="1"/>
  <c r="B60" i="3" a="1"/>
  <c r="B133" i="3" a="1"/>
  <c r="B183" i="3" a="1"/>
  <c r="B321" i="3" a="1"/>
  <c r="B34" i="3" a="1"/>
  <c r="B318" i="3" a="1"/>
  <c r="B186" i="3" a="1"/>
  <c r="B240" i="3" a="1"/>
  <c r="B232" i="3" a="1"/>
  <c r="B51" i="3" a="1"/>
  <c r="B23" i="3" a="1"/>
  <c r="B21" i="3" a="1"/>
  <c r="B353" i="3" a="1"/>
  <c r="B10" i="3" a="1"/>
  <c r="B16" i="3" a="1"/>
  <c r="B77" i="3" a="1"/>
  <c r="B220" i="3" a="1"/>
  <c r="B328" i="3" a="1"/>
  <c r="B295" i="3" a="1"/>
  <c r="B157" i="3" a="1"/>
  <c r="B280" i="3" a="1"/>
  <c r="B320" i="3" a="1"/>
  <c r="B144" i="3" a="1"/>
  <c r="B110" i="3" a="1"/>
  <c r="B153" i="3" a="1"/>
  <c r="B274" i="3" a="1"/>
  <c r="B43" i="3" a="1"/>
  <c r="B270" i="3" a="1"/>
  <c r="B245" i="3" a="1"/>
  <c r="B147" i="3" a="1"/>
  <c r="B377" i="3" a="1"/>
  <c r="B366" i="3" a="1"/>
  <c r="B95" i="3" a="1"/>
  <c r="H4" i="4"/>
  <c r="B121" i="3" a="1"/>
  <c r="B391" i="3" a="1"/>
  <c r="B13" i="3" a="1"/>
  <c r="B284" i="3" a="1"/>
  <c r="B35" i="3" a="1"/>
  <c r="B352" i="3" a="1"/>
  <c r="B85" i="3" a="1"/>
  <c r="B61" i="3" a="1"/>
  <c r="B47" i="3" a="1"/>
  <c r="B226" i="3" a="1"/>
  <c r="B262" i="3" a="1"/>
  <c r="B260" i="3" a="1"/>
  <c r="B233" i="3" l="1"/>
  <c r="C42" i="1"/>
  <c r="B86" i="1"/>
  <c r="B210" i="1"/>
  <c r="C349" i="1"/>
  <c r="B18" i="1"/>
  <c r="B267" i="1"/>
  <c r="B51" i="1"/>
  <c r="C190" i="1"/>
  <c r="C110" i="1"/>
  <c r="C378" i="1"/>
  <c r="C257" i="1"/>
  <c r="C277" i="1"/>
  <c r="C204" i="1"/>
  <c r="C284" i="1"/>
  <c r="B25" i="1"/>
  <c r="B137" i="1"/>
  <c r="B292" i="1"/>
  <c r="C299" i="1"/>
  <c r="C178" i="1"/>
  <c r="B400" i="1"/>
  <c r="C81" i="1"/>
  <c r="C347" i="1"/>
  <c r="B19" i="1"/>
  <c r="B347" i="1"/>
  <c r="B377" i="1"/>
  <c r="B352" i="1"/>
  <c r="B6" i="1"/>
  <c r="C333" i="1"/>
  <c r="C87" i="1"/>
  <c r="C44" i="1"/>
  <c r="B232" i="1"/>
  <c r="C4" i="1"/>
  <c r="B283" i="1"/>
  <c r="C102" i="1"/>
  <c r="C239" i="1"/>
  <c r="B5" i="1"/>
  <c r="C289" i="1"/>
  <c r="C68" i="1"/>
  <c r="C357" i="1"/>
  <c r="C193" i="1"/>
  <c r="C286" i="1"/>
  <c r="C383" i="1"/>
  <c r="C327" i="1"/>
  <c r="B338" i="1"/>
  <c r="C343" i="1"/>
  <c r="B316" i="1"/>
  <c r="C186" i="1"/>
  <c r="C315" i="1"/>
  <c r="B184" i="1"/>
  <c r="C43" i="1"/>
  <c r="B36" i="1"/>
  <c r="B369" i="1"/>
  <c r="B174" i="1"/>
  <c r="B13" i="1"/>
  <c r="B372" i="1"/>
  <c r="B94" i="1"/>
  <c r="C169" i="1"/>
  <c r="B381" i="1"/>
  <c r="C111" i="1"/>
  <c r="B11" i="1"/>
  <c r="C72" i="1"/>
  <c r="B103" i="1"/>
  <c r="C139" i="1"/>
  <c r="C38" i="1"/>
  <c r="B278" i="1"/>
  <c r="C348" i="1"/>
  <c r="B304" i="1"/>
  <c r="C311" i="1"/>
  <c r="C182" i="1"/>
  <c r="B38" i="1"/>
  <c r="C184" i="1"/>
  <c r="C345" i="1"/>
  <c r="B402" i="1"/>
  <c r="C324" i="1"/>
  <c r="B4" i="1"/>
  <c r="B136" i="1"/>
  <c r="B97" i="1"/>
  <c r="B123" i="1"/>
  <c r="C300" i="1"/>
  <c r="B388" i="1"/>
  <c r="C63" i="1"/>
  <c r="B189" i="1"/>
  <c r="C168" i="1"/>
  <c r="B191" i="1"/>
  <c r="C86" i="1"/>
  <c r="C82" i="1"/>
  <c r="B160" i="1"/>
  <c r="C84" i="1"/>
  <c r="C51" i="1"/>
  <c r="C181" i="1"/>
  <c r="B324" i="1"/>
  <c r="C57" i="1"/>
  <c r="C242" i="1"/>
  <c r="B203" i="1"/>
  <c r="C355" i="1"/>
  <c r="C64" i="1"/>
  <c r="B346" i="1"/>
  <c r="C206" i="1"/>
  <c r="C195" i="1"/>
  <c r="B221" i="1"/>
  <c r="C173" i="1"/>
  <c r="B190" i="1"/>
  <c r="C233" i="1"/>
  <c r="B194" i="1"/>
  <c r="C59" i="1"/>
  <c r="C202" i="1"/>
  <c r="B207" i="1"/>
  <c r="C18" i="1"/>
  <c r="C160" i="1"/>
  <c r="C26" i="1"/>
  <c r="B364" i="1"/>
  <c r="C308" i="1"/>
  <c r="C256" i="1"/>
  <c r="B249" i="1"/>
  <c r="C259" i="1"/>
  <c r="C254" i="1"/>
  <c r="B287" i="1"/>
  <c r="B350" i="1"/>
  <c r="C401" i="1"/>
  <c r="C369" i="1"/>
  <c r="B45" i="1"/>
  <c r="C248" i="1"/>
  <c r="B72" i="1"/>
  <c r="B139" i="1"/>
  <c r="B91" i="1"/>
  <c r="C24" i="1"/>
  <c r="C237" i="1"/>
  <c r="B318" i="1"/>
  <c r="B398" i="1"/>
  <c r="C219" i="1"/>
  <c r="C344" i="1"/>
  <c r="B68" i="1"/>
  <c r="B187" i="1"/>
  <c r="B71" i="1"/>
  <c r="C177" i="1"/>
  <c r="B17" i="1"/>
  <c r="C28" i="1"/>
  <c r="B98" i="1"/>
  <c r="B125" i="1"/>
  <c r="C172" i="1"/>
  <c r="C103" i="1"/>
  <c r="B90" i="1"/>
  <c r="C391" i="1"/>
  <c r="B84" i="1"/>
  <c r="C137" i="1"/>
  <c r="C273" i="1"/>
  <c r="B31" i="1"/>
  <c r="C106" i="1"/>
  <c r="C8" i="1"/>
  <c r="C11" i="1"/>
  <c r="B298" i="1"/>
  <c r="C249" i="1"/>
  <c r="C14" i="1"/>
  <c r="B195" i="1"/>
  <c r="C222" i="1"/>
  <c r="C338" i="1"/>
  <c r="C12" i="1"/>
  <c r="B87" i="1"/>
  <c r="C325" i="1"/>
  <c r="C116" i="1"/>
  <c r="C214" i="1"/>
  <c r="B109" i="1"/>
  <c r="B251" i="1"/>
  <c r="B201" i="1"/>
  <c r="B319" i="1"/>
  <c r="C88" i="1"/>
  <c r="B340" i="1"/>
  <c r="B320" i="1"/>
  <c r="B315" i="1"/>
  <c r="C22" i="1"/>
  <c r="B202" i="1"/>
  <c r="C35" i="1"/>
  <c r="C295" i="1"/>
  <c r="C90" i="1"/>
  <c r="B122" i="1"/>
  <c r="B325" i="1"/>
  <c r="C75" i="1"/>
  <c r="C60" i="1"/>
  <c r="C241" i="1"/>
  <c r="B382" i="1"/>
  <c r="C335" i="1"/>
  <c r="C321" i="1"/>
  <c r="B77" i="1"/>
  <c r="B33" i="1"/>
  <c r="C340" i="1"/>
  <c r="C71" i="1"/>
  <c r="C32" i="1"/>
  <c r="C122" i="1"/>
  <c r="B250" i="1"/>
  <c r="C316" i="1"/>
  <c r="C146" i="1"/>
  <c r="B69" i="1"/>
  <c r="C175" i="1"/>
  <c r="B102" i="1"/>
  <c r="C27" i="1"/>
  <c r="C79" i="1"/>
  <c r="C67" i="1"/>
  <c r="C10" i="1"/>
  <c r="B310" i="1"/>
  <c r="C234" i="1"/>
  <c r="B110" i="1"/>
  <c r="B305" i="1"/>
  <c r="B129" i="1"/>
  <c r="C198" i="1"/>
  <c r="B192" i="1"/>
  <c r="C105" i="1"/>
  <c r="B354" i="1"/>
  <c r="C13" i="1"/>
  <c r="B165" i="1"/>
  <c r="C23" i="1"/>
  <c r="B8" i="1"/>
  <c r="C66" i="1"/>
  <c r="C53" i="1"/>
  <c r="C306" i="1"/>
  <c r="C231" i="1"/>
  <c r="C359" i="1"/>
  <c r="C131" i="1"/>
  <c r="C274" i="1"/>
  <c r="C150" i="1"/>
  <c r="C208" i="1"/>
  <c r="B112" i="1"/>
  <c r="B223" i="1"/>
  <c r="C245" i="1"/>
  <c r="C157" i="1"/>
  <c r="C258" i="1"/>
  <c r="C188" i="1"/>
  <c r="B28" i="1"/>
  <c r="C100" i="1"/>
  <c r="C276" i="1"/>
  <c r="C337" i="1"/>
  <c r="B386" i="1"/>
  <c r="C48" i="1"/>
  <c r="C354" i="1"/>
  <c r="B9" i="1"/>
  <c r="B32" i="1"/>
  <c r="C246" i="1"/>
  <c r="C115" i="1"/>
  <c r="C154" i="1"/>
  <c r="C73" i="1"/>
  <c r="B15" i="1"/>
  <c r="C370" i="1"/>
  <c r="B317" i="1"/>
  <c r="B301" i="1"/>
  <c r="B291" i="1"/>
  <c r="C120" i="1"/>
  <c r="C93" i="1"/>
  <c r="C156" i="1"/>
  <c r="B218" i="1"/>
  <c r="C140" i="1"/>
  <c r="B166" i="1"/>
  <c r="C390" i="1"/>
  <c r="B146" i="1"/>
  <c r="B297" i="1"/>
  <c r="B332" i="1"/>
  <c r="C133" i="1"/>
  <c r="C215" i="1"/>
  <c r="C261" i="1"/>
  <c r="C364" i="1"/>
  <c r="C128" i="1"/>
  <c r="B154" i="1"/>
  <c r="C293" i="1"/>
  <c r="B39" i="1"/>
  <c r="B371" i="1"/>
  <c r="B81" i="1"/>
  <c r="B140" i="1"/>
  <c r="B353" i="1"/>
  <c r="B211" i="1"/>
  <c r="C217" i="1"/>
  <c r="C36" i="1"/>
  <c r="C174" i="1"/>
  <c r="B173" i="1"/>
  <c r="B328" i="1"/>
  <c r="B342" i="1"/>
  <c r="C185" i="1"/>
  <c r="B132" i="1"/>
  <c r="B60" i="1"/>
  <c r="C285" i="1"/>
  <c r="C281" i="1"/>
  <c r="C148" i="1"/>
  <c r="C5" i="1"/>
  <c r="B180" i="1"/>
  <c r="C176" i="1"/>
  <c r="C9" i="1"/>
  <c r="B344" i="1"/>
  <c r="B54" i="1"/>
  <c r="C212" i="1"/>
  <c r="C40" i="1"/>
  <c r="C262" i="1"/>
  <c r="C272" i="1"/>
  <c r="B199" i="1"/>
  <c r="C230" i="1"/>
  <c r="B348" i="1"/>
  <c r="C65" i="1"/>
  <c r="C377" i="1"/>
  <c r="C353" i="1"/>
  <c r="C197" i="1"/>
  <c r="B313" i="1"/>
  <c r="B163" i="1"/>
  <c r="B257" i="1"/>
  <c r="B274" i="1"/>
  <c r="B10" i="1"/>
  <c r="C108" i="1"/>
  <c r="B107" i="1"/>
  <c r="B208" i="1"/>
  <c r="C263" i="1"/>
  <c r="C213" i="1"/>
  <c r="B380" i="1"/>
  <c r="B75" i="1"/>
  <c r="B399" i="1"/>
  <c r="B62" i="1"/>
  <c r="C227" i="1"/>
  <c r="C350" i="1"/>
  <c r="C386" i="1"/>
  <c r="C235" i="1"/>
  <c r="B34" i="1"/>
  <c r="B397" i="1"/>
  <c r="C153" i="1"/>
  <c r="C251" i="1"/>
  <c r="B121" i="1"/>
  <c r="C395" i="1"/>
  <c r="B115" i="1"/>
  <c r="B124" i="1"/>
  <c r="B7" i="1"/>
  <c r="C34" i="1"/>
  <c r="C125" i="1"/>
  <c r="C132" i="1"/>
  <c r="C290" i="1"/>
  <c r="C394" i="1"/>
  <c r="B197" i="1"/>
  <c r="C365" i="1"/>
  <c r="C101" i="1"/>
  <c r="C77" i="1"/>
  <c r="B26" i="1"/>
  <c r="B330" i="1"/>
  <c r="B156" i="1"/>
  <c r="C255" i="1"/>
  <c r="C371" i="1"/>
  <c r="C223" i="1"/>
  <c r="C19" i="1"/>
  <c r="C252" i="1"/>
  <c r="B150" i="1"/>
  <c r="C387" i="1"/>
  <c r="B394" i="1"/>
  <c r="B16" i="1"/>
  <c r="B130" i="1"/>
  <c r="C373" i="1"/>
  <c r="B229" i="1"/>
  <c r="B361" i="1"/>
  <c r="C191" i="1"/>
  <c r="C381" i="1"/>
  <c r="C305" i="1"/>
  <c r="B55" i="1"/>
  <c r="B374" i="1"/>
  <c r="C296" i="1"/>
  <c r="B268" i="1"/>
  <c r="C114" i="1"/>
  <c r="B252" i="1"/>
  <c r="C220" i="1"/>
  <c r="C372" i="1"/>
  <c r="B331" i="1"/>
  <c r="C183" i="1"/>
  <c r="C166" i="1"/>
  <c r="B309" i="1"/>
  <c r="B148" i="1"/>
  <c r="C3" i="1"/>
  <c r="C97" i="1"/>
  <c r="C268" i="1"/>
  <c r="B343" i="1"/>
  <c r="B216" i="1"/>
  <c r="C266" i="1"/>
  <c r="C297" i="1"/>
  <c r="B375" i="1"/>
  <c r="C334" i="1"/>
  <c r="B323" i="1"/>
  <c r="C149" i="1"/>
  <c r="B79" i="1"/>
  <c r="C331" i="1"/>
  <c r="C264" i="1"/>
  <c r="B387" i="1"/>
  <c r="C199" i="1"/>
  <c r="B302" i="1"/>
  <c r="B366" i="1"/>
  <c r="B245" i="1"/>
  <c r="C99" i="1"/>
  <c r="B20" i="1"/>
  <c r="C247" i="1"/>
  <c r="B56" i="1"/>
  <c r="B246" i="1"/>
  <c r="C91" i="1"/>
  <c r="B76" i="1"/>
  <c r="C360" i="1"/>
  <c r="B89" i="1"/>
  <c r="C147" i="1"/>
  <c r="B383" i="1"/>
  <c r="C260" i="1"/>
  <c r="C382" i="1"/>
  <c r="C329" i="1"/>
  <c r="B164" i="1"/>
  <c r="B351" i="1"/>
  <c r="C203" i="1"/>
  <c r="C69" i="1"/>
  <c r="B153" i="1"/>
  <c r="B334" i="1"/>
  <c r="C385" i="1"/>
  <c r="C358" i="1"/>
  <c r="B176" i="1"/>
  <c r="C135" i="1"/>
  <c r="B169" i="1"/>
  <c r="C362" i="1"/>
  <c r="B108" i="1"/>
  <c r="C134" i="1"/>
  <c r="C123" i="1"/>
  <c r="C136" i="1"/>
  <c r="B23" i="1"/>
  <c r="C317" i="1"/>
  <c r="B215" i="1"/>
  <c r="B162" i="1"/>
  <c r="B128" i="1"/>
  <c r="C302" i="1"/>
  <c r="B46" i="1"/>
  <c r="B384" i="1"/>
  <c r="B198" i="1"/>
  <c r="B200" i="1"/>
  <c r="C279" i="1"/>
  <c r="B73" i="1"/>
  <c r="C164" i="1"/>
  <c r="B373" i="1"/>
  <c r="C367" i="1"/>
  <c r="C117" i="1"/>
  <c r="B133" i="1"/>
  <c r="C393" i="1"/>
  <c r="B158" i="1"/>
  <c r="B349" i="1"/>
  <c r="C196" i="1"/>
  <c r="B282" i="1"/>
  <c r="C165" i="1"/>
  <c r="C29" i="1"/>
  <c r="B213" i="1"/>
  <c r="C210" i="1"/>
  <c r="B358" i="1"/>
  <c r="B401" i="1"/>
  <c r="C192" i="1"/>
  <c r="B101" i="1"/>
  <c r="B356" i="1"/>
  <c r="B161" i="1"/>
  <c r="B48" i="1"/>
  <c r="B222" i="1"/>
  <c r="C280" i="1"/>
  <c r="B256" i="1"/>
  <c r="B135" i="1"/>
  <c r="B152" i="1"/>
  <c r="B367" i="1"/>
  <c r="B168" i="1"/>
  <c r="B43" i="1"/>
  <c r="C400" i="1"/>
  <c r="B80" i="1"/>
  <c r="B296" i="1"/>
  <c r="B58" i="1"/>
  <c r="C33" i="1"/>
  <c r="B59" i="1"/>
  <c r="B281" i="1"/>
  <c r="B300" i="1"/>
  <c r="B96" i="1"/>
  <c r="B147" i="1"/>
  <c r="B144" i="1"/>
  <c r="C127" i="1"/>
  <c r="C85" i="1"/>
  <c r="C46" i="1"/>
  <c r="B178" i="1"/>
  <c r="C339" i="1"/>
  <c r="C119" i="1"/>
  <c r="B131" i="1"/>
  <c r="B41" i="1"/>
  <c r="B294" i="1"/>
  <c r="C162" i="1"/>
  <c r="C238" i="1"/>
  <c r="C15" i="1"/>
  <c r="C54" i="1"/>
  <c r="B74" i="1"/>
  <c r="C142" i="1"/>
  <c r="B92" i="1"/>
  <c r="B247" i="1"/>
  <c r="C61" i="1"/>
  <c r="B179" i="1"/>
  <c r="C271" i="1"/>
  <c r="B155" i="1"/>
  <c r="B279" i="1"/>
  <c r="B113" i="1"/>
  <c r="C167" i="1"/>
  <c r="C143" i="1"/>
  <c r="B22" i="1"/>
  <c r="C224" i="1"/>
  <c r="B151" i="1"/>
  <c r="C267" i="1"/>
  <c r="B379" i="1"/>
  <c r="B396" i="1"/>
  <c r="B314" i="1"/>
  <c r="B78" i="1"/>
  <c r="C163" i="1"/>
  <c r="B65" i="1"/>
  <c r="C25" i="1"/>
  <c r="C155" i="1"/>
  <c r="C201" i="1"/>
  <c r="B185" i="1"/>
  <c r="C121" i="1"/>
  <c r="B119" i="1"/>
  <c r="B157" i="1"/>
  <c r="C330" i="1"/>
  <c r="B280" i="1"/>
  <c r="C240" i="1"/>
  <c r="C392" i="1"/>
  <c r="B273" i="1"/>
  <c r="B85" i="1"/>
  <c r="C244" i="1"/>
  <c r="C118" i="1"/>
  <c r="B134" i="1"/>
  <c r="C374" i="1"/>
  <c r="B326" i="1"/>
  <c r="B212" i="1"/>
  <c r="C376" i="1"/>
  <c r="B27" i="1"/>
  <c r="C83" i="1"/>
  <c r="C294" i="1"/>
  <c r="B44" i="1"/>
  <c r="C189" i="1"/>
  <c r="B389" i="1"/>
  <c r="B21" i="1"/>
  <c r="C94" i="1"/>
  <c r="B269" i="1"/>
  <c r="B357" i="1"/>
  <c r="B3" i="1"/>
  <c r="B105" i="1"/>
  <c r="B234" i="1"/>
  <c r="C291" i="1"/>
  <c r="B243" i="1"/>
  <c r="C45" i="1"/>
  <c r="B228" i="1"/>
  <c r="B244" i="1"/>
  <c r="C62" i="1"/>
  <c r="C216" i="1"/>
  <c r="B242" i="1"/>
  <c r="B271" i="1"/>
  <c r="B99" i="1"/>
  <c r="C124" i="1"/>
  <c r="B145" i="1"/>
  <c r="C126" i="1"/>
  <c r="C342" i="1"/>
  <c r="C187" i="1"/>
  <c r="C221" i="1"/>
  <c r="B196" i="1"/>
  <c r="B177" i="1"/>
  <c r="B127" i="1"/>
  <c r="B322" i="1"/>
  <c r="B341" i="1"/>
  <c r="C402" i="1"/>
  <c r="B95" i="1"/>
  <c r="C180" i="1"/>
  <c r="B385" i="1"/>
  <c r="B363" i="1"/>
  <c r="B240" i="1"/>
  <c r="C211" i="1"/>
  <c r="B235" i="1"/>
  <c r="C89" i="1"/>
  <c r="B14" i="1"/>
  <c r="B293" i="1"/>
  <c r="C313" i="1"/>
  <c r="B183" i="1"/>
  <c r="B193" i="1"/>
  <c r="B312" i="1"/>
  <c r="B52" i="1"/>
  <c r="C269" i="1"/>
  <c r="B321" i="1"/>
  <c r="B254" i="1"/>
  <c r="B116" i="1"/>
  <c r="B392" i="1"/>
  <c r="B258" i="1"/>
  <c r="C113" i="1"/>
  <c r="B82" i="1"/>
  <c r="C50" i="1"/>
  <c r="B395" i="1"/>
  <c r="B286" i="1"/>
  <c r="B339" i="1"/>
  <c r="B37" i="1"/>
  <c r="C352" i="1"/>
  <c r="C7" i="1"/>
  <c r="B277" i="1"/>
  <c r="B35" i="1"/>
  <c r="B224" i="1"/>
  <c r="C2" i="1"/>
  <c r="B299" i="1"/>
  <c r="C389" i="1"/>
  <c r="C314" i="1"/>
  <c r="B308" i="1"/>
  <c r="C399" i="1"/>
  <c r="B67" i="1"/>
  <c r="B230" i="1"/>
  <c r="B345" i="1"/>
  <c r="C320" i="1"/>
  <c r="B206" i="1"/>
  <c r="C209" i="1"/>
  <c r="C310" i="1"/>
  <c r="C52" i="1"/>
  <c r="C226" i="1"/>
  <c r="B365" i="1"/>
  <c r="B306" i="1"/>
  <c r="B362" i="1"/>
  <c r="C301" i="1"/>
  <c r="C319" i="1"/>
  <c r="B126" i="1"/>
  <c r="C107" i="1"/>
  <c r="C270" i="1"/>
  <c r="B61" i="1"/>
  <c r="B111" i="1"/>
  <c r="C318" i="1"/>
  <c r="C194" i="1"/>
  <c r="C356" i="1"/>
  <c r="C159" i="1"/>
  <c r="B49" i="1"/>
  <c r="B106" i="1"/>
  <c r="B285" i="1"/>
  <c r="C76" i="1"/>
  <c r="C205" i="1"/>
  <c r="B359" i="1"/>
  <c r="C200" i="1"/>
  <c r="B327" i="1"/>
  <c r="C92" i="1"/>
  <c r="B239" i="1"/>
  <c r="B170" i="1"/>
  <c r="B114" i="1"/>
  <c r="C282" i="1"/>
  <c r="B88" i="1"/>
  <c r="C292" i="1"/>
  <c r="C379" i="1"/>
  <c r="B205" i="1"/>
  <c r="C16" i="1"/>
  <c r="C112" i="1"/>
  <c r="B391" i="1"/>
  <c r="B24" i="1"/>
  <c r="B2" i="1"/>
  <c r="B64" i="1"/>
  <c r="C225" i="1"/>
  <c r="C145" i="1"/>
  <c r="C328" i="1"/>
  <c r="B266" i="1"/>
  <c r="C95" i="1"/>
  <c r="C17" i="1"/>
  <c r="C39" i="1"/>
  <c r="C96" i="1"/>
  <c r="C397" i="1"/>
  <c r="B186" i="1"/>
  <c r="B83" i="1"/>
  <c r="C283" i="1"/>
  <c r="B276" i="1"/>
  <c r="B248" i="1"/>
  <c r="C388" i="1"/>
  <c r="C380" i="1"/>
  <c r="C58" i="1"/>
  <c r="C332" i="1"/>
  <c r="C278" i="1"/>
  <c r="C232" i="1"/>
  <c r="C56" i="1"/>
  <c r="B238" i="1"/>
  <c r="B368" i="1"/>
  <c r="B117" i="1"/>
  <c r="C304" i="1"/>
  <c r="B53" i="1"/>
  <c r="C307" i="1"/>
  <c r="B311" i="1"/>
  <c r="B66" i="1"/>
  <c r="C275" i="1"/>
  <c r="C322" i="1"/>
  <c r="B355" i="1"/>
  <c r="C31" i="1"/>
  <c r="C218" i="1"/>
  <c r="C47" i="1"/>
  <c r="B149" i="1"/>
  <c r="C37" i="1"/>
  <c r="C341" i="1"/>
  <c r="B288" i="1"/>
  <c r="B57" i="1"/>
  <c r="C130" i="1"/>
  <c r="B336" i="1"/>
  <c r="C346" i="1"/>
  <c r="B47" i="1"/>
  <c r="C6" i="1"/>
  <c r="C336" i="1"/>
  <c r="C228" i="1"/>
  <c r="B295" i="1"/>
  <c r="B138" i="1"/>
  <c r="B337" i="1"/>
  <c r="C375" i="1"/>
  <c r="C287" i="1"/>
  <c r="B219" i="1"/>
  <c r="C265" i="1"/>
  <c r="B40" i="1"/>
  <c r="C158" i="1"/>
  <c r="C104" i="1"/>
  <c r="B303" i="1"/>
  <c r="C41" i="1"/>
  <c r="C368" i="1"/>
  <c r="B29" i="1"/>
  <c r="C141" i="1"/>
  <c r="B231" i="1"/>
  <c r="C20" i="1"/>
  <c r="B172" i="1"/>
  <c r="C78" i="1"/>
  <c r="C152" i="1"/>
  <c r="C309" i="1"/>
  <c r="B181" i="1"/>
  <c r="B307" i="1"/>
  <c r="B104" i="1"/>
  <c r="C396" i="1"/>
  <c r="C303" i="1"/>
  <c r="C361" i="1"/>
  <c r="B360" i="1"/>
  <c r="C30" i="1"/>
  <c r="B378" i="1"/>
  <c r="B376" i="1"/>
  <c r="B93" i="1"/>
  <c r="B275" i="1"/>
  <c r="C170" i="1"/>
  <c r="B241" i="1"/>
  <c r="C179" i="1"/>
  <c r="B188" i="1"/>
  <c r="C384" i="1"/>
  <c r="B259" i="1"/>
  <c r="B204" i="1"/>
  <c r="B214" i="1"/>
  <c r="B333" i="1"/>
  <c r="B255" i="1"/>
  <c r="C109" i="1"/>
  <c r="C326" i="1"/>
  <c r="C253" i="1"/>
  <c r="B233" i="1"/>
  <c r="B63" i="1"/>
  <c r="B270" i="1"/>
  <c r="C298" i="1"/>
  <c r="B50" i="1"/>
  <c r="C351" i="1"/>
  <c r="B272" i="1"/>
  <c r="C171" i="1"/>
  <c r="C323" i="1"/>
  <c r="C129" i="1"/>
  <c r="B289" i="1"/>
  <c r="C207" i="1"/>
  <c r="B159" i="1"/>
  <c r="B30" i="1"/>
  <c r="B167" i="1"/>
  <c r="C98" i="1"/>
  <c r="C250" i="1"/>
  <c r="C138" i="1"/>
  <c r="B70" i="1"/>
  <c r="C243" i="1"/>
  <c r="B393" i="1"/>
  <c r="B209" i="1"/>
  <c r="B220" i="1"/>
  <c r="C398" i="1"/>
  <c r="B253" i="1"/>
  <c r="C21" i="1"/>
  <c r="B284" i="1"/>
  <c r="C144" i="1"/>
  <c r="B225" i="1"/>
  <c r="C161" i="1"/>
  <c r="C236" i="1"/>
  <c r="B120" i="1"/>
  <c r="C288" i="1"/>
  <c r="C70" i="1"/>
  <c r="B118" i="1"/>
  <c r="C55" i="1"/>
  <c r="B335" i="1"/>
  <c r="B329" i="1"/>
  <c r="B141" i="1"/>
  <c r="C74" i="1"/>
  <c r="C363" i="1"/>
  <c r="B370" i="1"/>
  <c r="C80" i="1"/>
  <c r="B175" i="1"/>
  <c r="B237" i="1"/>
  <c r="B143" i="1"/>
  <c r="B171" i="1"/>
  <c r="C366" i="1"/>
  <c r="B217" i="1"/>
  <c r="C151" i="1"/>
  <c r="B100" i="1"/>
  <c r="C229" i="1"/>
  <c r="B236" i="1"/>
  <c r="C49" i="1"/>
  <c r="B290" i="1"/>
  <c r="B12" i="1"/>
  <c r="B42" i="1"/>
  <c r="B142" i="1"/>
  <c r="B182" i="1"/>
  <c r="C312" i="1"/>
  <c r="D401" i="3"/>
  <c r="E71" i="3"/>
  <c r="E123" i="3"/>
  <c r="E272" i="3"/>
  <c r="E172" i="3"/>
  <c r="D221" i="3"/>
  <c r="D272" i="3"/>
  <c r="D349" i="3"/>
  <c r="D110" i="3"/>
  <c r="D310" i="3"/>
  <c r="D400" i="3"/>
  <c r="D324" i="3"/>
  <c r="D71" i="3"/>
  <c r="D323" i="3"/>
  <c r="D247" i="3"/>
  <c r="D375" i="3"/>
  <c r="D246" i="3"/>
  <c r="D45" i="3"/>
  <c r="D374" i="3"/>
  <c r="D299" i="3"/>
  <c r="D298" i="3"/>
  <c r="D95" i="3"/>
  <c r="E3" i="3"/>
  <c r="E179" i="3"/>
  <c r="E283" i="3"/>
  <c r="E351" i="3"/>
  <c r="E393" i="3"/>
  <c r="E12" i="3"/>
  <c r="E122" i="3"/>
  <c r="E171" i="3"/>
  <c r="E204" i="3"/>
  <c r="E213" i="3"/>
  <c r="E274" i="3"/>
  <c r="E292" i="3"/>
  <c r="E300" i="3"/>
  <c r="E308" i="3"/>
  <c r="E359" i="3"/>
  <c r="E368" i="3"/>
  <c r="E40" i="3"/>
  <c r="E57" i="3"/>
  <c r="E65" i="3"/>
  <c r="E96" i="3"/>
  <c r="E104" i="3"/>
  <c r="E155" i="3"/>
  <c r="E249" i="3"/>
  <c r="E88" i="3"/>
  <c r="E139" i="3"/>
  <c r="E164" i="3"/>
  <c r="E75" i="3"/>
  <c r="E41" i="3"/>
  <c r="E97" i="3"/>
  <c r="E149" i="3"/>
  <c r="E206" i="3"/>
  <c r="E250" i="3"/>
  <c r="E344" i="3"/>
  <c r="E378" i="3"/>
  <c r="E5" i="3"/>
  <c r="E14" i="3"/>
  <c r="E67" i="3"/>
  <c r="E225" i="3"/>
  <c r="E285" i="3"/>
  <c r="E294" i="3"/>
  <c r="E319" i="3"/>
  <c r="E353" i="3"/>
  <c r="E387" i="3"/>
  <c r="E395" i="3"/>
  <c r="E59" i="3"/>
  <c r="E85" i="3"/>
  <c r="E141" i="3"/>
  <c r="E157" i="3"/>
  <c r="E207" i="3"/>
  <c r="E268" i="3"/>
  <c r="E311" i="3"/>
  <c r="E51" i="3"/>
  <c r="E90" i="3"/>
  <c r="E98" i="3"/>
  <c r="E116" i="3"/>
  <c r="E190" i="3"/>
  <c r="E234" i="3"/>
  <c r="E243" i="3"/>
  <c r="E260" i="3"/>
  <c r="E277" i="3"/>
  <c r="E286" i="3"/>
  <c r="E328" i="3"/>
  <c r="E379" i="3"/>
  <c r="E6" i="3"/>
  <c r="E34" i="3"/>
  <c r="E43" i="3"/>
  <c r="E158" i="3"/>
  <c r="E182" i="3"/>
  <c r="E226" i="3"/>
  <c r="E295" i="3"/>
  <c r="E320" i="3"/>
  <c r="E337" i="3"/>
  <c r="E371" i="3"/>
  <c r="E388" i="3"/>
  <c r="E60" i="3"/>
  <c r="E78" i="3"/>
  <c r="E86" i="3"/>
  <c r="E166" i="3"/>
  <c r="E208" i="3"/>
  <c r="E252" i="3"/>
  <c r="E304" i="3"/>
  <c r="E7" i="3"/>
  <c r="E118" i="3"/>
  <c r="E159" i="3"/>
  <c r="E279" i="3"/>
  <c r="E321" i="3"/>
  <c r="E347" i="3"/>
  <c r="E398" i="3"/>
  <c r="E91" i="3"/>
  <c r="E108" i="3"/>
  <c r="E143" i="3"/>
  <c r="E175" i="3"/>
  <c r="E200" i="3"/>
  <c r="E218" i="3"/>
  <c r="E244" i="3"/>
  <c r="E261" i="3"/>
  <c r="E329" i="3"/>
  <c r="E355" i="3"/>
  <c r="E380" i="3"/>
  <c r="E44" i="3"/>
  <c r="E313" i="3"/>
  <c r="E372" i="3"/>
  <c r="E17" i="3"/>
  <c r="E79" i="3"/>
  <c r="E87" i="3"/>
  <c r="E100" i="3"/>
  <c r="E335" i="3"/>
  <c r="D194" i="3"/>
  <c r="D56" i="3"/>
  <c r="E386" i="3"/>
  <c r="E284" i="3"/>
  <c r="E220" i="3"/>
  <c r="E232" i="3"/>
  <c r="D29" i="3"/>
  <c r="D169" i="3"/>
  <c r="D145" i="3"/>
  <c r="D120" i="3"/>
  <c r="D81" i="3"/>
  <c r="D41" i="3"/>
  <c r="E307" i="3"/>
  <c r="E132" i="3"/>
  <c r="D105" i="3"/>
  <c r="E54" i="3"/>
  <c r="E332" i="3"/>
  <c r="D307" i="3"/>
  <c r="E256" i="3"/>
  <c r="E192" i="3"/>
  <c r="E144" i="3"/>
  <c r="E119" i="3"/>
  <c r="D54" i="3"/>
  <c r="D383" i="3"/>
  <c r="E369" i="3"/>
  <c r="D344" i="3"/>
  <c r="D332" i="3"/>
  <c r="D281" i="3"/>
  <c r="E229" i="3"/>
  <c r="D203" i="3"/>
  <c r="E167" i="3"/>
  <c r="D153" i="3"/>
  <c r="D144" i="3"/>
  <c r="D80" i="3"/>
  <c r="D11" i="3"/>
  <c r="E146" i="3"/>
  <c r="D30" i="3"/>
  <c r="D335" i="3"/>
  <c r="E271" i="3"/>
  <c r="D121" i="3"/>
  <c r="E94" i="3"/>
  <c r="D399" i="3"/>
  <c r="D322" i="3"/>
  <c r="E245" i="3"/>
  <c r="D245" i="3"/>
  <c r="D193" i="3"/>
  <c r="D384" i="3"/>
  <c r="E358" i="3"/>
  <c r="D219" i="3"/>
  <c r="E92" i="3"/>
  <c r="E28" i="3"/>
  <c r="D358" i="3"/>
  <c r="E80" i="3"/>
  <c r="D28" i="3"/>
  <c r="D369" i="3"/>
  <c r="D318" i="3"/>
  <c r="E306" i="3"/>
  <c r="E293" i="3"/>
  <c r="E267" i="3"/>
  <c r="D255" i="3"/>
  <c r="D229" i="3"/>
  <c r="D179" i="3"/>
  <c r="E130" i="3"/>
  <c r="E103" i="3"/>
  <c r="D64" i="3"/>
  <c r="E38" i="3"/>
  <c r="E394" i="3"/>
  <c r="D331" i="3"/>
  <c r="D293" i="3"/>
  <c r="E152" i="3"/>
  <c r="D38" i="3"/>
  <c r="D356" i="3"/>
  <c r="D254" i="3"/>
  <c r="D228" i="3"/>
  <c r="E178" i="3"/>
  <c r="D152" i="3"/>
  <c r="D63" i="3"/>
  <c r="D9" i="3"/>
  <c r="D393" i="3"/>
  <c r="D367" i="3"/>
  <c r="D330" i="3"/>
  <c r="D316" i="3"/>
  <c r="D214" i="3"/>
  <c r="E201" i="3"/>
  <c r="D188" i="3"/>
  <c r="D178" i="3"/>
  <c r="D129" i="3"/>
  <c r="D102" i="3"/>
  <c r="E37" i="3"/>
  <c r="E184" i="3"/>
  <c r="D360" i="3"/>
  <c r="D146" i="3"/>
  <c r="D297" i="3"/>
  <c r="D271" i="3"/>
  <c r="D220" i="3"/>
  <c r="E193" i="3"/>
  <c r="D156" i="3"/>
  <c r="D205" i="3"/>
  <c r="D202" i="3"/>
  <c r="D291" i="3"/>
  <c r="D265" i="3"/>
  <c r="D201" i="3"/>
  <c r="D151" i="3"/>
  <c r="E62" i="3"/>
  <c r="D37" i="3"/>
  <c r="D8" i="3"/>
  <c r="D392" i="3"/>
  <c r="E366" i="3"/>
  <c r="D340" i="3"/>
  <c r="D315" i="3"/>
  <c r="D128" i="3"/>
  <c r="E84" i="3"/>
  <c r="D12" i="3"/>
  <c r="D122" i="3"/>
  <c r="D138" i="3"/>
  <c r="D163" i="3"/>
  <c r="D171" i="3"/>
  <c r="D195" i="3"/>
  <c r="D204" i="3"/>
  <c r="D213" i="3"/>
  <c r="D222" i="3"/>
  <c r="D230" i="3"/>
  <c r="D248" i="3"/>
  <c r="D257" i="3"/>
  <c r="D274" i="3"/>
  <c r="D292" i="3"/>
  <c r="D300" i="3"/>
  <c r="D308" i="3"/>
  <c r="D325" i="3"/>
  <c r="D342" i="3"/>
  <c r="D359" i="3"/>
  <c r="D368" i="3"/>
  <c r="D376" i="3"/>
  <c r="D385" i="3"/>
  <c r="D3" i="3"/>
  <c r="D21" i="3"/>
  <c r="D31" i="3"/>
  <c r="D40" i="3"/>
  <c r="D48" i="3"/>
  <c r="D57" i="3"/>
  <c r="D65" i="3"/>
  <c r="D83" i="3"/>
  <c r="D96" i="3"/>
  <c r="D104" i="3"/>
  <c r="D113" i="3"/>
  <c r="D131" i="3"/>
  <c r="D147" i="3"/>
  <c r="D155" i="3"/>
  <c r="D187" i="3"/>
  <c r="D240" i="3"/>
  <c r="D266" i="3"/>
  <c r="D317" i="3"/>
  <c r="D334" i="3"/>
  <c r="D402" i="3"/>
  <c r="D75" i="3"/>
  <c r="D88" i="3"/>
  <c r="D139" i="3"/>
  <c r="D164" i="3"/>
  <c r="D196" i="3"/>
  <c r="D223" i="3"/>
  <c r="D258" i="3"/>
  <c r="D284" i="3"/>
  <c r="D326" i="3"/>
  <c r="D343" i="3"/>
  <c r="D352" i="3"/>
  <c r="D377" i="3"/>
  <c r="D386" i="3"/>
  <c r="D394" i="3"/>
  <c r="D114" i="3"/>
  <c r="D132" i="3"/>
  <c r="D172" i="3"/>
  <c r="D4" i="3"/>
  <c r="D13" i="3"/>
  <c r="D22" i="3"/>
  <c r="D32" i="3"/>
  <c r="D49" i="3"/>
  <c r="D84" i="3"/>
  <c r="D123" i="3"/>
  <c r="D5" i="3"/>
  <c r="D14" i="3"/>
  <c r="D23" i="3"/>
  <c r="D50" i="3"/>
  <c r="D67" i="3"/>
  <c r="D76" i="3"/>
  <c r="D89" i="3"/>
  <c r="D115" i="3"/>
  <c r="D180" i="3"/>
  <c r="D189" i="3"/>
  <c r="D197" i="3"/>
  <c r="D225" i="3"/>
  <c r="D233" i="3"/>
  <c r="D242" i="3"/>
  <c r="D259" i="3"/>
  <c r="D276" i="3"/>
  <c r="D285" i="3"/>
  <c r="D302" i="3"/>
  <c r="D319" i="3"/>
  <c r="D327" i="3"/>
  <c r="D353" i="3"/>
  <c r="D361" i="3"/>
  <c r="D387" i="3"/>
  <c r="D395" i="3"/>
  <c r="D33" i="3"/>
  <c r="D59" i="3"/>
  <c r="D85" i="3"/>
  <c r="D106" i="3"/>
  <c r="D124" i="3"/>
  <c r="D141" i="3"/>
  <c r="D157" i="3"/>
  <c r="D173" i="3"/>
  <c r="D216" i="3"/>
  <c r="D268" i="3"/>
  <c r="D311" i="3"/>
  <c r="D336" i="3"/>
  <c r="D370" i="3"/>
  <c r="D24" i="3"/>
  <c r="D42" i="3"/>
  <c r="D51" i="3"/>
  <c r="D77" i="3"/>
  <c r="D90" i="3"/>
  <c r="D98" i="3"/>
  <c r="D116" i="3"/>
  <c r="D165" i="3"/>
  <c r="D190" i="3"/>
  <c r="D198" i="3"/>
  <c r="D234" i="3"/>
  <c r="D243" i="3"/>
  <c r="D251" i="3"/>
  <c r="D260" i="3"/>
  <c r="D277" i="3"/>
  <c r="D303" i="3"/>
  <c r="D328" i="3"/>
  <c r="D345" i="3"/>
  <c r="D362" i="3"/>
  <c r="D379" i="3"/>
  <c r="D6" i="3"/>
  <c r="D15" i="3"/>
  <c r="D34" i="3"/>
  <c r="D68" i="3"/>
  <c r="D107" i="3"/>
  <c r="D125" i="3"/>
  <c r="D174" i="3"/>
  <c r="D182" i="3"/>
  <c r="D217" i="3"/>
  <c r="D226" i="3"/>
  <c r="D295" i="3"/>
  <c r="D320" i="3"/>
  <c r="D337" i="3"/>
  <c r="D354" i="3"/>
  <c r="D371" i="3"/>
  <c r="D388" i="3"/>
  <c r="D396" i="3"/>
  <c r="D25" i="3"/>
  <c r="D60" i="3"/>
  <c r="D78" i="3"/>
  <c r="D86" i="3"/>
  <c r="D142" i="3"/>
  <c r="D166" i="3"/>
  <c r="D208" i="3"/>
  <c r="D252" i="3"/>
  <c r="D269" i="3"/>
  <c r="D304" i="3"/>
  <c r="D312" i="3"/>
  <c r="D346" i="3"/>
  <c r="D363" i="3"/>
  <c r="D16" i="3"/>
  <c r="D52" i="3"/>
  <c r="D69" i="3"/>
  <c r="D91" i="3"/>
  <c r="D99" i="3"/>
  <c r="D108" i="3"/>
  <c r="D117" i="3"/>
  <c r="D126" i="3"/>
  <c r="D133" i="3"/>
  <c r="D175" i="3"/>
  <c r="D191" i="3"/>
  <c r="D200" i="3"/>
  <c r="D218" i="3"/>
  <c r="D235" i="3"/>
  <c r="D244" i="3"/>
  <c r="D261" i="3"/>
  <c r="D287" i="3"/>
  <c r="D329" i="3"/>
  <c r="D355" i="3"/>
  <c r="D380" i="3"/>
  <c r="D398" i="3"/>
  <c r="D36" i="3"/>
  <c r="D53" i="3"/>
  <c r="D61" i="3"/>
  <c r="D79" i="3"/>
  <c r="D87" i="3"/>
  <c r="D100" i="3"/>
  <c r="D192" i="3"/>
  <c r="D209" i="3"/>
  <c r="D305" i="3"/>
  <c r="D92" i="3"/>
  <c r="D7" i="3"/>
  <c r="D26" i="3"/>
  <c r="D44" i="3"/>
  <c r="D150" i="3"/>
  <c r="D159" i="3"/>
  <c r="D183" i="3"/>
  <c r="D227" i="3"/>
  <c r="D270" i="3"/>
  <c r="D279" i="3"/>
  <c r="D296" i="3"/>
  <c r="D313" i="3"/>
  <c r="D321" i="3"/>
  <c r="D338" i="3"/>
  <c r="D347" i="3"/>
  <c r="D364" i="3"/>
  <c r="D372" i="3"/>
  <c r="D17" i="3"/>
  <c r="D70" i="3"/>
  <c r="D127" i="3"/>
  <c r="D167" i="3"/>
  <c r="D236" i="3"/>
  <c r="D253" i="3"/>
  <c r="D288" i="3"/>
  <c r="D390" i="3"/>
  <c r="D135" i="3"/>
  <c r="D348" i="3"/>
  <c r="D170" i="3"/>
  <c r="E258" i="3"/>
  <c r="D55" i="3"/>
  <c r="D283" i="3"/>
  <c r="D382" i="3"/>
  <c r="E356" i="3"/>
  <c r="D306" i="3"/>
  <c r="D280" i="3"/>
  <c r="D267" i="3"/>
  <c r="D241" i="3"/>
  <c r="D130" i="3"/>
  <c r="D103" i="3"/>
  <c r="E340" i="3"/>
  <c r="D239" i="3"/>
  <c r="D378" i="3"/>
  <c r="D290" i="3"/>
  <c r="E264" i="3"/>
  <c r="D238" i="3"/>
  <c r="D212" i="3"/>
  <c r="E186" i="3"/>
  <c r="D176" i="3"/>
  <c r="D162" i="3"/>
  <c r="D112" i="3"/>
  <c r="E47" i="3"/>
  <c r="D391" i="3"/>
  <c r="E365" i="3"/>
  <c r="E352" i="3"/>
  <c r="E339" i="3"/>
  <c r="E314" i="3"/>
  <c r="D301" i="3"/>
  <c r="D275" i="3"/>
  <c r="D264" i="3"/>
  <c r="D250" i="3"/>
  <c r="D186" i="3"/>
  <c r="D137" i="3"/>
  <c r="D73" i="3"/>
  <c r="E20" i="3"/>
  <c r="D365" i="3"/>
  <c r="D339" i="3"/>
  <c r="E326" i="3"/>
  <c r="D314" i="3"/>
  <c r="D289" i="3"/>
  <c r="D237" i="3"/>
  <c r="D211" i="3"/>
  <c r="D161" i="3"/>
  <c r="E111" i="3"/>
  <c r="D46" i="3"/>
  <c r="D20" i="3"/>
  <c r="E390" i="3"/>
  <c r="D351" i="3"/>
  <c r="E185" i="3"/>
  <c r="D149" i="3"/>
  <c r="D136" i="3"/>
  <c r="D111" i="3"/>
  <c r="D97" i="3"/>
  <c r="D72" i="3"/>
  <c r="E401" i="3"/>
  <c r="E375" i="3"/>
  <c r="E299" i="3"/>
  <c r="D262" i="3"/>
  <c r="E236" i="3"/>
  <c r="D210" i="3"/>
  <c r="E196" i="3"/>
  <c r="D185" i="3"/>
  <c r="D160" i="3"/>
  <c r="D58" i="3"/>
  <c r="E45" i="3"/>
  <c r="E32" i="3"/>
  <c r="D19" i="3"/>
  <c r="B130" i="3"/>
  <c r="E290" i="3"/>
  <c r="D282" i="3"/>
  <c r="D273" i="3"/>
  <c r="E265" i="3"/>
  <c r="E257" i="3"/>
  <c r="D249" i="3"/>
  <c r="D232" i="3"/>
  <c r="E214" i="3"/>
  <c r="D206" i="3"/>
  <c r="E197" i="3"/>
  <c r="D181" i="3"/>
  <c r="E165" i="3"/>
  <c r="D158" i="3"/>
  <c r="D143" i="3"/>
  <c r="D134" i="3"/>
  <c r="E127" i="3"/>
  <c r="D119" i="3"/>
  <c r="E110" i="3"/>
  <c r="D93" i="3"/>
  <c r="E72" i="3"/>
  <c r="D47" i="3"/>
  <c r="D39" i="3"/>
  <c r="E13" i="3"/>
  <c r="E50" i="3"/>
  <c r="E58" i="3"/>
  <c r="E125" i="3"/>
  <c r="E161" i="3"/>
  <c r="E191" i="3"/>
  <c r="E239" i="3"/>
  <c r="E247" i="3"/>
  <c r="E270" i="3"/>
  <c r="E301" i="3"/>
  <c r="E317" i="3"/>
  <c r="E325" i="3"/>
  <c r="E10" i="3"/>
  <c r="E18" i="3"/>
  <c r="E27" i="3"/>
  <c r="E35" i="3"/>
  <c r="E66" i="3"/>
  <c r="E101" i="3"/>
  <c r="E140" i="3"/>
  <c r="E154" i="3"/>
  <c r="E199" i="3"/>
  <c r="E263" i="3"/>
  <c r="E278" i="3"/>
  <c r="E333" i="3"/>
  <c r="E373" i="3"/>
  <c r="D2" i="3"/>
  <c r="D10" i="3"/>
  <c r="D18" i="3"/>
  <c r="D27" i="3"/>
  <c r="D35" i="3"/>
  <c r="D66" i="3"/>
  <c r="D74" i="3"/>
  <c r="D82" i="3"/>
  <c r="D101" i="3"/>
  <c r="D109" i="3"/>
  <c r="D140" i="3"/>
  <c r="D154" i="3"/>
  <c r="D168" i="3"/>
  <c r="D199" i="3"/>
  <c r="D231" i="3"/>
  <c r="D263" i="3"/>
  <c r="D278" i="3"/>
  <c r="D309" i="3"/>
  <c r="D333" i="3"/>
  <c r="D357" i="3"/>
  <c r="D373" i="3"/>
  <c r="D389" i="3"/>
  <c r="D397" i="3"/>
  <c r="D43" i="3"/>
  <c r="D94" i="3"/>
  <c r="D118" i="3"/>
  <c r="D148" i="3"/>
  <c r="D177" i="3"/>
  <c r="D184" i="3"/>
  <c r="D207" i="3"/>
  <c r="D215" i="3"/>
  <c r="D224" i="3"/>
  <c r="D256" i="3"/>
  <c r="D286" i="3"/>
  <c r="D294" i="3"/>
  <c r="D341" i="3"/>
  <c r="D350" i="3"/>
  <c r="D366" i="3"/>
  <c r="D381" i="3"/>
  <c r="E400" i="3"/>
  <c r="E360" i="3"/>
  <c r="E297" i="3"/>
  <c r="E251" i="3"/>
  <c r="E211" i="3"/>
  <c r="E173" i="3"/>
  <c r="E151" i="3"/>
  <c r="E115" i="3"/>
  <c r="E64" i="3"/>
  <c r="E25" i="3"/>
  <c r="E363" i="3"/>
  <c r="E341" i="3"/>
  <c r="E334" i="3"/>
  <c r="E327" i="3"/>
  <c r="E298" i="3"/>
  <c r="E291" i="3"/>
  <c r="E227" i="3"/>
  <c r="E198" i="3"/>
  <c r="E124" i="3"/>
  <c r="E117" i="3"/>
  <c r="E102" i="3"/>
  <c r="E95" i="3"/>
  <c r="E70" i="3"/>
  <c r="E19" i="3"/>
  <c r="E4" i="3"/>
  <c r="E399" i="3"/>
  <c r="E392" i="3"/>
  <c r="E385" i="3"/>
  <c r="E348" i="3"/>
  <c r="E312" i="3"/>
  <c r="E305" i="3"/>
  <c r="E276" i="3"/>
  <c r="E240" i="3"/>
  <c r="E233" i="3"/>
  <c r="E219" i="3"/>
  <c r="E212" i="3"/>
  <c r="E205" i="3"/>
  <c r="E177" i="3"/>
  <c r="E170" i="3"/>
  <c r="E136" i="3"/>
  <c r="E131" i="3"/>
  <c r="E77" i="3"/>
  <c r="E26" i="3"/>
  <c r="E11" i="3"/>
  <c r="E361" i="3"/>
  <c r="E354" i="3"/>
  <c r="E318" i="3"/>
  <c r="E253" i="3"/>
  <c r="E246" i="3"/>
  <c r="E189" i="3"/>
  <c r="E142" i="3"/>
  <c r="E68" i="3"/>
  <c r="E61" i="3"/>
  <c r="E46" i="3"/>
  <c r="E39" i="3"/>
  <c r="E346" i="3"/>
  <c r="E310" i="3"/>
  <c r="E238" i="3"/>
  <c r="E231" i="3"/>
  <c r="E217" i="3"/>
  <c r="E210" i="3"/>
  <c r="E134" i="3"/>
  <c r="E107" i="3"/>
  <c r="E31" i="3"/>
  <c r="E24" i="3"/>
  <c r="E396" i="3"/>
  <c r="E389" i="3"/>
  <c r="E374" i="3"/>
  <c r="E367" i="3"/>
  <c r="E338" i="3"/>
  <c r="E331" i="3"/>
  <c r="E324" i="3"/>
  <c r="E280" i="3"/>
  <c r="E273" i="3"/>
  <c r="E266" i="3"/>
  <c r="E259" i="3"/>
  <c r="E224" i="3"/>
  <c r="E180" i="3"/>
  <c r="E174" i="3"/>
  <c r="E160" i="3"/>
  <c r="E153" i="3"/>
  <c r="E148" i="3"/>
  <c r="E128" i="3"/>
  <c r="E121" i="3"/>
  <c r="E114" i="3"/>
  <c r="E81" i="3"/>
  <c r="E74" i="3"/>
  <c r="E52" i="3"/>
  <c r="E381" i="3"/>
  <c r="E345" i="3"/>
  <c r="E287" i="3"/>
  <c r="E237" i="3"/>
  <c r="E230" i="3"/>
  <c r="E216" i="3"/>
  <c r="E187" i="3"/>
  <c r="E133" i="3"/>
  <c r="E30" i="3"/>
  <c r="E23" i="3"/>
  <c r="E391" i="3"/>
  <c r="E364" i="3"/>
  <c r="E357" i="3"/>
  <c r="E330" i="3"/>
  <c r="E303" i="3"/>
  <c r="E296" i="3"/>
  <c r="E269" i="3"/>
  <c r="E235" i="3"/>
  <c r="E209" i="3"/>
  <c r="E202" i="3"/>
  <c r="E176" i="3"/>
  <c r="E150" i="3"/>
  <c r="E145" i="3"/>
  <c r="E120" i="3"/>
  <c r="E93" i="3"/>
  <c r="E63" i="3"/>
  <c r="E36" i="3"/>
  <c r="E29" i="3"/>
  <c r="E2" i="3"/>
  <c r="E16" i="3"/>
  <c r="E384" i="3"/>
  <c r="E377" i="3"/>
  <c r="E350" i="3"/>
  <c r="E323" i="3"/>
  <c r="E316" i="3"/>
  <c r="E289" i="3"/>
  <c r="E255" i="3"/>
  <c r="E228" i="3"/>
  <c r="E222" i="3"/>
  <c r="E195" i="3"/>
  <c r="E169" i="3"/>
  <c r="E163" i="3"/>
  <c r="E138" i="3"/>
  <c r="E113" i="3"/>
  <c r="E106" i="3"/>
  <c r="E83" i="3"/>
  <c r="E56" i="3"/>
  <c r="E49" i="3"/>
  <c r="E22" i="3"/>
  <c r="E9" i="3"/>
  <c r="E397" i="3"/>
  <c r="E370" i="3"/>
  <c r="E343" i="3"/>
  <c r="E336" i="3"/>
  <c r="E309" i="3"/>
  <c r="E275" i="3"/>
  <c r="E248" i="3"/>
  <c r="E241" i="3"/>
  <c r="E215" i="3"/>
  <c r="E188" i="3"/>
  <c r="E181" i="3"/>
  <c r="E156" i="3"/>
  <c r="E126" i="3"/>
  <c r="E99" i="3"/>
  <c r="E76" i="3"/>
  <c r="E69" i="3"/>
  <c r="E42" i="3"/>
  <c r="E15" i="3"/>
  <c r="E8" i="3"/>
  <c r="E383" i="3"/>
  <c r="E376" i="3"/>
  <c r="E349" i="3"/>
  <c r="E315" i="3"/>
  <c r="E288" i="3"/>
  <c r="E281" i="3"/>
  <c r="E254" i="3"/>
  <c r="E221" i="3"/>
  <c r="E194" i="3"/>
  <c r="E168" i="3"/>
  <c r="E162" i="3"/>
  <c r="E137" i="3"/>
  <c r="E112" i="3"/>
  <c r="E105" i="3"/>
  <c r="E82" i="3"/>
  <c r="E55" i="3"/>
  <c r="E48" i="3"/>
  <c r="E21" i="3"/>
  <c r="I4" i="4"/>
  <c r="E402" i="3"/>
  <c r="E382" i="3"/>
  <c r="E362" i="3"/>
  <c r="E342" i="3"/>
  <c r="E322" i="3"/>
  <c r="E302" i="3"/>
  <c r="E282" i="3"/>
  <c r="E262" i="3"/>
  <c r="E242" i="3"/>
  <c r="E223" i="3"/>
  <c r="E203" i="3"/>
  <c r="E183" i="3"/>
  <c r="E147" i="3"/>
  <c r="E129" i="3"/>
  <c r="E109" i="3"/>
  <c r="E89" i="3"/>
  <c r="E73" i="3"/>
  <c r="E53" i="3"/>
  <c r="E33" i="3"/>
  <c r="B383" i="3"/>
  <c r="B268" i="3"/>
  <c r="B173" i="3"/>
  <c r="B292" i="3"/>
  <c r="B122" i="3"/>
  <c r="B101" i="3"/>
  <c r="B279" i="3"/>
  <c r="B217" i="3"/>
  <c r="B200" i="3"/>
  <c r="B160" i="3"/>
  <c r="B141" i="3"/>
  <c r="B126" i="3"/>
  <c r="B105" i="3"/>
  <c r="B67" i="3"/>
  <c r="B50" i="3"/>
  <c r="B20" i="3"/>
  <c r="B321" i="3"/>
  <c r="B300" i="3"/>
  <c r="B283" i="3"/>
  <c r="B262" i="3"/>
  <c r="B241" i="3"/>
  <c r="B221" i="3"/>
  <c r="B204" i="3"/>
  <c r="B183" i="3"/>
  <c r="B164" i="3"/>
  <c r="B145" i="3"/>
  <c r="B109" i="3"/>
  <c r="B88" i="3"/>
  <c r="B71" i="3"/>
  <c r="B54" i="3"/>
  <c r="B33" i="3"/>
  <c r="B11" i="3"/>
  <c r="B266" i="3"/>
  <c r="B245" i="3"/>
  <c r="B225" i="3"/>
  <c r="B208" i="3"/>
  <c r="B187" i="3"/>
  <c r="B167" i="3"/>
  <c r="B149" i="3"/>
  <c r="B113" i="3"/>
  <c r="B92" i="3"/>
  <c r="B75" i="3"/>
  <c r="B58" i="3"/>
  <c r="B37" i="3"/>
  <c r="B24" i="3"/>
  <c r="B306" i="3"/>
  <c r="B359" i="3"/>
  <c r="B98" i="3"/>
  <c r="B206" i="3"/>
  <c r="B339" i="3"/>
  <c r="B234" i="3"/>
  <c r="B156" i="3"/>
  <c r="B63" i="3"/>
  <c r="B247" i="3"/>
  <c r="B363" i="3"/>
  <c r="B351" i="3"/>
  <c r="B310" i="3"/>
  <c r="B115" i="3"/>
  <c r="B29" i="3"/>
  <c r="B325" i="3"/>
  <c r="B361" i="3"/>
  <c r="B341" i="3"/>
  <c r="B15" i="3"/>
  <c r="B312" i="3"/>
  <c r="B295" i="3"/>
  <c r="B274" i="3"/>
  <c r="B253" i="3"/>
  <c r="B232" i="3"/>
  <c r="B216" i="3"/>
  <c r="B195" i="3"/>
  <c r="B175" i="3"/>
  <c r="B155" i="3"/>
  <c r="B140" i="3"/>
  <c r="B121" i="3"/>
  <c r="B100" i="3"/>
  <c r="B83" i="3"/>
  <c r="B66" i="3"/>
  <c r="B45" i="3"/>
  <c r="B28" i="3"/>
  <c r="B316" i="3"/>
  <c r="B299" i="3"/>
  <c r="B278" i="3"/>
  <c r="B257" i="3"/>
  <c r="B236" i="3"/>
  <c r="B220" i="3"/>
  <c r="B199" i="3"/>
  <c r="B179" i="3"/>
  <c r="B159" i="3"/>
  <c r="B144" i="3"/>
  <c r="B125" i="3"/>
  <c r="B104" i="3"/>
  <c r="B87" i="3"/>
  <c r="B70" i="3"/>
  <c r="B49" i="3"/>
  <c r="B19" i="3"/>
  <c r="B371" i="3"/>
  <c r="B347" i="3"/>
  <c r="B272" i="3"/>
  <c r="B254" i="3"/>
  <c r="B304" i="3"/>
  <c r="B393" i="3"/>
  <c r="B381" i="3"/>
  <c r="B329" i="3"/>
  <c r="B148" i="3"/>
  <c r="B108" i="3"/>
  <c r="B74" i="3"/>
  <c r="B53" i="3"/>
  <c r="B32" i="3"/>
  <c r="B395" i="3"/>
  <c r="B289" i="3"/>
  <c r="B210" i="3"/>
  <c r="B189" i="3"/>
  <c r="B153" i="3"/>
  <c r="B134" i="3"/>
  <c r="B7" i="3"/>
  <c r="B317" i="3"/>
  <c r="B296" i="3"/>
  <c r="B287" i="3"/>
  <c r="B397" i="3"/>
  <c r="B389" i="3"/>
  <c r="B385" i="3"/>
  <c r="B369" i="3"/>
  <c r="B353" i="3"/>
  <c r="B333" i="3"/>
  <c r="B291" i="3"/>
  <c r="B249" i="3"/>
  <c r="B212" i="3"/>
  <c r="B171" i="3"/>
  <c r="B79" i="3"/>
  <c r="B320" i="3"/>
  <c r="B224" i="3"/>
  <c r="B203" i="3"/>
  <c r="B163" i="3"/>
  <c r="B129" i="3"/>
  <c r="B324" i="3"/>
  <c r="B307" i="3"/>
  <c r="B286" i="3"/>
  <c r="B244" i="3"/>
  <c r="B207" i="3"/>
  <c r="B186" i="3"/>
  <c r="B166" i="3"/>
  <c r="B150" i="3"/>
  <c r="B112" i="3"/>
  <c r="B91" i="3"/>
  <c r="B78" i="3"/>
  <c r="B57" i="3"/>
  <c r="B36" i="3"/>
  <c r="B23" i="3"/>
  <c r="B5" i="3"/>
  <c r="B327" i="3"/>
  <c r="B285" i="3"/>
  <c r="B391" i="3"/>
  <c r="B335" i="3"/>
  <c r="B275" i="3"/>
  <c r="B196" i="3"/>
  <c r="B176" i="3"/>
  <c r="B84" i="3"/>
  <c r="B237" i="3"/>
  <c r="B345" i="3"/>
  <c r="B96" i="3"/>
  <c r="B62" i="3"/>
  <c r="B240" i="3"/>
  <c r="B396" i="3"/>
  <c r="B384" i="3"/>
  <c r="B368" i="3"/>
  <c r="B356" i="3"/>
  <c r="B352" i="3"/>
  <c r="B348" i="3"/>
  <c r="B344" i="3"/>
  <c r="B340" i="3"/>
  <c r="B336" i="3"/>
  <c r="B332" i="3"/>
  <c r="B328" i="3"/>
  <c r="B311" i="3"/>
  <c r="B290" i="3"/>
  <c r="B269" i="3"/>
  <c r="B248" i="3"/>
  <c r="B211" i="3"/>
  <c r="B190" i="3"/>
  <c r="B135" i="3"/>
  <c r="B116" i="3"/>
  <c r="B40" i="3"/>
  <c r="B379" i="3"/>
  <c r="B367" i="3"/>
  <c r="B343" i="3"/>
  <c r="B214" i="3"/>
  <c r="B337" i="3"/>
  <c r="B191" i="3"/>
  <c r="B41" i="3"/>
  <c r="B282" i="3"/>
  <c r="B400" i="3"/>
  <c r="B231" i="3"/>
  <c r="B170" i="3"/>
  <c r="B154" i="3"/>
  <c r="B95" i="3"/>
  <c r="B82" i="3"/>
  <c r="B61" i="3"/>
  <c r="B315" i="3"/>
  <c r="B294" i="3"/>
  <c r="B273" i="3"/>
  <c r="B252" i="3"/>
  <c r="B235" i="3"/>
  <c r="B215" i="3"/>
  <c r="B194" i="3"/>
  <c r="B174" i="3"/>
  <c r="B158" i="3"/>
  <c r="B139" i="3"/>
  <c r="B120" i="3"/>
  <c r="B99" i="3"/>
  <c r="B86" i="3"/>
  <c r="B65" i="3"/>
  <c r="B44" i="3"/>
  <c r="B27" i="3"/>
  <c r="B9" i="3"/>
  <c r="B377" i="3"/>
  <c r="B373" i="3"/>
  <c r="B357" i="3"/>
  <c r="B349" i="3"/>
  <c r="B151" i="3"/>
  <c r="B117" i="3"/>
  <c r="B182" i="3"/>
  <c r="B388" i="3"/>
  <c r="B380" i="3"/>
  <c r="B372" i="3"/>
  <c r="B364" i="3"/>
  <c r="B319" i="3"/>
  <c r="B277" i="3"/>
  <c r="B256" i="3"/>
  <c r="B239" i="3"/>
  <c r="B219" i="3"/>
  <c r="B198" i="3"/>
  <c r="B178" i="3"/>
  <c r="B162" i="3"/>
  <c r="B143" i="3"/>
  <c r="B124" i="3"/>
  <c r="B103" i="3"/>
  <c r="B69" i="3"/>
  <c r="B48" i="3"/>
  <c r="B331" i="3"/>
  <c r="B314" i="3"/>
  <c r="B313" i="3"/>
  <c r="B213" i="3"/>
  <c r="B137" i="3"/>
  <c r="B46" i="3"/>
  <c r="B258" i="3"/>
  <c r="B401" i="3"/>
  <c r="B365" i="3"/>
  <c r="B308" i="3"/>
  <c r="B270" i="3"/>
  <c r="B228" i="3"/>
  <c r="B136" i="3"/>
  <c r="B303" i="3"/>
  <c r="B392" i="3"/>
  <c r="B376" i="3"/>
  <c r="B360" i="3"/>
  <c r="B298" i="3"/>
  <c r="B323" i="3"/>
  <c r="B302" i="3"/>
  <c r="B281" i="3"/>
  <c r="B260" i="3"/>
  <c r="B243" i="3"/>
  <c r="B223" i="3"/>
  <c r="B202" i="3"/>
  <c r="B181" i="3"/>
  <c r="B165" i="3"/>
  <c r="B147" i="3"/>
  <c r="B128" i="3"/>
  <c r="B107" i="3"/>
  <c r="B90" i="3"/>
  <c r="B73" i="3"/>
  <c r="B52" i="3"/>
  <c r="B31" i="3"/>
  <c r="B13" i="3"/>
  <c r="B185" i="3"/>
  <c r="B169" i="3"/>
  <c r="B132" i="3"/>
  <c r="B111" i="3"/>
  <c r="B94" i="3"/>
  <c r="B77" i="3"/>
  <c r="B56" i="3"/>
  <c r="B35" i="3"/>
  <c r="B81" i="3"/>
  <c r="B60" i="3"/>
  <c r="B39" i="3"/>
  <c r="B17" i="3"/>
  <c r="B119" i="3"/>
  <c r="B102" i="3"/>
  <c r="B85" i="3"/>
  <c r="B64" i="3"/>
  <c r="B43" i="3"/>
  <c r="B8" i="3"/>
  <c r="B251" i="3"/>
  <c r="B255" i="3"/>
  <c r="B157" i="3"/>
  <c r="B297" i="3"/>
  <c r="B276" i="3"/>
  <c r="B259" i="3"/>
  <c r="B238" i="3"/>
  <c r="B218" i="3"/>
  <c r="B197" i="3"/>
  <c r="B180" i="3"/>
  <c r="B161" i="3"/>
  <c r="B142" i="3"/>
  <c r="B123" i="3"/>
  <c r="B106" i="3"/>
  <c r="B68" i="3"/>
  <c r="B47" i="3"/>
  <c r="B21" i="3"/>
  <c r="B3" i="3"/>
  <c r="B387" i="3"/>
  <c r="B230" i="3"/>
  <c r="B293" i="3"/>
  <c r="B193" i="3"/>
  <c r="B322" i="3"/>
  <c r="B242" i="3"/>
  <c r="B222" i="3"/>
  <c r="B201" i="3"/>
  <c r="B184" i="3"/>
  <c r="B146" i="3"/>
  <c r="B127" i="3"/>
  <c r="B110" i="3"/>
  <c r="B89" i="3"/>
  <c r="B72" i="3"/>
  <c r="B51" i="3"/>
  <c r="B34" i="3"/>
  <c r="B12" i="3"/>
  <c r="B399" i="3"/>
  <c r="B375" i="3"/>
  <c r="B355" i="3"/>
  <c r="B177" i="3"/>
  <c r="B138" i="3"/>
  <c r="B318" i="3"/>
  <c r="B301" i="3"/>
  <c r="B280" i="3"/>
  <c r="B326" i="3"/>
  <c r="B305" i="3"/>
  <c r="B284" i="3"/>
  <c r="B267" i="3"/>
  <c r="B246" i="3"/>
  <c r="B226" i="3"/>
  <c r="B205" i="3"/>
  <c r="B188" i="3"/>
  <c r="B168" i="3"/>
  <c r="B131" i="3"/>
  <c r="B114" i="3"/>
  <c r="B93" i="3"/>
  <c r="B76" i="3"/>
  <c r="B55" i="3"/>
  <c r="B38" i="3"/>
  <c r="B25" i="3"/>
  <c r="B402" i="3"/>
  <c r="B398" i="3"/>
  <c r="B394" i="3"/>
  <c r="B386" i="3"/>
  <c r="B382" i="3"/>
  <c r="B378" i="3"/>
  <c r="B374" i="3"/>
  <c r="B370" i="3"/>
  <c r="B366" i="3"/>
  <c r="B362" i="3"/>
  <c r="B358" i="3"/>
  <c r="B354" i="3"/>
  <c r="B350" i="3"/>
  <c r="B346" i="3"/>
  <c r="B342" i="3"/>
  <c r="B338" i="3"/>
  <c r="B334" i="3"/>
  <c r="B330" i="3"/>
  <c r="B309" i="3"/>
  <c r="B288" i="3"/>
  <c r="B271" i="3"/>
  <c r="B250" i="3"/>
  <c r="B229" i="3"/>
  <c r="B209" i="3"/>
  <c r="B192" i="3"/>
  <c r="B172" i="3"/>
  <c r="B152" i="3"/>
  <c r="B133" i="3"/>
  <c r="B118" i="3"/>
  <c r="B97" i="3"/>
  <c r="B80" i="3"/>
  <c r="B59" i="3"/>
  <c r="B42" i="3"/>
  <c r="B16" i="3"/>
  <c r="B4" i="3"/>
  <c r="B30" i="3"/>
  <c r="B26" i="3"/>
  <c r="B22" i="3"/>
  <c r="B18" i="3"/>
  <c r="B14" i="3"/>
  <c r="B10" i="3"/>
  <c r="B6" i="3"/>
  <c r="B2" i="3"/>
  <c r="B227" i="3" a="1"/>
  <c r="B390" i="3" a="1"/>
  <c r="B264" i="3" a="1"/>
  <c r="B263" i="3" a="1"/>
  <c r="B265" i="3" a="1"/>
  <c r="B261" i="3" a="1"/>
  <c r="D350" i="1" l="1"/>
  <c r="E350" i="1"/>
  <c r="D232" i="1"/>
  <c r="E232" i="1"/>
  <c r="E294" i="1"/>
  <c r="D294" i="1"/>
  <c r="D191" i="1"/>
  <c r="E191" i="1"/>
  <c r="E390" i="1"/>
  <c r="D390" i="1"/>
  <c r="E53" i="1"/>
  <c r="D53" i="1"/>
  <c r="D338" i="1"/>
  <c r="E338" i="1"/>
  <c r="E206" i="1"/>
  <c r="D206" i="1"/>
  <c r="D76" i="1"/>
  <c r="E76" i="1"/>
  <c r="D61" i="1"/>
  <c r="E61" i="1"/>
  <c r="E66" i="1"/>
  <c r="D66" i="1"/>
  <c r="E299" i="1"/>
  <c r="D299" i="1"/>
  <c r="E341" i="1"/>
  <c r="D341" i="1"/>
  <c r="E209" i="1"/>
  <c r="D209" i="1"/>
  <c r="D97" i="1"/>
  <c r="E97" i="1"/>
  <c r="E276" i="1"/>
  <c r="D276" i="1"/>
  <c r="E289" i="1"/>
  <c r="D289" i="1"/>
  <c r="E361" i="1"/>
  <c r="D361" i="1"/>
  <c r="D332" i="1"/>
  <c r="E332" i="1"/>
  <c r="E216" i="1"/>
  <c r="D216" i="1"/>
  <c r="D3" i="1"/>
  <c r="E3" i="1"/>
  <c r="E262" i="1"/>
  <c r="D262" i="1"/>
  <c r="E158" i="1"/>
  <c r="D158" i="1"/>
  <c r="D132" i="1"/>
  <c r="E132" i="1"/>
  <c r="D326" i="1"/>
  <c r="E326" i="1"/>
  <c r="D380" i="1"/>
  <c r="E380" i="1"/>
  <c r="E109" i="1"/>
  <c r="D109" i="1"/>
  <c r="D388" i="1"/>
  <c r="E388" i="1"/>
  <c r="E34" i="1"/>
  <c r="D34" i="1"/>
  <c r="E204" i="1"/>
  <c r="D204" i="1"/>
  <c r="E31" i="1"/>
  <c r="D31" i="1"/>
  <c r="E194" i="1"/>
  <c r="D194" i="1"/>
  <c r="E45" i="1"/>
  <c r="D45" i="1"/>
  <c r="E302" i="1"/>
  <c r="D302" i="1"/>
  <c r="D183" i="1"/>
  <c r="E183" i="1"/>
  <c r="E258" i="1"/>
  <c r="D258" i="1"/>
  <c r="E344" i="1"/>
  <c r="D344" i="1"/>
  <c r="E98" i="1"/>
  <c r="D98" i="1"/>
  <c r="E399" i="1"/>
  <c r="D399" i="1"/>
  <c r="D118" i="1"/>
  <c r="E118" i="1"/>
  <c r="E9" i="1"/>
  <c r="D9" i="1"/>
  <c r="E340" i="1"/>
  <c r="D340" i="1"/>
  <c r="E88" i="1"/>
  <c r="D88" i="1"/>
  <c r="D8" i="1"/>
  <c r="E8" i="1"/>
  <c r="D219" i="1"/>
  <c r="E219" i="1"/>
  <c r="E26" i="1"/>
  <c r="D26" i="1"/>
  <c r="E181" i="1"/>
  <c r="D181" i="1"/>
  <c r="E257" i="1"/>
  <c r="D257" i="1"/>
  <c r="E375" i="1"/>
  <c r="D375" i="1"/>
  <c r="D322" i="1"/>
  <c r="E322" i="1"/>
  <c r="D379" i="1"/>
  <c r="E379" i="1"/>
  <c r="D291" i="1"/>
  <c r="E291" i="1"/>
  <c r="E244" i="1"/>
  <c r="D244" i="1"/>
  <c r="D238" i="1"/>
  <c r="E238" i="1"/>
  <c r="D165" i="1"/>
  <c r="E165" i="1"/>
  <c r="D264" i="1"/>
  <c r="E264" i="1"/>
  <c r="D372" i="1"/>
  <c r="E372" i="1"/>
  <c r="D252" i="1"/>
  <c r="E252" i="1"/>
  <c r="E108" i="1"/>
  <c r="D108" i="1"/>
  <c r="E176" i="1"/>
  <c r="D176" i="1"/>
  <c r="E245" i="1"/>
  <c r="D245" i="1"/>
  <c r="E198" i="1"/>
  <c r="D198" i="1"/>
  <c r="E106" i="1"/>
  <c r="D106" i="1"/>
  <c r="D160" i="1"/>
  <c r="E160" i="1"/>
  <c r="E378" i="1"/>
  <c r="D378" i="1"/>
  <c r="E49" i="1"/>
  <c r="D49" i="1"/>
  <c r="D309" i="1"/>
  <c r="E309" i="1"/>
  <c r="D275" i="1"/>
  <c r="E275" i="1"/>
  <c r="D292" i="1"/>
  <c r="E292" i="1"/>
  <c r="E314" i="1"/>
  <c r="D314" i="1"/>
  <c r="D267" i="1"/>
  <c r="E267" i="1"/>
  <c r="E162" i="1"/>
  <c r="D162" i="1"/>
  <c r="D400" i="1"/>
  <c r="E400" i="1"/>
  <c r="D329" i="1"/>
  <c r="E329" i="1"/>
  <c r="D331" i="1"/>
  <c r="E331" i="1"/>
  <c r="D220" i="1"/>
  <c r="E220" i="1"/>
  <c r="E19" i="1"/>
  <c r="D19" i="1"/>
  <c r="E293" i="1"/>
  <c r="D293" i="1"/>
  <c r="E370" i="1"/>
  <c r="D370" i="1"/>
  <c r="E18" i="1"/>
  <c r="D18" i="1"/>
  <c r="D110" i="1"/>
  <c r="E110" i="1"/>
  <c r="D288" i="1"/>
  <c r="E288" i="1"/>
  <c r="D270" i="1"/>
  <c r="E270" i="1"/>
  <c r="D389" i="1"/>
  <c r="E389" i="1"/>
  <c r="E269" i="1"/>
  <c r="D269" i="1"/>
  <c r="E196" i="1"/>
  <c r="D196" i="1"/>
  <c r="D317" i="1"/>
  <c r="E317" i="1"/>
  <c r="E382" i="1"/>
  <c r="D382" i="1"/>
  <c r="E223" i="1"/>
  <c r="D223" i="1"/>
  <c r="E395" i="1"/>
  <c r="D395" i="1"/>
  <c r="D5" i="1"/>
  <c r="E5" i="1"/>
  <c r="E321" i="1"/>
  <c r="D321" i="1"/>
  <c r="D273" i="1"/>
  <c r="E273" i="1"/>
  <c r="E237" i="1"/>
  <c r="D237" i="1"/>
  <c r="D311" i="1"/>
  <c r="E311" i="1"/>
  <c r="D315" i="1"/>
  <c r="E315" i="1"/>
  <c r="E333" i="1"/>
  <c r="D333" i="1"/>
  <c r="D190" i="1"/>
  <c r="E190" i="1"/>
  <c r="E256" i="1"/>
  <c r="D256" i="1"/>
  <c r="E15" i="1"/>
  <c r="D15" i="1"/>
  <c r="D229" i="1"/>
  <c r="E229" i="1"/>
  <c r="D207" i="1"/>
  <c r="E207" i="1"/>
  <c r="E384" i="1"/>
  <c r="D384" i="1"/>
  <c r="D152" i="1"/>
  <c r="E152" i="1"/>
  <c r="E282" i="1"/>
  <c r="D282" i="1"/>
  <c r="D107" i="1"/>
  <c r="E107" i="1"/>
  <c r="E392" i="1"/>
  <c r="D392" i="1"/>
  <c r="E224" i="1"/>
  <c r="D224" i="1"/>
  <c r="E260" i="1"/>
  <c r="D260" i="1"/>
  <c r="D114" i="1"/>
  <c r="E114" i="1"/>
  <c r="D371" i="1"/>
  <c r="E371" i="1"/>
  <c r="E148" i="1"/>
  <c r="D148" i="1"/>
  <c r="E128" i="1"/>
  <c r="D128" i="1"/>
  <c r="E73" i="1"/>
  <c r="D73" i="1"/>
  <c r="E208" i="1"/>
  <c r="D208" i="1"/>
  <c r="D335" i="1"/>
  <c r="E335" i="1"/>
  <c r="D137" i="1"/>
  <c r="E137" i="1"/>
  <c r="D24" i="1"/>
  <c r="E24" i="1"/>
  <c r="D202" i="1"/>
  <c r="E202" i="1"/>
  <c r="D82" i="1"/>
  <c r="E82" i="1"/>
  <c r="E186" i="1"/>
  <c r="D186" i="1"/>
  <c r="E254" i="1"/>
  <c r="D254" i="1"/>
  <c r="E163" i="1"/>
  <c r="D163" i="1"/>
  <c r="D70" i="1"/>
  <c r="E70" i="1"/>
  <c r="D236" i="1"/>
  <c r="E236" i="1"/>
  <c r="E78" i="1"/>
  <c r="D78" i="1"/>
  <c r="E228" i="1"/>
  <c r="D228" i="1"/>
  <c r="D307" i="1"/>
  <c r="E307" i="1"/>
  <c r="E397" i="1"/>
  <c r="D397" i="1"/>
  <c r="E2" i="1"/>
  <c r="D2" i="1"/>
  <c r="E240" i="1"/>
  <c r="D240" i="1"/>
  <c r="D136" i="1"/>
  <c r="E136" i="1"/>
  <c r="E149" i="1"/>
  <c r="D149" i="1"/>
  <c r="D255" i="1"/>
  <c r="E255" i="1"/>
  <c r="D251" i="1"/>
  <c r="E251" i="1"/>
  <c r="E281" i="1"/>
  <c r="D281" i="1"/>
  <c r="D364" i="1"/>
  <c r="E364" i="1"/>
  <c r="D154" i="1"/>
  <c r="E154" i="1"/>
  <c r="D150" i="1"/>
  <c r="E150" i="1"/>
  <c r="E234" i="1"/>
  <c r="D234" i="1"/>
  <c r="D59" i="1"/>
  <c r="E59" i="1"/>
  <c r="E86" i="1"/>
  <c r="D86" i="1"/>
  <c r="D348" i="1"/>
  <c r="E348" i="1"/>
  <c r="E283" i="1"/>
  <c r="D283" i="1"/>
  <c r="D151" i="1"/>
  <c r="E151" i="1"/>
  <c r="E161" i="1"/>
  <c r="D161" i="1"/>
  <c r="D129" i="1"/>
  <c r="E129" i="1"/>
  <c r="E179" i="1"/>
  <c r="D179" i="1"/>
  <c r="E336" i="1"/>
  <c r="D336" i="1"/>
  <c r="D96" i="1"/>
  <c r="E96" i="1"/>
  <c r="E319" i="1"/>
  <c r="D319" i="1"/>
  <c r="E221" i="1"/>
  <c r="D221" i="1"/>
  <c r="D143" i="1"/>
  <c r="E143" i="1"/>
  <c r="D119" i="1"/>
  <c r="E119" i="1"/>
  <c r="D393" i="1"/>
  <c r="E393" i="1"/>
  <c r="E123" i="1"/>
  <c r="D123" i="1"/>
  <c r="E147" i="1"/>
  <c r="D147" i="1"/>
  <c r="D296" i="1"/>
  <c r="E296" i="1"/>
  <c r="D153" i="1"/>
  <c r="E153" i="1"/>
  <c r="D285" i="1"/>
  <c r="E285" i="1"/>
  <c r="E261" i="1"/>
  <c r="D261" i="1"/>
  <c r="E115" i="1"/>
  <c r="D115" i="1"/>
  <c r="E241" i="1"/>
  <c r="D241" i="1"/>
  <c r="D214" i="1"/>
  <c r="E214" i="1"/>
  <c r="D391" i="1"/>
  <c r="E391" i="1"/>
  <c r="D343" i="1"/>
  <c r="E343" i="1"/>
  <c r="D130" i="1"/>
  <c r="E130" i="1"/>
  <c r="D226" i="1"/>
  <c r="E226" i="1"/>
  <c r="E121" i="1"/>
  <c r="D121" i="1"/>
  <c r="D306" i="1"/>
  <c r="E306" i="1"/>
  <c r="D193" i="1"/>
  <c r="E193" i="1"/>
  <c r="E52" i="1"/>
  <c r="D52" i="1"/>
  <c r="E30" i="1"/>
  <c r="D30" i="1"/>
  <c r="E225" i="1"/>
  <c r="D225" i="1"/>
  <c r="E394" i="1"/>
  <c r="D394" i="1"/>
  <c r="D174" i="1"/>
  <c r="E174" i="1"/>
  <c r="E104" i="1"/>
  <c r="D104" i="1"/>
  <c r="E272" i="1"/>
  <c r="D272" i="1"/>
  <c r="E222" i="1"/>
  <c r="D222" i="1"/>
  <c r="E243" i="1"/>
  <c r="D243" i="1"/>
  <c r="E320" i="1"/>
  <c r="D320" i="1"/>
  <c r="E159" i="1"/>
  <c r="D159" i="1"/>
  <c r="E242" i="1"/>
  <c r="D242" i="1"/>
  <c r="E323" i="1"/>
  <c r="D323" i="1"/>
  <c r="D20" i="1"/>
  <c r="E20" i="1"/>
  <c r="D6" i="1"/>
  <c r="E6" i="1"/>
  <c r="D304" i="1"/>
  <c r="E304" i="1"/>
  <c r="E39" i="1"/>
  <c r="D39" i="1"/>
  <c r="D301" i="1"/>
  <c r="E301" i="1"/>
  <c r="E187" i="1"/>
  <c r="D187" i="1"/>
  <c r="E94" i="1"/>
  <c r="D94" i="1"/>
  <c r="D167" i="1"/>
  <c r="E167" i="1"/>
  <c r="E339" i="1"/>
  <c r="D339" i="1"/>
  <c r="D134" i="1"/>
  <c r="E134" i="1"/>
  <c r="E334" i="1"/>
  <c r="D334" i="1"/>
  <c r="D197" i="1"/>
  <c r="E197" i="1"/>
  <c r="E215" i="1"/>
  <c r="D215" i="1"/>
  <c r="D246" i="1"/>
  <c r="E246" i="1"/>
  <c r="E274" i="1"/>
  <c r="D274" i="1"/>
  <c r="D10" i="1"/>
  <c r="E10" i="1"/>
  <c r="E60" i="1"/>
  <c r="D60" i="1"/>
  <c r="E116" i="1"/>
  <c r="D116" i="1"/>
  <c r="E233" i="1"/>
  <c r="D233" i="1"/>
  <c r="D168" i="1"/>
  <c r="E168" i="1"/>
  <c r="E38" i="1"/>
  <c r="D38" i="1"/>
  <c r="E349" i="1"/>
  <c r="D349" i="1"/>
  <c r="D368" i="1"/>
  <c r="E368" i="1"/>
  <c r="D56" i="1"/>
  <c r="E56" i="1"/>
  <c r="E127" i="1"/>
  <c r="D127" i="1"/>
  <c r="E48" i="1"/>
  <c r="D48" i="1"/>
  <c r="E90" i="1"/>
  <c r="D90" i="1"/>
  <c r="D401" i="1"/>
  <c r="E401" i="1"/>
  <c r="E195" i="1"/>
  <c r="D195" i="1"/>
  <c r="D298" i="1"/>
  <c r="E298" i="1"/>
  <c r="D205" i="1"/>
  <c r="E205" i="1"/>
  <c r="D227" i="1"/>
  <c r="E227" i="1"/>
  <c r="D178" i="1"/>
  <c r="E178" i="1"/>
  <c r="D310" i="1"/>
  <c r="E310" i="1"/>
  <c r="D358" i="1"/>
  <c r="E358" i="1"/>
  <c r="D28" i="1"/>
  <c r="E28" i="1"/>
  <c r="D278" i="1"/>
  <c r="E278" i="1"/>
  <c r="E279" i="1"/>
  <c r="D279" i="1"/>
  <c r="E146" i="1"/>
  <c r="D146" i="1"/>
  <c r="D169" i="1"/>
  <c r="E169" i="1"/>
  <c r="D192" i="1"/>
  <c r="E192" i="1"/>
  <c r="D373" i="1"/>
  <c r="E373" i="1"/>
  <c r="E217" i="1"/>
  <c r="D217" i="1"/>
  <c r="D23" i="1"/>
  <c r="E23" i="1"/>
  <c r="D253" i="1"/>
  <c r="E253" i="1"/>
  <c r="E239" i="1"/>
  <c r="D239" i="1"/>
  <c r="E13" i="1"/>
  <c r="D13" i="1"/>
  <c r="D102" i="1"/>
  <c r="E102" i="1"/>
  <c r="D138" i="1"/>
  <c r="E138" i="1"/>
  <c r="E218" i="1"/>
  <c r="D218" i="1"/>
  <c r="E356" i="1"/>
  <c r="D356" i="1"/>
  <c r="D180" i="1"/>
  <c r="E180" i="1"/>
  <c r="D166" i="1"/>
  <c r="E166" i="1"/>
  <c r="D263" i="1"/>
  <c r="E263" i="1"/>
  <c r="D120" i="1"/>
  <c r="E120" i="1"/>
  <c r="E32" i="1"/>
  <c r="D32" i="1"/>
  <c r="E54" i="1"/>
  <c r="D54" i="1"/>
  <c r="E199" i="1"/>
  <c r="D199" i="1"/>
  <c r="D11" i="1"/>
  <c r="E11" i="1"/>
  <c r="D4" i="1"/>
  <c r="E4" i="1"/>
  <c r="E402" i="1"/>
  <c r="D402" i="1"/>
  <c r="E29" i="1"/>
  <c r="D29" i="1"/>
  <c r="E51" i="1"/>
  <c r="D51" i="1"/>
  <c r="E87" i="1"/>
  <c r="D87" i="1"/>
  <c r="D366" i="1"/>
  <c r="E366" i="1"/>
  <c r="D144" i="1"/>
  <c r="E144" i="1"/>
  <c r="E171" i="1"/>
  <c r="D171" i="1"/>
  <c r="E170" i="1"/>
  <c r="D170" i="1"/>
  <c r="D17" i="1"/>
  <c r="E17" i="1"/>
  <c r="D92" i="1"/>
  <c r="E92" i="1"/>
  <c r="D342" i="1"/>
  <c r="E342" i="1"/>
  <c r="D330" i="1"/>
  <c r="E330" i="1"/>
  <c r="E117" i="1"/>
  <c r="D117" i="1"/>
  <c r="E360" i="1"/>
  <c r="D360" i="1"/>
  <c r="D353" i="1"/>
  <c r="E353" i="1"/>
  <c r="D133" i="1"/>
  <c r="E133" i="1"/>
  <c r="D131" i="1"/>
  <c r="E131" i="1"/>
  <c r="E67" i="1"/>
  <c r="D67" i="1"/>
  <c r="D75" i="1"/>
  <c r="E75" i="1"/>
  <c r="D325" i="1"/>
  <c r="E325" i="1"/>
  <c r="E103" i="1"/>
  <c r="D103" i="1"/>
  <c r="D248" i="1"/>
  <c r="E248" i="1"/>
  <c r="E139" i="1"/>
  <c r="D139" i="1"/>
  <c r="D327" i="1"/>
  <c r="E327" i="1"/>
  <c r="E124" i="1"/>
  <c r="D124" i="1"/>
  <c r="D135" i="1"/>
  <c r="E135" i="1"/>
  <c r="D365" i="1"/>
  <c r="E365" i="1"/>
  <c r="E300" i="1"/>
  <c r="D300" i="1"/>
  <c r="E41" i="1"/>
  <c r="D41" i="1"/>
  <c r="E89" i="1"/>
  <c r="D89" i="1"/>
  <c r="E164" i="1"/>
  <c r="D164" i="1"/>
  <c r="E175" i="1"/>
  <c r="D175" i="1"/>
  <c r="D357" i="1"/>
  <c r="E357" i="1"/>
  <c r="D83" i="1"/>
  <c r="E83" i="1"/>
  <c r="D268" i="1"/>
  <c r="E268" i="1"/>
  <c r="D337" i="1"/>
  <c r="E337" i="1"/>
  <c r="E68" i="1"/>
  <c r="D68" i="1"/>
  <c r="E211" i="1"/>
  <c r="D211" i="1"/>
  <c r="D36" i="1"/>
  <c r="E36" i="1"/>
  <c r="D35" i="1"/>
  <c r="E35" i="1"/>
  <c r="D64" i="1"/>
  <c r="E64" i="1"/>
  <c r="D363" i="1"/>
  <c r="E363" i="1"/>
  <c r="D376" i="1"/>
  <c r="E376" i="1"/>
  <c r="E99" i="1"/>
  <c r="D99" i="1"/>
  <c r="D100" i="1"/>
  <c r="E100" i="1"/>
  <c r="D74" i="1"/>
  <c r="E74" i="1"/>
  <c r="E58" i="1"/>
  <c r="D58" i="1"/>
  <c r="E62" i="1"/>
  <c r="D62" i="1"/>
  <c r="E40" i="1"/>
  <c r="D40" i="1"/>
  <c r="D156" i="1"/>
  <c r="E156" i="1"/>
  <c r="E14" i="1"/>
  <c r="D14" i="1"/>
  <c r="E324" i="1"/>
  <c r="D324" i="1"/>
  <c r="D303" i="1"/>
  <c r="E303" i="1"/>
  <c r="E113" i="1"/>
  <c r="D113" i="1"/>
  <c r="E142" i="1"/>
  <c r="D142" i="1"/>
  <c r="D69" i="1"/>
  <c r="E69" i="1"/>
  <c r="D213" i="1"/>
  <c r="E213" i="1"/>
  <c r="E122" i="1"/>
  <c r="D122" i="1"/>
  <c r="D284" i="1"/>
  <c r="E284" i="1"/>
  <c r="D396" i="1"/>
  <c r="E396" i="1"/>
  <c r="E112" i="1"/>
  <c r="D112" i="1"/>
  <c r="E374" i="1"/>
  <c r="D374" i="1"/>
  <c r="D210" i="1"/>
  <c r="E210" i="1"/>
  <c r="D308" i="1"/>
  <c r="E308" i="1"/>
  <c r="D57" i="1"/>
  <c r="E57" i="1"/>
  <c r="E203" i="1"/>
  <c r="D203" i="1"/>
  <c r="D387" i="1"/>
  <c r="E387" i="1"/>
  <c r="D71" i="1"/>
  <c r="E71" i="1"/>
  <c r="D345" i="1"/>
  <c r="E345" i="1"/>
  <c r="D157" i="1"/>
  <c r="E157" i="1"/>
  <c r="E184" i="1"/>
  <c r="D184" i="1"/>
  <c r="D43" i="1"/>
  <c r="E43" i="1"/>
  <c r="E182" i="1"/>
  <c r="D182" i="1"/>
  <c r="E141" i="1"/>
  <c r="D141" i="1"/>
  <c r="E346" i="1"/>
  <c r="D346" i="1"/>
  <c r="E95" i="1"/>
  <c r="D95" i="1"/>
  <c r="E7" i="1"/>
  <c r="D7" i="1"/>
  <c r="D313" i="1"/>
  <c r="E313" i="1"/>
  <c r="E126" i="1"/>
  <c r="D126" i="1"/>
  <c r="E46" i="1"/>
  <c r="D46" i="1"/>
  <c r="E280" i="1"/>
  <c r="D280" i="1"/>
  <c r="D367" i="1"/>
  <c r="E367" i="1"/>
  <c r="E362" i="1"/>
  <c r="D362" i="1"/>
  <c r="E297" i="1"/>
  <c r="D297" i="1"/>
  <c r="D305" i="1"/>
  <c r="E305" i="1"/>
  <c r="D77" i="1"/>
  <c r="E77" i="1"/>
  <c r="D235" i="1"/>
  <c r="E235" i="1"/>
  <c r="E377" i="1"/>
  <c r="D377" i="1"/>
  <c r="D185" i="1"/>
  <c r="E185" i="1"/>
  <c r="E359" i="1"/>
  <c r="D359" i="1"/>
  <c r="D79" i="1"/>
  <c r="E79" i="1"/>
  <c r="D172" i="1"/>
  <c r="E172" i="1"/>
  <c r="D173" i="1"/>
  <c r="E173" i="1"/>
  <c r="D63" i="1"/>
  <c r="E63" i="1"/>
  <c r="E383" i="1"/>
  <c r="D383" i="1"/>
  <c r="D347" i="1"/>
  <c r="E347" i="1"/>
  <c r="E328" i="1"/>
  <c r="D328" i="1"/>
  <c r="E271" i="1"/>
  <c r="D271" i="1"/>
  <c r="D381" i="1"/>
  <c r="E381" i="1"/>
  <c r="E398" i="1"/>
  <c r="D398" i="1"/>
  <c r="E145" i="1"/>
  <c r="D145" i="1"/>
  <c r="D230" i="1"/>
  <c r="E230" i="1"/>
  <c r="E295" i="1"/>
  <c r="D295" i="1"/>
  <c r="D111" i="1"/>
  <c r="E111" i="1"/>
  <c r="E80" i="1"/>
  <c r="D80" i="1"/>
  <c r="E201" i="1"/>
  <c r="D201" i="1"/>
  <c r="D247" i="1"/>
  <c r="E247" i="1"/>
  <c r="D155" i="1"/>
  <c r="E155" i="1"/>
  <c r="D385" i="1"/>
  <c r="E385" i="1"/>
  <c r="D140" i="1"/>
  <c r="E140" i="1"/>
  <c r="D37" i="1"/>
  <c r="E37" i="1"/>
  <c r="E50" i="1"/>
  <c r="D50" i="1"/>
  <c r="E25" i="1"/>
  <c r="D25" i="1"/>
  <c r="D290" i="1"/>
  <c r="E290" i="1"/>
  <c r="D316" i="1"/>
  <c r="E316" i="1"/>
  <c r="E177" i="1"/>
  <c r="D177" i="1"/>
  <c r="D259" i="1"/>
  <c r="E259" i="1"/>
  <c r="E355" i="1"/>
  <c r="D355" i="1"/>
  <c r="D312" i="1"/>
  <c r="E312" i="1"/>
  <c r="D22" i="1"/>
  <c r="E22" i="1"/>
  <c r="E47" i="1"/>
  <c r="D47" i="1"/>
  <c r="E125" i="1"/>
  <c r="D125" i="1"/>
  <c r="D212" i="1"/>
  <c r="E212" i="1"/>
  <c r="D93" i="1"/>
  <c r="E93" i="1"/>
  <c r="D249" i="1"/>
  <c r="E249" i="1"/>
  <c r="D265" i="1"/>
  <c r="E265" i="1"/>
  <c r="E33" i="1"/>
  <c r="D33" i="1"/>
  <c r="D188" i="1"/>
  <c r="E188" i="1"/>
  <c r="D250" i="1"/>
  <c r="E250" i="1"/>
  <c r="D16" i="1"/>
  <c r="E16" i="1"/>
  <c r="D105" i="1"/>
  <c r="E105" i="1"/>
  <c r="D277" i="1"/>
  <c r="E277" i="1"/>
  <c r="E55" i="1"/>
  <c r="D55" i="1"/>
  <c r="D287" i="1"/>
  <c r="E287" i="1"/>
  <c r="E318" i="1"/>
  <c r="D318" i="1"/>
  <c r="E44" i="1"/>
  <c r="D44" i="1"/>
  <c r="D84" i="1"/>
  <c r="E84" i="1"/>
  <c r="D21" i="1"/>
  <c r="E21" i="1"/>
  <c r="D351" i="1"/>
  <c r="E351" i="1"/>
  <c r="D200" i="1"/>
  <c r="E200" i="1"/>
  <c r="D352" i="1"/>
  <c r="E352" i="1"/>
  <c r="D189" i="1"/>
  <c r="E189" i="1"/>
  <c r="E85" i="1"/>
  <c r="D85" i="1"/>
  <c r="E91" i="1"/>
  <c r="D91" i="1"/>
  <c r="E266" i="1"/>
  <c r="D266" i="1"/>
  <c r="E101" i="1"/>
  <c r="D101" i="1"/>
  <c r="D386" i="1"/>
  <c r="E386" i="1"/>
  <c r="D65" i="1"/>
  <c r="E65" i="1"/>
  <c r="E354" i="1"/>
  <c r="D354" i="1"/>
  <c r="E231" i="1"/>
  <c r="D231" i="1"/>
  <c r="D27" i="1"/>
  <c r="E27" i="1"/>
  <c r="D12" i="1"/>
  <c r="E12" i="1"/>
  <c r="D369" i="1"/>
  <c r="E369" i="1"/>
  <c r="D72" i="1"/>
  <c r="E72" i="1"/>
  <c r="D286" i="1"/>
  <c r="E286" i="1"/>
  <c r="D81" i="1"/>
  <c r="E81" i="1"/>
  <c r="E42" i="1"/>
  <c r="D42" i="1"/>
  <c r="B261" i="3"/>
  <c r="B390" i="3"/>
  <c r="B263" i="3"/>
  <c r="B265" i="3"/>
  <c r="B227" i="3"/>
  <c r="B264" i="3"/>
  <c r="I264" i="1" a="1"/>
  <c r="I265" i="1" a="1"/>
  <c r="I263" i="1" a="1"/>
  <c r="B260" i="1" a="1"/>
  <c r="I260" i="1" a="1"/>
  <c r="B264" i="1" a="1"/>
  <c r="B227" i="1" a="1"/>
  <c r="B262" i="1" a="1"/>
  <c r="I262" i="1" a="1"/>
  <c r="B263" i="1" a="1"/>
  <c r="I390" i="1" a="1"/>
  <c r="I261" i="1" a="1"/>
  <c r="B261" i="1" a="1"/>
  <c r="I227" i="1" a="1"/>
  <c r="B265" i="1" a="1"/>
  <c r="B390" i="1" a="1"/>
  <c r="B263" i="1" l="1"/>
  <c r="B227" i="1"/>
  <c r="I390" i="1"/>
  <c r="I264" i="1"/>
  <c r="I261" i="1"/>
  <c r="B390" i="1"/>
  <c r="I263" i="1"/>
  <c r="B264" i="1"/>
  <c r="I265" i="1"/>
  <c r="B261" i="1"/>
  <c r="I260" i="1"/>
  <c r="I262" i="1"/>
  <c r="B265" i="1"/>
  <c r="I227" i="1"/>
  <c r="B262" i="1"/>
  <c r="B260" i="1"/>
  <c r="B226" i="1" a="1"/>
  <c r="I226" i="1" a="1"/>
  <c r="B226" i="1" l="1"/>
  <c r="I22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<sst xmlns="http://schemas.openxmlformats.org/spreadsheetml/2006/main" count="3647" uniqueCount="828">
  <si>
    <t>TAG</t>
  </si>
  <si>
    <t>Price</t>
  </si>
  <si>
    <t>PubDate</t>
  </si>
  <si>
    <t>STATYEAR</t>
  </si>
  <si>
    <t>STATMONTH</t>
  </si>
  <si>
    <t>Symbol</t>
  </si>
  <si>
    <t>Price range</t>
  </si>
  <si>
    <t>Date range</t>
  </si>
  <si>
    <t>Previous date range check</t>
  </si>
  <si>
    <t>PAAB</t>
  </si>
  <si>
    <t>FP-PNL-0219</t>
  </si>
  <si>
    <t>Low</t>
  </si>
  <si>
    <t>Latest Publication Date</t>
  </si>
  <si>
    <t>PAAC</t>
  </si>
  <si>
    <t>FP-PNL-0220</t>
  </si>
  <si>
    <t>PAAD</t>
  </si>
  <si>
    <t>FP-PNL-0221</t>
  </si>
  <si>
    <t>PAAE</t>
  </si>
  <si>
    <t>FP-PNL-0223</t>
  </si>
  <si>
    <t>PAAF</t>
  </si>
  <si>
    <t>FP-PNL-0225</t>
  </si>
  <si>
    <t>PAAG</t>
  </si>
  <si>
    <t>FP-PNL-0243</t>
  </si>
  <si>
    <t>PAAH</t>
  </si>
  <si>
    <t>FP-PNL-0244</t>
  </si>
  <si>
    <t>PAAI</t>
  </si>
  <si>
    <t>FP-PNL-0245</t>
  </si>
  <si>
    <t>PAAJ</t>
  </si>
  <si>
    <t>FP-PNL-0246</t>
  </si>
  <si>
    <t>PAAK</t>
  </si>
  <si>
    <t>FP-PNL-0247</t>
  </si>
  <si>
    <t>PAAL</t>
  </si>
  <si>
    <t>FP-PNL-0263</t>
  </si>
  <si>
    <t>PAAM</t>
  </si>
  <si>
    <t>FP-PNL-0264</t>
  </si>
  <si>
    <t>PAAN</t>
  </si>
  <si>
    <t>FP-PNL-0265</t>
  </si>
  <si>
    <t>PAAO</t>
  </si>
  <si>
    <t>FP-PNL-0266</t>
  </si>
  <si>
    <t>PAAP</t>
  </si>
  <si>
    <t>FP-PNL-0267</t>
  </si>
  <si>
    <t>PAAR</t>
  </si>
  <si>
    <t>FP-PNL-0027</t>
  </si>
  <si>
    <t>PAAS</t>
  </si>
  <si>
    <t>FP-PNL-0028</t>
  </si>
  <si>
    <t>PAAT</t>
  </si>
  <si>
    <t>FP-PNL-0029</t>
  </si>
  <si>
    <t>PAAU</t>
  </si>
  <si>
    <t>FP-PNL-0030</t>
  </si>
  <si>
    <t>PAAV</t>
  </si>
  <si>
    <t>FP-PNL-0031</t>
  </si>
  <si>
    <t>PAAW</t>
  </si>
  <si>
    <t>FP-PNL-0032</t>
  </si>
  <si>
    <t>PAAX</t>
  </si>
  <si>
    <t>FP-PNL-0045</t>
  </si>
  <si>
    <t>PAAY</t>
  </si>
  <si>
    <t>FP-PNL-0050</t>
  </si>
  <si>
    <t>PAAZ</t>
  </si>
  <si>
    <t>FP-PNL-0137</t>
  </si>
  <si>
    <t>PABA</t>
  </si>
  <si>
    <t>FP-PNL-0127</t>
  </si>
  <si>
    <t>PABB</t>
  </si>
  <si>
    <t>FP-PNL-0142</t>
  </si>
  <si>
    <t>PABC</t>
  </si>
  <si>
    <t>FP-PNL-0147</t>
  </si>
  <si>
    <t>PABD</t>
  </si>
  <si>
    <t>FP-PNL-0132</t>
  </si>
  <si>
    <t>PABE</t>
  </si>
  <si>
    <t>FP-PNL-0055</t>
  </si>
  <si>
    <t>PABG</t>
  </si>
  <si>
    <t>FP-PNL-0222</t>
  </si>
  <si>
    <t>PABH</t>
  </si>
  <si>
    <t>FP-PNL-0224</t>
  </si>
  <si>
    <t>PABI</t>
  </si>
  <si>
    <t>FP-PNL-0248</t>
  </si>
  <si>
    <t>PABJ</t>
  </si>
  <si>
    <t>FP-PNL-0249</t>
  </si>
  <si>
    <t>PABK</t>
  </si>
  <si>
    <t>FP-PNL-0250</t>
  </si>
  <si>
    <t>PABL</t>
  </si>
  <si>
    <t>FP-PNL-0251</t>
  </si>
  <si>
    <t>PABM</t>
  </si>
  <si>
    <t>FP-PNL-0252</t>
  </si>
  <si>
    <t>PABW</t>
  </si>
  <si>
    <t>FP-PNL-0046</t>
  </si>
  <si>
    <t>PABX</t>
  </si>
  <si>
    <t>FP-PNL-0051</t>
  </si>
  <si>
    <t>PABY</t>
  </si>
  <si>
    <t>FP-PNL-0138</t>
  </si>
  <si>
    <t>PABZ</t>
  </si>
  <si>
    <t>FP-PNL-0128</t>
  </si>
  <si>
    <t>PACA</t>
  </si>
  <si>
    <t>FP-PNL-0143</t>
  </si>
  <si>
    <t>PACB</t>
  </si>
  <si>
    <t>FP-PNL-0148</t>
  </si>
  <si>
    <t>PACC</t>
  </si>
  <si>
    <t>FP-PNL-0133</t>
  </si>
  <si>
    <t>PACD</t>
  </si>
  <si>
    <t>FP-PNL-0056</t>
  </si>
  <si>
    <t>PACL</t>
  </si>
  <si>
    <t>FP-PNL-0253</t>
  </si>
  <si>
    <t>PACM</t>
  </si>
  <si>
    <t>FP-PNL-0254</t>
  </si>
  <si>
    <t>PACN</t>
  </si>
  <si>
    <t>FP-PNL-0255</t>
  </si>
  <si>
    <t>PACO</t>
  </si>
  <si>
    <t>FP-PNL-0256</t>
  </si>
  <si>
    <t>PACP</t>
  </si>
  <si>
    <t>FP-PNL-0257</t>
  </si>
  <si>
    <t>PACR</t>
  </si>
  <si>
    <t>FP-PNL-0109</t>
  </si>
  <si>
    <t>PACS</t>
  </si>
  <si>
    <t>FP-PNL-0110</t>
  </si>
  <si>
    <t>PACT</t>
  </si>
  <si>
    <t>FP-PNL-0111</t>
  </si>
  <si>
    <t>PACU</t>
  </si>
  <si>
    <t>FP-PNL-0112</t>
  </si>
  <si>
    <t>PACV</t>
  </si>
  <si>
    <t>FP-PNL-0113</t>
  </si>
  <si>
    <t>PACW</t>
  </si>
  <si>
    <t>FP-PNL-0114</t>
  </si>
  <si>
    <t>PACX</t>
  </si>
  <si>
    <t>FP-PNL-0047</t>
  </si>
  <si>
    <t>PACY</t>
  </si>
  <si>
    <t>FP-PNL-0052</t>
  </si>
  <si>
    <t>PACZ</t>
  </si>
  <si>
    <t>FP-PNL-0139</t>
  </si>
  <si>
    <t>PADA</t>
  </si>
  <si>
    <t>FP-PNL-0129</t>
  </si>
  <si>
    <t>PADB</t>
  </si>
  <si>
    <t>FP-PNL-0144</t>
  </si>
  <si>
    <t>PADC</t>
  </si>
  <si>
    <t>FP-PNL-0149</t>
  </si>
  <si>
    <t>PADD</t>
  </si>
  <si>
    <t>FP-PNL-0134</t>
  </si>
  <si>
    <t>PADE</t>
  </si>
  <si>
    <t>FP-PNL-0057</t>
  </si>
  <si>
    <t>PADH</t>
  </si>
  <si>
    <t>FP-PNL-0227</t>
  </si>
  <si>
    <t>PADI</t>
  </si>
  <si>
    <t>FP-PNL-0228</t>
  </si>
  <si>
    <t>PADJ</t>
  </si>
  <si>
    <t>FP-PNL-0229</t>
  </si>
  <si>
    <t>PADK</t>
  </si>
  <si>
    <t>FP-PNL-0230</t>
  </si>
  <si>
    <t>PADL</t>
  </si>
  <si>
    <t>FP-PNL-0258</t>
  </si>
  <si>
    <t>PADM</t>
  </si>
  <si>
    <t>FP-PNL-0259</t>
  </si>
  <si>
    <t>PADN</t>
  </si>
  <si>
    <t>FP-PNL-0260</t>
  </si>
  <si>
    <t>PADO</t>
  </si>
  <si>
    <t>FP-PNL-0261</t>
  </si>
  <si>
    <t>PADP</t>
  </si>
  <si>
    <t>FP-PNL-0262</t>
  </si>
  <si>
    <t>PADR</t>
  </si>
  <si>
    <t>FP-PNL-0115</t>
  </si>
  <si>
    <t>PADS</t>
  </si>
  <si>
    <t>FP-PNL-0116</t>
  </si>
  <si>
    <t>PADT</t>
  </si>
  <si>
    <t>FP-PNL-0117</t>
  </si>
  <si>
    <t>PADU</t>
  </si>
  <si>
    <t>FP-PNL-0118</t>
  </si>
  <si>
    <t>PADV</t>
  </si>
  <si>
    <t>FP-PNL-0119</t>
  </si>
  <si>
    <t>PADW</t>
  </si>
  <si>
    <t>FP-PNL-0120</t>
  </si>
  <si>
    <t>PADX</t>
  </si>
  <si>
    <t>FP-PNL-0048</t>
  </si>
  <si>
    <t>PADY</t>
  </si>
  <si>
    <t>FP-PNL-0053</t>
  </si>
  <si>
    <t>PADZ</t>
  </si>
  <si>
    <t>FP-PNL-0140</t>
  </si>
  <si>
    <t>PAEA</t>
  </si>
  <si>
    <t>FP-PNL-0130</t>
  </si>
  <si>
    <t>PAEB</t>
  </si>
  <si>
    <t>FP-PNL-0145</t>
  </si>
  <si>
    <t>PAEC</t>
  </si>
  <si>
    <t>FP-PNL-0150</t>
  </si>
  <si>
    <t>PAED</t>
  </si>
  <si>
    <t>FP-PNL-0135</t>
  </si>
  <si>
    <t>PAEE</t>
  </si>
  <si>
    <t>FP-PNL-0059</t>
  </si>
  <si>
    <t>FP-PNL-0231</t>
  </si>
  <si>
    <t>FP-PNL-0232</t>
  </si>
  <si>
    <t>FP-PNL-0233</t>
  </si>
  <si>
    <t>FP-PNL-0234</t>
  </si>
  <si>
    <t>PAEQ</t>
  </si>
  <si>
    <t>FP-PNL-0049</t>
  </si>
  <si>
    <t>PAER</t>
  </si>
  <si>
    <t>FP-PNL-0054</t>
  </si>
  <si>
    <t>PAES</t>
  </si>
  <si>
    <t>FP-PNL-0141</t>
  </si>
  <si>
    <t>PAET</t>
  </si>
  <si>
    <t>FP-PNL-0131</t>
  </si>
  <si>
    <t>PAEU</t>
  </si>
  <si>
    <t>FP-PNL-0146</t>
  </si>
  <si>
    <t>PAEV</t>
  </si>
  <si>
    <t>FP-PNL-0151</t>
  </si>
  <si>
    <t>PAEW</t>
  </si>
  <si>
    <t>FP-PNL-0136</t>
  </si>
  <si>
    <t>PAEX</t>
  </si>
  <si>
    <t>FP-PNL-0060</t>
  </si>
  <si>
    <t>PAEZ</t>
  </si>
  <si>
    <t>FP-PNL-0235</t>
  </si>
  <si>
    <t>PAFA</t>
  </si>
  <si>
    <t>FP-PNL-0236</t>
  </si>
  <si>
    <t>PAFB</t>
  </si>
  <si>
    <t>FP-PNL-0237</t>
  </si>
  <si>
    <t>PAFC</t>
  </si>
  <si>
    <t>FP-PNL-0238</t>
  </si>
  <si>
    <t>PAFI</t>
  </si>
  <si>
    <t>FP-PNL-0268</t>
  </si>
  <si>
    <t>PAFJ</t>
  </si>
  <si>
    <t>FP-PNL-0269</t>
  </si>
  <si>
    <t>PAFK</t>
  </si>
  <si>
    <t>FP-PNL-0270</t>
  </si>
  <si>
    <t>PAFO</t>
  </si>
  <si>
    <t>FP-PNL-0085</t>
  </si>
  <si>
    <t>PAFP</t>
  </si>
  <si>
    <t>FP-PNL-0086</t>
  </si>
  <si>
    <t>PAFQ</t>
  </si>
  <si>
    <t>FP-PNL-0087</t>
  </si>
  <si>
    <t>PAFR</t>
  </si>
  <si>
    <t>FP-PNL-0088</t>
  </si>
  <si>
    <t>PAFS</t>
  </si>
  <si>
    <t>FP-PNL-0089</t>
  </si>
  <si>
    <t>PAFT</t>
  </si>
  <si>
    <t>FP-PNL-0090</t>
  </si>
  <si>
    <t>PAFV</t>
  </si>
  <si>
    <t>FP-PNL-0239</t>
  </si>
  <si>
    <t>PAFX</t>
  </si>
  <si>
    <t>FP-PNL-0240</t>
  </si>
  <si>
    <t>PAFY</t>
  </si>
  <si>
    <t>FP-PNL-0241</t>
  </si>
  <si>
    <t>PAFZ</t>
  </si>
  <si>
    <t>FP-PNL-0242</t>
  </si>
  <si>
    <t>PAGF</t>
  </si>
  <si>
    <t>FP-PNL-0271</t>
  </si>
  <si>
    <t>PAGG</t>
  </si>
  <si>
    <t>FP-PNL-0272</t>
  </si>
  <si>
    <t>PAGH</t>
  </si>
  <si>
    <t>FP-PNL-0273</t>
  </si>
  <si>
    <t>PAGP</t>
  </si>
  <si>
    <t>FP-PNL-0153</t>
  </si>
  <si>
    <t>PAGQ</t>
  </si>
  <si>
    <t>FP-PNL-0154</t>
  </si>
  <si>
    <t>PAGR</t>
  </si>
  <si>
    <t>FP-PNL-0155</t>
  </si>
  <si>
    <t>PAGS</t>
  </si>
  <si>
    <t>FP-PNL-0156</t>
  </si>
  <si>
    <t>PAGT</t>
  </si>
  <si>
    <t>FP-PNL-0157</t>
  </si>
  <si>
    <t>PAGU</t>
  </si>
  <si>
    <t>FP-PNL-0183</t>
  </si>
  <si>
    <t>PAGV</t>
  </si>
  <si>
    <t>FP-PNL-0184</t>
  </si>
  <si>
    <t>PAGW</t>
  </si>
  <si>
    <t>FP-PNL-0185</t>
  </si>
  <si>
    <t>PAGX</t>
  </si>
  <si>
    <t>FP-PNL-0186</t>
  </si>
  <si>
    <t>PAGY</t>
  </si>
  <si>
    <t>FP-PNL-0187</t>
  </si>
  <si>
    <t>PAGZ</t>
  </si>
  <si>
    <t>FP-PNL-0213</t>
  </si>
  <si>
    <t>PAHA</t>
  </si>
  <si>
    <t>FP-PNL-0214</t>
  </si>
  <si>
    <t>PAHB</t>
  </si>
  <si>
    <t>FP-PNL-0215</t>
  </si>
  <si>
    <t>PAHC</t>
  </si>
  <si>
    <t>FP-PNL-0301</t>
  </si>
  <si>
    <t>PAHD</t>
  </si>
  <si>
    <t>FP-PNL-0302</t>
  </si>
  <si>
    <t>PAHE</t>
  </si>
  <si>
    <t>FP-PNL-0303</t>
  </si>
  <si>
    <t>PAHF</t>
  </si>
  <si>
    <t>FP-PNL-0304</t>
  </si>
  <si>
    <t>FP-PNL-0287</t>
  </si>
  <si>
    <t>FP-PNL-0299</t>
  </si>
  <si>
    <t>PAHJ</t>
  </si>
  <si>
    <t>FP-PNL-0158</t>
  </si>
  <si>
    <t>PAHK</t>
  </si>
  <si>
    <t>FP-PNL-0159</t>
  </si>
  <si>
    <t>PAHL</t>
  </si>
  <si>
    <t>FP-PNL-0160</t>
  </si>
  <si>
    <t>PAHM</t>
  </si>
  <si>
    <t>FP-PNL-0161</t>
  </si>
  <si>
    <t>PAHN</t>
  </si>
  <si>
    <t>FP-PNL-0162</t>
  </si>
  <si>
    <t>PAHO</t>
  </si>
  <si>
    <t>FP-PNL-0188</t>
  </si>
  <si>
    <t>PAHP</t>
  </si>
  <si>
    <t>FP-PNL-0189</t>
  </si>
  <si>
    <t>PAHQ</t>
  </si>
  <si>
    <t>FP-PNL-0190</t>
  </si>
  <si>
    <t>PAHR</t>
  </si>
  <si>
    <t>FP-PNL-0191</t>
  </si>
  <si>
    <t>PAHS</t>
  </si>
  <si>
    <t>FP-PNL-0192</t>
  </si>
  <si>
    <t>PAHT</t>
  </si>
  <si>
    <t>FP-PNL-0216</t>
  </si>
  <si>
    <t>PAHU</t>
  </si>
  <si>
    <t>FP-PNL-0217</t>
  </si>
  <si>
    <t>PAHV</t>
  </si>
  <si>
    <t>FP-PNL-0218</t>
  </si>
  <si>
    <t>PAHW</t>
  </si>
  <si>
    <t>FP-PNL-0305</t>
  </si>
  <si>
    <t>PAHX</t>
  </si>
  <si>
    <t>FP-PNL-0306</t>
  </si>
  <si>
    <t>PAHY</t>
  </si>
  <si>
    <t>FP-PNL-0307</t>
  </si>
  <si>
    <t>PAHZ</t>
  </si>
  <si>
    <t>FP-PNL-0308</t>
  </si>
  <si>
    <t>FP-PNL-0290</t>
  </si>
  <si>
    <t>FP-PNL-0300</t>
  </si>
  <si>
    <t>PAID</t>
  </si>
  <si>
    <t>FP-PNL-0163</t>
  </si>
  <si>
    <t>PAIE</t>
  </si>
  <si>
    <t>FP-PNL-0164</t>
  </si>
  <si>
    <t>PAIF</t>
  </si>
  <si>
    <t>FP-PNL-0165</t>
  </si>
  <si>
    <t>PAIG</t>
  </si>
  <si>
    <t>FP-PNL-0166</t>
  </si>
  <si>
    <t>PAIH</t>
  </si>
  <si>
    <t>FP-PNL-0167</t>
  </si>
  <si>
    <t>PAII</t>
  </si>
  <si>
    <t>FP-PNL-0193</t>
  </si>
  <si>
    <t>PAIJ</t>
  </si>
  <si>
    <t>FP-PNL-0194</t>
  </si>
  <si>
    <t>PAIK</t>
  </si>
  <si>
    <t>FP-PNL-0195</t>
  </si>
  <si>
    <t>PAIL</t>
  </si>
  <si>
    <t>FP-PNL-0196</t>
  </si>
  <si>
    <t>PAIM</t>
  </si>
  <si>
    <t>FP-PNL-0197</t>
  </si>
  <si>
    <t>PAIN</t>
  </si>
  <si>
    <t>FP-PNL-0310</t>
  </si>
  <si>
    <t>PAIO</t>
  </si>
  <si>
    <t>FP-PNL-0311</t>
  </si>
  <si>
    <t>PAIP</t>
  </si>
  <si>
    <t>FP-PNL-0312</t>
  </si>
  <si>
    <t>PAIQ</t>
  </si>
  <si>
    <t>FP-PNL-0313</t>
  </si>
  <si>
    <t>PAIR</t>
  </si>
  <si>
    <t>FP-PNL-0314</t>
  </si>
  <si>
    <t>FP-PNL-0293</t>
  </si>
  <si>
    <t>PAIW</t>
  </si>
  <si>
    <t>FP-PNL-0168</t>
  </si>
  <si>
    <t>PAIX</t>
  </si>
  <si>
    <t>FP-PNL-0169</t>
  </si>
  <si>
    <t>PAIY</t>
  </si>
  <si>
    <t>FP-PNL-0170</t>
  </si>
  <si>
    <t>PAIZ</t>
  </si>
  <si>
    <t>FP-PNL-0171</t>
  </si>
  <si>
    <t>PAJA</t>
  </si>
  <si>
    <t>FP-PNL-0172</t>
  </si>
  <si>
    <t>PAJB</t>
  </si>
  <si>
    <t>FP-PNL-0198</t>
  </si>
  <si>
    <t>PAJC</t>
  </si>
  <si>
    <t>FP-PNL-0199</t>
  </si>
  <si>
    <t>PAJD</t>
  </si>
  <si>
    <t>FP-PNL-0200</t>
  </si>
  <si>
    <t>PAJE</t>
  </si>
  <si>
    <t>FP-PNL-0201</t>
  </si>
  <si>
    <t>PAJF</t>
  </si>
  <si>
    <t>FP-PNL-0202</t>
  </si>
  <si>
    <t>PAJG</t>
  </si>
  <si>
    <t>FP-PNL-0316</t>
  </si>
  <si>
    <t>PAJH</t>
  </si>
  <si>
    <t>FP-PNL-0317</t>
  </si>
  <si>
    <t>PAJI</t>
  </si>
  <si>
    <t>FP-PNL-0318</t>
  </si>
  <si>
    <t>PAJJ</t>
  </si>
  <si>
    <t>FP-PNL-0319</t>
  </si>
  <si>
    <t>PAJK</t>
  </si>
  <si>
    <t>FP-PNL-0320</t>
  </si>
  <si>
    <t>FP-PNL-0296</t>
  </si>
  <si>
    <t>PAJP</t>
  </si>
  <si>
    <t>FP-PNL-0173</t>
  </si>
  <si>
    <t>PAJQ</t>
  </si>
  <si>
    <t>FP-PNL-0174</t>
  </si>
  <si>
    <t>PAJR</t>
  </si>
  <si>
    <t>FP-PNL-0175</t>
  </si>
  <si>
    <t>PAJS</t>
  </si>
  <si>
    <t>FP-PNL-0176</t>
  </si>
  <si>
    <t>PAJT</t>
  </si>
  <si>
    <t>FP-PNL-0177</t>
  </si>
  <si>
    <t>PAJU</t>
  </si>
  <si>
    <t>FP-PNL-0321</t>
  </si>
  <si>
    <t>PAJV</t>
  </si>
  <si>
    <t>FP-PNL-0322</t>
  </si>
  <si>
    <t>PAJW</t>
  </si>
  <si>
    <t>FP-PNL-0323</t>
  </si>
  <si>
    <t>PAJX</t>
  </si>
  <si>
    <t>FP-PNL-0324</t>
  </si>
  <si>
    <t>PAJZ</t>
  </si>
  <si>
    <t>FP-PNL-0178</t>
  </si>
  <si>
    <t>PAKA</t>
  </si>
  <si>
    <t>FP-PNL-0179</t>
  </si>
  <si>
    <t>PAKB</t>
  </si>
  <si>
    <t>FP-PNL-0180</t>
  </si>
  <si>
    <t>PAKC</t>
  </si>
  <si>
    <t>FP-PNL-0181</t>
  </si>
  <si>
    <t>PAKD</t>
  </si>
  <si>
    <t>FP-PNL-0182</t>
  </si>
  <si>
    <t>PAKE</t>
  </si>
  <si>
    <t>FP-PNL-0203</t>
  </si>
  <si>
    <t>PAKF</t>
  </si>
  <si>
    <t>FP-PNL-0204</t>
  </si>
  <si>
    <t>PAKG</t>
  </si>
  <si>
    <t>FP-PNL-0209</t>
  </si>
  <si>
    <t>PAKH</t>
  </si>
  <si>
    <t>FP-PNL-0210</t>
  </si>
  <si>
    <t>PAKK</t>
  </si>
  <si>
    <t>FP-PNL-0205</t>
  </si>
  <si>
    <t>PAKL</t>
  </si>
  <si>
    <t>FP-PNL-0206</t>
  </si>
  <si>
    <t>PAKN</t>
  </si>
  <si>
    <t>FP-PNL-0207</t>
  </si>
  <si>
    <t>PAKO</t>
  </si>
  <si>
    <t>FP-PNL-0208</t>
  </si>
  <si>
    <t>PAKP</t>
  </si>
  <si>
    <t>FP-PNL-0211</t>
  </si>
  <si>
    <t>PAKQ</t>
  </si>
  <si>
    <t>FP-PNL-0212</t>
  </si>
  <si>
    <t>PAKT</t>
  </si>
  <si>
    <t>FP-PNL-0039</t>
  </si>
  <si>
    <t>PAKU</t>
  </si>
  <si>
    <t>FP-PNL-0040</t>
  </si>
  <si>
    <t>PAKV</t>
  </si>
  <si>
    <t>FP-PNL-0041</t>
  </si>
  <si>
    <t>PAKW</t>
  </si>
  <si>
    <t>FP-PNL-0042</t>
  </si>
  <si>
    <t>PAKX</t>
  </si>
  <si>
    <t>FP-PNL-0043</t>
  </si>
  <si>
    <t>PAKY</t>
  </si>
  <si>
    <t>FP-PNL-0044</t>
  </si>
  <si>
    <t>PALA</t>
  </si>
  <si>
    <t>FP-PNL-0121</t>
  </si>
  <si>
    <t>PALB</t>
  </si>
  <si>
    <t>FP-PNL-0122</t>
  </si>
  <si>
    <t>PALC</t>
  </si>
  <si>
    <t>FP-PNL-0123</t>
  </si>
  <si>
    <t>PALD</t>
  </si>
  <si>
    <t>FP-PNL-0124</t>
  </si>
  <si>
    <t>PALE</t>
  </si>
  <si>
    <t>FP-PNL-0125</t>
  </si>
  <si>
    <t>PALF</t>
  </si>
  <si>
    <t>FP-PNL-0126</t>
  </si>
  <si>
    <t>PALH</t>
  </si>
  <si>
    <t>FP-PNL-0033</t>
  </si>
  <si>
    <t>PALI</t>
  </si>
  <si>
    <t>FP-PNL-0034</t>
  </si>
  <si>
    <t>PALJ</t>
  </si>
  <si>
    <t>FP-PNL-0035</t>
  </si>
  <si>
    <t>PALK</t>
  </si>
  <si>
    <t>FP-PNL-0036</t>
  </si>
  <si>
    <t>PALL</t>
  </si>
  <si>
    <t>FP-PNL-0037</t>
  </si>
  <si>
    <t>PALM</t>
  </si>
  <si>
    <t>FP-PNL-0038</t>
  </si>
  <si>
    <t>PALN</t>
  </si>
  <si>
    <t>FP-PNL-0331</t>
  </si>
  <si>
    <t>PALO</t>
  </si>
  <si>
    <t>FP-PNL-0332</t>
  </si>
  <si>
    <t>PALP</t>
  </si>
  <si>
    <t>FP-PNL-0335</t>
  </si>
  <si>
    <t>PALQ</t>
  </si>
  <si>
    <t>FP-PNL-0336</t>
  </si>
  <si>
    <t>PALS</t>
  </si>
  <si>
    <t>FP-PNL-0499</t>
  </si>
  <si>
    <t>Previous Week of Latest Publication Date</t>
  </si>
  <si>
    <t>PALT</t>
  </si>
  <si>
    <t>Previous Year of Latest Publication Date</t>
  </si>
  <si>
    <t>FP-PNL-0504</t>
  </si>
  <si>
    <t>PALV</t>
  </si>
  <si>
    <t>FP-PNL-0289</t>
  </si>
  <si>
    <t>PALW</t>
  </si>
  <si>
    <t>FP-PNL-0292</t>
  </si>
  <si>
    <t>PALX</t>
  </si>
  <si>
    <t>FP-PNL-0295</t>
  </si>
  <si>
    <t>PALY</t>
  </si>
  <si>
    <t>FP-PNL-0298</t>
  </si>
  <si>
    <t>PALZ</t>
  </si>
  <si>
    <t>FP-PNL-0152</t>
  </si>
  <si>
    <t>PAMA</t>
  </si>
  <si>
    <t>High</t>
  </si>
  <si>
    <t>PAMB</t>
  </si>
  <si>
    <t>FP-PNL-0274</t>
  </si>
  <si>
    <t>PAMC</t>
  </si>
  <si>
    <t>FP-PNL-0275</t>
  </si>
  <si>
    <t>PAMD</t>
  </si>
  <si>
    <t>FP-PNL-0276</t>
  </si>
  <si>
    <t>PAME</t>
  </si>
  <si>
    <t>FP-PNL-0277</t>
  </si>
  <si>
    <t>PAMF</t>
  </si>
  <si>
    <t>FP-PNL-0278</t>
  </si>
  <si>
    <t>PAMG</t>
  </si>
  <si>
    <t>FP-PNL-0279</t>
  </si>
  <si>
    <t>PAMH</t>
  </si>
  <si>
    <t>FP-PNL-0280</t>
  </si>
  <si>
    <t>PAMI</t>
  </si>
  <si>
    <t>FP-PNL-0281</t>
  </si>
  <si>
    <t>PAMJ</t>
  </si>
  <si>
    <t>FP-PNL-0282</t>
  </si>
  <si>
    <t>PAMK</t>
  </si>
  <si>
    <t>FP-PNL-0283</t>
  </si>
  <si>
    <t>PAML</t>
  </si>
  <si>
    <t>FP-PNL-0284</t>
  </si>
  <si>
    <t>PAMM</t>
  </si>
  <si>
    <t>FP-PNL-0285</t>
  </si>
  <si>
    <t>PAMN</t>
  </si>
  <si>
    <t>PAMP</t>
  </si>
  <si>
    <t>FP-PNL-0329</t>
  </si>
  <si>
    <t>PAMQ</t>
  </si>
  <si>
    <t>FP-PNL-0330</t>
  </si>
  <si>
    <t>PAMR</t>
  </si>
  <si>
    <t>FP-PNL-0333</t>
  </si>
  <si>
    <t>PAMS</t>
  </si>
  <si>
    <t>FP-PNL-0334</t>
  </si>
  <si>
    <t>PAMT</t>
  </si>
  <si>
    <t>FP-PNL-0226</t>
  </si>
  <si>
    <t>PAMU</t>
  </si>
  <si>
    <t>FP-PNL-0288</t>
  </si>
  <si>
    <t>PAMV</t>
  </si>
  <si>
    <t>FP-PNL-0291</t>
  </si>
  <si>
    <t>PAMW</t>
  </si>
  <si>
    <t>FP-PNL-0294</t>
  </si>
  <si>
    <t>PAMX</t>
  </si>
  <si>
    <t>FP-PNL-0297</t>
  </si>
  <si>
    <t>PAMY</t>
  </si>
  <si>
    <t>FP-PNL-0505</t>
  </si>
  <si>
    <t>PAND</t>
  </si>
  <si>
    <t>FP-PNL-0500</t>
  </si>
  <si>
    <t>PANE</t>
  </si>
  <si>
    <t>FP-PNL-0501</t>
  </si>
  <si>
    <t>PANF</t>
  </si>
  <si>
    <t>FP-PNL-0502</t>
  </si>
  <si>
    <t>PANG</t>
  </si>
  <si>
    <t>PANH</t>
  </si>
  <si>
    <t>PANI</t>
  </si>
  <si>
    <t>PANJ</t>
  </si>
  <si>
    <t>PANK</t>
  </si>
  <si>
    <t>PANL</t>
  </si>
  <si>
    <t>PANM</t>
  </si>
  <si>
    <t>FP-PNL-0309</t>
  </si>
  <si>
    <t>PANN</t>
  </si>
  <si>
    <t>FP-PNL-0315</t>
  </si>
  <si>
    <t>PANR</t>
  </si>
  <si>
    <t>FP-PNL-0325</t>
  </si>
  <si>
    <t>PANS</t>
  </si>
  <si>
    <t>FP-PNL-0327</t>
  </si>
  <si>
    <t>PANT</t>
  </si>
  <si>
    <t>FP-PNL-0326</t>
  </si>
  <si>
    <t>PANU</t>
  </si>
  <si>
    <t>FP-PNL-0328</t>
  </si>
  <si>
    <t>PANV</t>
  </si>
  <si>
    <t>FP-PNL-0061</t>
  </si>
  <si>
    <t>PANW</t>
  </si>
  <si>
    <t>FP-PNL-0062</t>
  </si>
  <si>
    <t>PANX</t>
  </si>
  <si>
    <t>FP-PNL-0063</t>
  </si>
  <si>
    <t>PANY</t>
  </si>
  <si>
    <t>FP-PNL-0065</t>
  </si>
  <si>
    <t>PANZ</t>
  </si>
  <si>
    <t>FP-PNL-0066</t>
  </si>
  <si>
    <t>PAOA</t>
  </si>
  <si>
    <t>FP-PNL-0286</t>
  </si>
  <si>
    <t>PAOB</t>
  </si>
  <si>
    <t>FP-PNL-0067</t>
  </si>
  <si>
    <t>PAOC</t>
  </si>
  <si>
    <t>FP-PNL-0068</t>
  </si>
  <si>
    <t>PAOD</t>
  </si>
  <si>
    <t>FP-PNL-0069</t>
  </si>
  <si>
    <t>PAOE</t>
  </si>
  <si>
    <t>FP-PNL-0070</t>
  </si>
  <si>
    <t>PAOF</t>
  </si>
  <si>
    <t>FP-PNL-0071</t>
  </si>
  <si>
    <t>PAOG</t>
  </si>
  <si>
    <t>FP-PNL-0072</t>
  </si>
  <si>
    <t>PAOH</t>
  </si>
  <si>
    <t>FP-PNL-0073</t>
  </si>
  <si>
    <t>PAOI</t>
  </si>
  <si>
    <t>FP-PNL-0074</t>
  </si>
  <si>
    <t>PAOJ</t>
  </si>
  <si>
    <t>FP-PNL-0075</t>
  </si>
  <si>
    <t>PAOK</t>
  </si>
  <si>
    <t>FP-PNL-0076</t>
  </si>
  <si>
    <t>PAOL</t>
  </si>
  <si>
    <t>FP-PNL-0077</t>
  </si>
  <si>
    <t>PAOM</t>
  </si>
  <si>
    <t>FP-PNL-0078</t>
  </si>
  <si>
    <t>PAON</t>
  </si>
  <si>
    <t>FP-PNL-0079</t>
  </si>
  <si>
    <t>PAOO</t>
  </si>
  <si>
    <t>FP-PNL-0080</t>
  </si>
  <si>
    <t>PAOP</t>
  </si>
  <si>
    <t>FP-PNL-0081</t>
  </si>
  <si>
    <t>PAOQ</t>
  </si>
  <si>
    <t>FP-PNL-0082</t>
  </si>
  <si>
    <t>PAOR</t>
  </si>
  <si>
    <t>FP-PNL-0083</t>
  </si>
  <si>
    <t>PAOS</t>
  </si>
  <si>
    <t>FP-PNL-0084</t>
  </si>
  <si>
    <t>PAOT</t>
  </si>
  <si>
    <t>FP-PNL-0091</t>
  </si>
  <si>
    <t>PAOU</t>
  </si>
  <si>
    <t>FP-PNL-0092</t>
  </si>
  <si>
    <t>PAOV</t>
  </si>
  <si>
    <t>FP-PNL-0093</t>
  </si>
  <si>
    <t>PAOW</t>
  </si>
  <si>
    <t>FP-PNL-0094</t>
  </si>
  <si>
    <t>PAOX</t>
  </si>
  <si>
    <t>FP-PNL-0095</t>
  </si>
  <si>
    <t>PAOY</t>
  </si>
  <si>
    <t>FP-PNL-0096</t>
  </si>
  <si>
    <t>PAOZ</t>
  </si>
  <si>
    <t>FP-PNL-0097</t>
  </si>
  <si>
    <t>PAPA</t>
  </si>
  <si>
    <t>FP-PNL-0098</t>
  </si>
  <si>
    <t>PAPB</t>
  </si>
  <si>
    <t>FP-PNL-0099</t>
  </si>
  <si>
    <t>PAPC</t>
  </si>
  <si>
    <t>FP-PNL-0100</t>
  </si>
  <si>
    <t>PAPD</t>
  </si>
  <si>
    <t>FP-PNL-0101</t>
  </si>
  <si>
    <t>PAPE</t>
  </si>
  <si>
    <t>FP-PNL-0102</t>
  </si>
  <si>
    <t>PAPF</t>
  </si>
  <si>
    <t>FP-PNL-0421</t>
  </si>
  <si>
    <t>PAPG</t>
  </si>
  <si>
    <t>FP-PNL-0422</t>
  </si>
  <si>
    <t>PAPH</t>
  </si>
  <si>
    <t>FP-PNL-0423</t>
  </si>
  <si>
    <t>PAPI</t>
  </si>
  <si>
    <t>FP-PNL-0424</t>
  </si>
  <si>
    <t>PAPJ</t>
  </si>
  <si>
    <t>FP-PNL-0425</t>
  </si>
  <si>
    <t>PAPK</t>
  </si>
  <si>
    <t>FP-PNL-0426</t>
  </si>
  <si>
    <t>PAPL</t>
  </si>
  <si>
    <t>FP-PNL-0427</t>
  </si>
  <si>
    <t>PAPM</t>
  </si>
  <si>
    <t>FP-PNL-0428</t>
  </si>
  <si>
    <t>PAPN</t>
  </si>
  <si>
    <t>FP-PNL-0429</t>
  </si>
  <si>
    <t>PAPO</t>
  </si>
  <si>
    <t>FP-PNL-0430</t>
  </si>
  <si>
    <t>PAPP</t>
  </si>
  <si>
    <t>FP-PNL-0431</t>
  </si>
  <si>
    <t>PAPQ</t>
  </si>
  <si>
    <t>FP-PNL-0432</t>
  </si>
  <si>
    <t>PAPR</t>
  </si>
  <si>
    <t>FP-PNL-0433</t>
  </si>
  <si>
    <t>PAPS</t>
  </si>
  <si>
    <t>FP-PNL-0434</t>
  </si>
  <si>
    <t>PAPT</t>
  </si>
  <si>
    <t>FP-PNL-0435</t>
  </si>
  <si>
    <t>PAPU</t>
  </si>
  <si>
    <t>FP-PNL-0436</t>
  </si>
  <si>
    <t>PAPV</t>
  </si>
  <si>
    <t>FP-PNL-0437</t>
  </si>
  <si>
    <t>PAPW</t>
  </si>
  <si>
    <t>FP-PNL-0438</t>
  </si>
  <si>
    <t>PAPX</t>
  </si>
  <si>
    <t>FP-PNL-0439</t>
  </si>
  <si>
    <t>PAPY</t>
  </si>
  <si>
    <t>FP-PNL-0440</t>
  </si>
  <si>
    <t>PAPZ</t>
  </si>
  <si>
    <t>FP-PNL-0337</t>
  </si>
  <si>
    <t>PAQA</t>
  </si>
  <si>
    <t>FP-PNL-0441</t>
  </si>
  <si>
    <t>PAQB</t>
  </si>
  <si>
    <t>FP-PNL-0442</t>
  </si>
  <si>
    <t>PAQC</t>
  </si>
  <si>
    <t>FP-PNL-0443</t>
  </si>
  <si>
    <t>PAQD</t>
  </si>
  <si>
    <t>FP-PNL-0444</t>
  </si>
  <si>
    <t>PAQE</t>
  </si>
  <si>
    <t>FP-PNL-0445</t>
  </si>
  <si>
    <t>PAQF</t>
  </si>
  <si>
    <t>FP-PNL-0446</t>
  </si>
  <si>
    <t>PAQG</t>
  </si>
  <si>
    <t>FP-PNL-0447</t>
  </si>
  <si>
    <t>PAQH</t>
  </si>
  <si>
    <t>FP-PNL-0448</t>
  </si>
  <si>
    <t>PAQI</t>
  </si>
  <si>
    <t>FP-PNL-0449</t>
  </si>
  <si>
    <t>PAQJ</t>
  </si>
  <si>
    <t>FP-PNL-0450</t>
  </si>
  <si>
    <t>PAQK</t>
  </si>
  <si>
    <t>FP-PNL-0451</t>
  </si>
  <si>
    <t>PAQL</t>
  </si>
  <si>
    <t>FP-PNL-0452</t>
  </si>
  <si>
    <t>PAQM</t>
  </si>
  <si>
    <t>FP-PNL-0453</t>
  </si>
  <si>
    <t>PAQN</t>
  </si>
  <si>
    <t>FP-PNL-0454</t>
  </si>
  <si>
    <t>PAQO</t>
  </si>
  <si>
    <t>FP-PNL-0455</t>
  </si>
  <si>
    <t>PAQP</t>
  </si>
  <si>
    <t>FP-PNL-0456</t>
  </si>
  <si>
    <t>PAQQ</t>
  </si>
  <si>
    <t>FP-PNL-0457</t>
  </si>
  <si>
    <t>PAQR</t>
  </si>
  <si>
    <t>FP-PNL-0458</t>
  </si>
  <si>
    <t>PAQS</t>
  </si>
  <si>
    <t>FP-PNL-0459</t>
  </si>
  <si>
    <t>PAQT</t>
  </si>
  <si>
    <t>FP-PNL-0339</t>
  </si>
  <si>
    <t>PAQU</t>
  </si>
  <si>
    <t>FP-PNL-0460</t>
  </si>
  <si>
    <t>PAQV</t>
  </si>
  <si>
    <t>FP-PNL-0461</t>
  </si>
  <si>
    <t>PAQW</t>
  </si>
  <si>
    <t>FP-PNL-0462</t>
  </si>
  <si>
    <t>PAQX</t>
  </si>
  <si>
    <t>FP-PNL-0463</t>
  </si>
  <si>
    <t>PAQY</t>
  </si>
  <si>
    <t>FP-PNL-0464</t>
  </si>
  <si>
    <t>PAQZ</t>
  </si>
  <si>
    <t>FP-PNL-0465</t>
  </si>
  <si>
    <t>PARA</t>
  </si>
  <si>
    <t>FP-PNL-0466</t>
  </si>
  <si>
    <t>PARB</t>
  </si>
  <si>
    <t>FP-PNL-0467</t>
  </si>
  <si>
    <t>PARC</t>
  </si>
  <si>
    <t>FP-PNL-0468</t>
  </si>
  <si>
    <t>PARD</t>
  </si>
  <si>
    <t>FP-PNL-0469</t>
  </si>
  <si>
    <t>PARE</t>
  </si>
  <si>
    <t>FP-PNL-0470</t>
  </si>
  <si>
    <t>PARF</t>
  </si>
  <si>
    <t>FP-PNL-0471</t>
  </si>
  <si>
    <t>PARG</t>
  </si>
  <si>
    <t>FP-PNL-0472</t>
  </si>
  <si>
    <t>PARH</t>
  </si>
  <si>
    <t>FP-PNL-0473</t>
  </si>
  <si>
    <t>PARI</t>
  </si>
  <si>
    <t>FP-PNL-0474</t>
  </si>
  <si>
    <t>PARJ</t>
  </si>
  <si>
    <t>FP-PNL-0475</t>
  </si>
  <si>
    <t>PARK</t>
  </si>
  <si>
    <t>FP-PNL-0476</t>
  </si>
  <si>
    <t>PARL</t>
  </si>
  <si>
    <t>FP-PNL-0477</t>
  </si>
  <si>
    <t>PARM</t>
  </si>
  <si>
    <t>FP-PNL-0478</t>
  </si>
  <si>
    <t>PARN</t>
  </si>
  <si>
    <t>FP-PNL-0479</t>
  </si>
  <si>
    <t>PARO</t>
  </si>
  <si>
    <t>FP-PNL-0338</t>
  </si>
  <si>
    <t>PARP</t>
  </si>
  <si>
    <t>FP-PNL-0480</t>
  </si>
  <si>
    <t>PARQ</t>
  </si>
  <si>
    <t>FP-PNL-0481</t>
  </si>
  <si>
    <t>PARR</t>
  </si>
  <si>
    <t>FP-PNL-0482</t>
  </si>
  <si>
    <t>PARS</t>
  </si>
  <si>
    <t>FP-PNL-0483</t>
  </si>
  <si>
    <t>PART</t>
  </si>
  <si>
    <t>FP-PNL-0484</t>
  </si>
  <si>
    <t>PARU</t>
  </si>
  <si>
    <t>FP-PNL-0485</t>
  </si>
  <si>
    <t>PARV</t>
  </si>
  <si>
    <t>FP-PNL-0486</t>
  </si>
  <si>
    <t>PARW</t>
  </si>
  <si>
    <t>FP-PNL-0487</t>
  </si>
  <si>
    <t>PARX</t>
  </si>
  <si>
    <t>FP-PNL-0488</t>
  </si>
  <si>
    <t>PARY</t>
  </si>
  <si>
    <t>FP-PNL-0489</t>
  </si>
  <si>
    <t>PARZ</t>
  </si>
  <si>
    <t>FP-PNL-0490</t>
  </si>
  <si>
    <t>PASA</t>
  </si>
  <si>
    <t>FP-PNL-0491</t>
  </si>
  <si>
    <t>PASB</t>
  </si>
  <si>
    <t>FP-PNL-0492</t>
  </si>
  <si>
    <t>PASC</t>
  </si>
  <si>
    <t>FP-PNL-0493</t>
  </si>
  <si>
    <t>PASD</t>
  </si>
  <si>
    <t>FP-PNL-0341</t>
  </si>
  <si>
    <t>PASE</t>
  </si>
  <si>
    <t>FP-PNL-0342</t>
  </si>
  <si>
    <t>PASF</t>
  </si>
  <si>
    <t>FP-PNL-0058</t>
  </si>
  <si>
    <t>PASG</t>
  </si>
  <si>
    <t>FP-PNL-0064</t>
  </si>
  <si>
    <t>PASH</t>
  </si>
  <si>
    <t>FP-PNL-0503</t>
  </si>
  <si>
    <t>PASI</t>
  </si>
  <si>
    <t>PASJ</t>
  </si>
  <si>
    <t>PASK</t>
  </si>
  <si>
    <t>FP-PNL-0494</t>
  </si>
  <si>
    <t>PASL</t>
  </si>
  <si>
    <t>FP-PNL-0495</t>
  </si>
  <si>
    <t>PASM</t>
  </si>
  <si>
    <t>FP-PNL-0496</t>
  </si>
  <si>
    <t>PASN</t>
  </si>
  <si>
    <t>FP-PNL-0497</t>
  </si>
  <si>
    <t>PASO</t>
  </si>
  <si>
    <t>FP-PNL-0498</t>
  </si>
  <si>
    <t>PASP</t>
  </si>
  <si>
    <t>FP-PNL-0103</t>
  </si>
  <si>
    <t>PASQ</t>
  </si>
  <si>
    <t>FP-PNL-0104</t>
  </si>
  <si>
    <t>PASR</t>
  </si>
  <si>
    <t>FP-PNL-0105</t>
  </si>
  <si>
    <t>PASS</t>
  </si>
  <si>
    <t>FP-PNL-0106</t>
  </si>
  <si>
    <t>PAST</t>
  </si>
  <si>
    <t>FP-PNL-0107</t>
  </si>
  <si>
    <t>PASU</t>
  </si>
  <si>
    <t>FP-PNL-0108</t>
  </si>
  <si>
    <t>PASV</t>
  </si>
  <si>
    <t>FP-PNL-0340</t>
  </si>
  <si>
    <t>Prv Week</t>
  </si>
  <si>
    <t>Prv Year</t>
  </si>
  <si>
    <t>Date of the assessment</t>
  </si>
  <si>
    <t>Year</t>
  </si>
  <si>
    <t>Month</t>
  </si>
  <si>
    <t>Week</t>
  </si>
  <si>
    <t>Issue</t>
  </si>
  <si>
    <t>Pub Date</t>
  </si>
  <si>
    <r>
      <t>Random Lengths Panel Reports</t>
    </r>
    <r>
      <rPr>
        <sz val="11"/>
        <color theme="1"/>
        <rFont val="Calibri"/>
        <family val="2"/>
        <scheme val="minor"/>
      </rPr>
      <t xml:space="preserve"> are published</t>
    </r>
    <r>
      <rPr>
        <b/>
        <sz val="11"/>
        <color theme="1"/>
        <rFont val="Calibri"/>
        <family val="2"/>
        <scheme val="minor"/>
      </rPr>
      <t xml:space="preserve"> every </t>
    </r>
    <r>
      <rPr>
        <b/>
        <u/>
        <sz val="11"/>
        <color theme="1"/>
        <rFont val="Calibri"/>
        <family val="2"/>
        <scheme val="minor"/>
      </rPr>
      <t>Friday.</t>
    </r>
  </si>
  <si>
    <t>Specified Publication Date</t>
  </si>
  <si>
    <t>Previous Week of Specified Date</t>
  </si>
  <si>
    <t>Previous Year of Specified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</si>
</sst>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mm/dd/yy"/>
    <numFmt numFmtId="166" formatCode="[$-409]d\-mmm\-yyyy;@"/>
  </numFmts>
  <fonts count="7" x14ac:knownFonts="1">
    <font>
      <sz val="11"/>
      <color theme="1"/>
      <name val="Calibri"/>
      <family val="2"/>
      <scheme val="minor"/>
    </font>
    <font>
      <i/>
      <sz val="10"/>
      <color indexed="12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4" fillId="0" borderId="0" xfId="0" applyFont="1"/>
    <xf numFmtId="166" fontId="4" fillId="2" borderId="0" xfId="0" applyNumberFormat="1" applyFont="1" applyFill="1"/>
    <xf numFmtId="0" fontId="5" fillId="3" borderId="0" xfId="0" applyFont="1" applyFill="1" applyAlignment="1">
      <alignment vertical="center"/>
    </xf>
    <xf numFmtId="0" fontId="4" fillId="3" borderId="0" xfId="0" applyFont="1" applyFill="1"/>
    <xf numFmtId="0" fontId="0" fillId="3" borderId="0" xfId="0" applyFill="1"/>
    <xf numFmtId="14" fontId="0" fillId="3" borderId="0" xfId="0" applyNumberFormat="1" applyFill="1"/>
    <xf numFmtId="0" fontId="4" fillId="4" borderId="0" xfId="0" applyFont="1" applyFill="1"/>
    <xf numFmtId="0" fontId="0" fillId="4" borderId="0" xfId="0" applyFill="1"/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171450</xdr:colOff>
      <xdr:row>0</xdr:row>
      <xdr:rowOff>0</xdr:rowOff>
    </xdr:from>
    <xdr:to>
      <xdr:col>19</xdr:col>
      <xdr:colOff>409575</xdr:colOff>
      <xdr:row>1</xdr:row>
      <xdr:rowOff>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18A4BF8-493F-4862-976A-52ED143EC01A}"/>
            </a:ext>
          </a:extLst>
        </xdr:cNvPr>
        <xdr:cNvSpPr txBox="1"/>
      </xdr:nvSpPr>
      <xdr:spPr>
        <a:xfrm>
          <a:off x="16002000" y="0"/>
          <a:ext cx="6334125" cy="495300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1"/>
            <a:t>This worksheet</a:t>
          </a:r>
          <a:r>
            <a:rPr lang="en-US" sz="1200" b="1" baseline="0"/>
            <a:t> can ONLY be used to generate the latest end-of-week prices </a:t>
          </a:r>
          <a:r>
            <a:rPr lang="en-US" sz="1200" b="1" i="1" u="sng" baseline="0"/>
            <a:t>before</a:t>
          </a:r>
          <a:r>
            <a:rPr lang="en-US" sz="1200" b="1" baseline="0"/>
            <a:t> the mid week assessments are published.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5</xdr:row>
      <xdr:rowOff>38101</xdr:rowOff>
    </xdr:from>
    <xdr:to>
      <xdr:col>6</xdr:col>
      <xdr:colOff>104775</xdr:colOff>
      <xdr:row>8</xdr:row>
      <xdr:rowOff>180975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81B9FE2-6F42-450B-821A-84E2B028431F}"/>
            </a:ext>
          </a:extLst>
        </xdr:cNvPr>
        <xdr:cNvSpPr txBox="1"/>
      </xdr:nvSpPr>
      <xdr:spPr>
        <a:xfrm>
          <a:off x="1076325" y="990601"/>
          <a:ext cx="4019550" cy="71437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400" b="1"/>
            <a:t>Specify a past publication date in the highlighted cell (B4)</a:t>
          </a:r>
          <a:endParaRPr 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402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9.140625" customWidth="1"/>
    <col min="2" max="2" width="14.7109375" customWidth="1"/>
    <col min="3" max="5" width="19.5703125" customWidth="1"/>
    <col min="6" max="6" width="34.85546875" customWidth="1"/>
    <col min="7" max="7" width="19.140625" customWidth="1"/>
    <col min="8" max="8" width="23.7109375" customWidth="1"/>
    <col min="9" max="9" width="15.5703125" hidden="1" customWidth="1"/>
  </cols>
  <sheetData>
    <row r="1" spans="1:9" ht="39" customHeigh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9" t="s">
        <v>5</v>
      </c>
      <c r="G1" s="9" t="s">
        <v>6</v>
      </c>
      <c r="H1" s="9" t="s">
        <v>7</v>
      </c>
      <c r="I1" s="9" t="s">
        <v>8</v>
      </c>
    </row>
    <row r="2" spans="1:9" x14ac:dyDescent="0.25">
      <c r="A2" t="s">
        <v>9</v>
      </c>
      <c r="B2" s="14" cm="1">
        <f t="array" ref="B2">_xll.GetLatestPrice(F2,,G2)</f>
        <v>405</v>
      </c>
      <c r="C2" s="1" cm="1">
        <f t="array" ref="C2">_xll.GetLatestPrice(F2,"Actual","AssessmentDate")</f>
        <v>45849.4375</v>
      </c>
      <c r="D2">
        <f>YEAR(C2)</f>
        <v>2025</v>
      </c>
      <c r="E2">
        <f>MONTH(C2)</f>
        <v>7</v>
      </c>
      <c r="F2" s="8" t="s">
        <v>10</v>
      </c>
      <c r="G2" s="8" t="s">
        <v>11</v>
      </c>
      <c r="H2" s="10" t="s">
        <v>12</v>
      </c>
    </row>
    <row r="3" spans="1:9" x14ac:dyDescent="0.25">
      <c r="A3" t="s">
        <v>13</v>
      </c>
      <c r="B3" s="14" cm="1">
        <f t="array" ref="B3">_xll.GetLatestPrice(F3,,G3)</f>
        <v>465</v>
      </c>
      <c r="C3" s="1" cm="1">
        <f t="array" ref="C3">_xll.GetLatestPrice(F3,"Actual","AssessmentDate")</f>
        <v>45849.4375</v>
      </c>
      <c r="D3">
        <f t="shared" ref="D3:D66" si="0">YEAR(C3)</f>
        <v>2025</v>
      </c>
      <c r="E3">
        <f t="shared" ref="E3:E66" si="1">MONTH(C3)</f>
        <v>7</v>
      </c>
      <c r="F3" s="8" t="s">
        <v>14</v>
      </c>
      <c r="G3" s="8" t="s">
        <v>11</v>
      </c>
      <c r="H3" s="10" t="s">
        <v>12</v>
      </c>
    </row>
    <row r="4" spans="1:9" x14ac:dyDescent="0.25">
      <c r="A4" t="s">
        <v>15</v>
      </c>
      <c r="B4" s="14" cm="1">
        <f t="array" ref="B4">_xll.GetLatestPrice(F4,,G4)</f>
        <v>475</v>
      </c>
      <c r="C4" s="1" cm="1">
        <f t="array" ref="C4">_xll.GetLatestPrice(F4,"Actual","AssessmentDate")</f>
        <v>45849.4375</v>
      </c>
      <c r="D4">
        <f t="shared" si="0"/>
        <v>2025</v>
      </c>
      <c r="E4">
        <f t="shared" si="1"/>
        <v>7</v>
      </c>
      <c r="F4" s="8" t="s">
        <v>16</v>
      </c>
      <c r="G4" s="8" t="s">
        <v>11</v>
      </c>
      <c r="H4" s="10" t="s">
        <v>12</v>
      </c>
    </row>
    <row r="5" spans="1:9" x14ac:dyDescent="0.25">
      <c r="A5" t="s">
        <v>17</v>
      </c>
      <c r="B5" s="14" cm="1">
        <f t="array" ref="B5">_xll.GetLatestPrice(F5,,G5)</f>
        <v>610</v>
      </c>
      <c r="C5" s="1" cm="1">
        <f t="array" ref="C5">_xll.GetLatestPrice(F5,"Actual","AssessmentDate")</f>
        <v>45849.4375</v>
      </c>
      <c r="D5">
        <f t="shared" si="0"/>
        <v>2025</v>
      </c>
      <c r="E5">
        <f t="shared" si="1"/>
        <v>7</v>
      </c>
      <c r="F5" s="8" t="s">
        <v>18</v>
      </c>
      <c r="G5" s="8" t="s">
        <v>11</v>
      </c>
      <c r="H5" s="10" t="s">
        <v>12</v>
      </c>
    </row>
    <row r="6" spans="1:9" x14ac:dyDescent="0.25">
      <c r="A6" t="s">
        <v>19</v>
      </c>
      <c r="B6" s="14" cm="1">
        <f t="array" ref="B6">_xll.GetLatestPrice(F6,,G6)</f>
        <v>770</v>
      </c>
      <c r="C6" s="1" cm="1">
        <f t="array" ref="C6">_xll.GetLatestPrice(F6,"Actual","AssessmentDate")</f>
        <v>45849.4375</v>
      </c>
      <c r="D6">
        <f t="shared" si="0"/>
        <v>2025</v>
      </c>
      <c r="E6">
        <f t="shared" si="1"/>
        <v>7</v>
      </c>
      <c r="F6" s="8" t="s">
        <v>20</v>
      </c>
      <c r="G6" s="8" t="s">
        <v>11</v>
      </c>
      <c r="H6" s="10" t="s">
        <v>12</v>
      </c>
    </row>
    <row r="7" spans="1:9" x14ac:dyDescent="0.25">
      <c r="A7" t="s">
        <v>21</v>
      </c>
      <c r="B7" s="14" cm="1">
        <f t="array" ref="B7">_xll.GetLatestPrice(F7,,G7)</f>
        <v>1030</v>
      </c>
      <c r="C7" s="1" cm="1">
        <f t="array" ref="C7">_xll.GetLatestPrice(F7,"Actual","AssessmentDate")</f>
        <v>45849.4375</v>
      </c>
      <c r="D7">
        <f t="shared" si="0"/>
        <v>2025</v>
      </c>
      <c r="E7">
        <f t="shared" si="1"/>
        <v>7</v>
      </c>
      <c r="F7" s="8" t="s">
        <v>22</v>
      </c>
      <c r="G7" s="8" t="s">
        <v>11</v>
      </c>
      <c r="H7" s="10" t="s">
        <v>12</v>
      </c>
    </row>
    <row r="8" spans="1:9" x14ac:dyDescent="0.25">
      <c r="A8" t="s">
        <v>23</v>
      </c>
      <c r="B8" s="14" cm="1">
        <f t="array" ref="B8">_xll.GetLatestPrice(F8,,G8)</f>
        <v>1055</v>
      </c>
      <c r="C8" s="1" cm="1">
        <f t="array" ref="C8">_xll.GetLatestPrice(F8,"Actual","AssessmentDate")</f>
        <v>45849.4375</v>
      </c>
      <c r="D8">
        <f t="shared" si="0"/>
        <v>2025</v>
      </c>
      <c r="E8">
        <f t="shared" si="1"/>
        <v>7</v>
      </c>
      <c r="F8" s="8" t="s">
        <v>24</v>
      </c>
      <c r="G8" s="8" t="s">
        <v>11</v>
      </c>
      <c r="H8" s="10" t="s">
        <v>12</v>
      </c>
    </row>
    <row r="9" spans="1:9" x14ac:dyDescent="0.25">
      <c r="A9" t="s">
        <v>25</v>
      </c>
      <c r="B9" s="14" cm="1">
        <f t="array" ref="B9">_xll.GetLatestPrice(F9,,G9)</f>
        <v>1540</v>
      </c>
      <c r="C9" s="1" cm="1">
        <f t="array" ref="C9">_xll.GetLatestPrice(F9,"Actual","AssessmentDate")</f>
        <v>45849.4375</v>
      </c>
      <c r="D9">
        <f t="shared" si="0"/>
        <v>2025</v>
      </c>
      <c r="E9">
        <f t="shared" si="1"/>
        <v>7</v>
      </c>
      <c r="F9" s="8" t="s">
        <v>26</v>
      </c>
      <c r="G9" s="8" t="s">
        <v>11</v>
      </c>
      <c r="H9" s="10" t="s">
        <v>12</v>
      </c>
    </row>
    <row r="10" spans="1:9" x14ac:dyDescent="0.25">
      <c r="A10" t="s">
        <v>27</v>
      </c>
      <c r="B10" s="14" cm="1">
        <f t="array" ref="B10">_xll.GetLatestPrice(F10,,G10)</f>
        <v>1730</v>
      </c>
      <c r="C10" s="1" cm="1">
        <f t="array" ref="C10">_xll.GetLatestPrice(F10,"Actual","AssessmentDate")</f>
        <v>45849.4375</v>
      </c>
      <c r="D10">
        <f t="shared" si="0"/>
        <v>2025</v>
      </c>
      <c r="E10">
        <f t="shared" si="1"/>
        <v>7</v>
      </c>
      <c r="F10" s="8" t="s">
        <v>28</v>
      </c>
      <c r="G10" s="8" t="s">
        <v>11</v>
      </c>
      <c r="H10" s="10" t="s">
        <v>12</v>
      </c>
    </row>
    <row r="11" spans="1:9" x14ac:dyDescent="0.25">
      <c r="A11" t="s">
        <v>29</v>
      </c>
      <c r="B11" s="14" cm="1">
        <f t="array" ref="B11">_xll.GetLatestPrice(F11,,G11)</f>
        <v>1890</v>
      </c>
      <c r="C11" s="1" cm="1">
        <f t="array" ref="C11">_xll.GetLatestPrice(F11,"Actual","AssessmentDate")</f>
        <v>45849.4375</v>
      </c>
      <c r="D11">
        <f t="shared" si="0"/>
        <v>2025</v>
      </c>
      <c r="E11">
        <f t="shared" si="1"/>
        <v>7</v>
      </c>
      <c r="F11" s="8" t="s">
        <v>30</v>
      </c>
      <c r="G11" s="8" t="s">
        <v>11</v>
      </c>
      <c r="H11" s="10" t="s">
        <v>12</v>
      </c>
    </row>
    <row r="12" spans="1:9" x14ac:dyDescent="0.25">
      <c r="A12" t="s">
        <v>31</v>
      </c>
      <c r="B12" s="14" cm="1">
        <f t="array" ref="B12">_xll.GetLatestPrice(F12,,G12)</f>
        <v>845</v>
      </c>
      <c r="C12" s="1" cm="1">
        <f t="array" ref="C12">_xll.GetLatestPrice(F12,"Actual","AssessmentDate")</f>
        <v>45849.4375</v>
      </c>
      <c r="D12">
        <f t="shared" si="0"/>
        <v>2025</v>
      </c>
      <c r="E12">
        <f t="shared" si="1"/>
        <v>7</v>
      </c>
      <c r="F12" s="8" t="s">
        <v>32</v>
      </c>
      <c r="G12" s="8" t="s">
        <v>11</v>
      </c>
      <c r="H12" s="10" t="s">
        <v>12</v>
      </c>
    </row>
    <row r="13" spans="1:9" x14ac:dyDescent="0.25">
      <c r="A13" t="s">
        <v>33</v>
      </c>
      <c r="B13" s="14" cm="1">
        <f t="array" ref="B13">_xll.GetLatestPrice(F13,,G13)</f>
        <v>870</v>
      </c>
      <c r="C13" s="1" cm="1">
        <f t="array" ref="C13">_xll.GetLatestPrice(F13,"Actual","AssessmentDate")</f>
        <v>45849.4375</v>
      </c>
      <c r="D13">
        <f t="shared" si="0"/>
        <v>2025</v>
      </c>
      <c r="E13">
        <f t="shared" si="1"/>
        <v>7</v>
      </c>
      <c r="F13" s="8" t="s">
        <v>34</v>
      </c>
      <c r="G13" s="8" t="s">
        <v>11</v>
      </c>
      <c r="H13" s="10" t="s">
        <v>12</v>
      </c>
    </row>
    <row r="14" spans="1:9" x14ac:dyDescent="0.25">
      <c r="A14" t="s">
        <v>35</v>
      </c>
      <c r="B14" s="14" cm="1">
        <f t="array" ref="B14">_xll.GetLatestPrice(F14,,G14)</f>
        <v>1320</v>
      </c>
      <c r="C14" s="1" cm="1">
        <f t="array" ref="C14">_xll.GetLatestPrice(F14,"Actual","AssessmentDate")</f>
        <v>45849.4375</v>
      </c>
      <c r="D14">
        <f t="shared" si="0"/>
        <v>2025</v>
      </c>
      <c r="E14">
        <f t="shared" si="1"/>
        <v>7</v>
      </c>
      <c r="F14" s="8" t="s">
        <v>36</v>
      </c>
      <c r="G14" s="8" t="s">
        <v>11</v>
      </c>
      <c r="H14" s="10" t="s">
        <v>12</v>
      </c>
    </row>
    <row r="15" spans="1:9" x14ac:dyDescent="0.25">
      <c r="A15" t="s">
        <v>37</v>
      </c>
      <c r="B15" s="14" cm="1">
        <f t="array" ref="B15">_xll.GetLatestPrice(F15,,G15)</f>
        <v>1740</v>
      </c>
      <c r="C15" s="1" cm="1">
        <f t="array" ref="C15">_xll.GetLatestPrice(F15,"Actual","AssessmentDate")</f>
        <v>45849.4375</v>
      </c>
      <c r="D15">
        <f t="shared" si="0"/>
        <v>2025</v>
      </c>
      <c r="E15">
        <f t="shared" si="1"/>
        <v>7</v>
      </c>
      <c r="F15" s="8" t="s">
        <v>38</v>
      </c>
      <c r="G15" s="8" t="s">
        <v>11</v>
      </c>
      <c r="H15" s="10" t="s">
        <v>12</v>
      </c>
    </row>
    <row r="16" spans="1:9" x14ac:dyDescent="0.25">
      <c r="A16" t="s">
        <v>39</v>
      </c>
      <c r="B16" s="14" cm="1">
        <f t="array" ref="B16">_xll.GetLatestPrice(F16,,G16)</f>
        <v>1800</v>
      </c>
      <c r="C16" s="1" cm="1">
        <f t="array" ref="C16">_xll.GetLatestPrice(F16,"Actual","AssessmentDate")</f>
        <v>45849.4375</v>
      </c>
      <c r="D16">
        <f t="shared" si="0"/>
        <v>2025</v>
      </c>
      <c r="E16">
        <f t="shared" si="1"/>
        <v>7</v>
      </c>
      <c r="F16" s="8" t="s">
        <v>40</v>
      </c>
      <c r="G16" s="8" t="s">
        <v>11</v>
      </c>
      <c r="H16" s="10" t="s">
        <v>12</v>
      </c>
    </row>
    <row r="17" spans="1:8" x14ac:dyDescent="0.25">
      <c r="A17" t="s">
        <v>41</v>
      </c>
      <c r="B17" s="14" cm="1">
        <f t="array" ref="B17">_xll.GetLatestPrice(F17,,G17)</f>
        <v>230</v>
      </c>
      <c r="C17" s="1" cm="1">
        <f t="array" ref="C17">_xll.GetLatestPrice(F17,"Actual","AssessmentDate")</f>
        <v>45849.4375</v>
      </c>
      <c r="D17">
        <f t="shared" si="0"/>
        <v>2025</v>
      </c>
      <c r="E17">
        <f t="shared" si="1"/>
        <v>7</v>
      </c>
      <c r="F17" s="8" t="s">
        <v>42</v>
      </c>
      <c r="G17" s="8" t="s">
        <v>11</v>
      </c>
      <c r="H17" s="10" t="s">
        <v>12</v>
      </c>
    </row>
    <row r="18" spans="1:8" x14ac:dyDescent="0.25">
      <c r="A18" t="s">
        <v>43</v>
      </c>
      <c r="B18" s="14" cm="1">
        <f t="array" ref="B18">_xll.GetLatestPrice(F18,,G18)</f>
        <v>235</v>
      </c>
      <c r="C18" s="1" cm="1">
        <f t="array" ref="C18">_xll.GetLatestPrice(F18,"Actual","AssessmentDate")</f>
        <v>45849.4375</v>
      </c>
      <c r="D18">
        <f t="shared" si="0"/>
        <v>2025</v>
      </c>
      <c r="E18">
        <f t="shared" si="1"/>
        <v>7</v>
      </c>
      <c r="F18" s="8" t="s">
        <v>44</v>
      </c>
      <c r="G18" s="8" t="s">
        <v>11</v>
      </c>
      <c r="H18" s="10" t="s">
        <v>12</v>
      </c>
    </row>
    <row r="19" spans="1:8" x14ac:dyDescent="0.25">
      <c r="A19" t="s">
        <v>45</v>
      </c>
      <c r="B19" s="14" cm="1">
        <f t="array" ref="B19">_xll.GetLatestPrice(F19,,G19)</f>
        <v>250</v>
      </c>
      <c r="C19" s="1" cm="1">
        <f t="array" ref="C19">_xll.GetLatestPrice(F19,"Actual","AssessmentDate")</f>
        <v>45849.4375</v>
      </c>
      <c r="D19">
        <f t="shared" si="0"/>
        <v>2025</v>
      </c>
      <c r="E19">
        <f t="shared" si="1"/>
        <v>7</v>
      </c>
      <c r="F19" s="8" t="s">
        <v>46</v>
      </c>
      <c r="G19" s="8" t="s">
        <v>11</v>
      </c>
      <c r="H19" s="10" t="s">
        <v>12</v>
      </c>
    </row>
    <row r="20" spans="1:8" x14ac:dyDescent="0.25">
      <c r="A20" t="s">
        <v>47</v>
      </c>
      <c r="B20" s="14" cm="1">
        <f t="array" ref="B20">_xll.GetLatestPrice(F20,,G20)</f>
        <v>260</v>
      </c>
      <c r="C20" s="1" cm="1">
        <f t="array" ref="C20">_xll.GetLatestPrice(F20,"Actual","AssessmentDate")</f>
        <v>45849.4375</v>
      </c>
      <c r="D20">
        <f t="shared" si="0"/>
        <v>2025</v>
      </c>
      <c r="E20">
        <f t="shared" si="1"/>
        <v>7</v>
      </c>
      <c r="F20" s="8" t="s">
        <v>48</v>
      </c>
      <c r="G20" s="8" t="s">
        <v>11</v>
      </c>
      <c r="H20" s="10" t="s">
        <v>12</v>
      </c>
    </row>
    <row r="21" spans="1:8" x14ac:dyDescent="0.25">
      <c r="A21" t="s">
        <v>49</v>
      </c>
      <c r="B21" s="14" cm="1">
        <f t="array" ref="B21">_xll.GetLatestPrice(F21,,G21)</f>
        <v>350</v>
      </c>
      <c r="C21" s="1" cm="1">
        <f t="array" ref="C21">_xll.GetLatestPrice(F21,"Actual","AssessmentDate")</f>
        <v>45849.4375</v>
      </c>
      <c r="D21">
        <f t="shared" si="0"/>
        <v>2025</v>
      </c>
      <c r="E21">
        <f t="shared" si="1"/>
        <v>7</v>
      </c>
      <c r="F21" s="8" t="s">
        <v>50</v>
      </c>
      <c r="G21" s="8" t="s">
        <v>11</v>
      </c>
      <c r="H21" s="10" t="s">
        <v>12</v>
      </c>
    </row>
    <row r="22" spans="1:8" x14ac:dyDescent="0.25">
      <c r="A22" t="s">
        <v>51</v>
      </c>
      <c r="B22" s="14" cm="1">
        <f t="array" ref="B22">_xll.GetLatestPrice(F22,,G22)</f>
        <v>415</v>
      </c>
      <c r="C22" s="1" cm="1">
        <f t="array" ref="C22">_xll.GetLatestPrice(F22,"Actual","AssessmentDate")</f>
        <v>45849.4375</v>
      </c>
      <c r="D22">
        <f t="shared" si="0"/>
        <v>2025</v>
      </c>
      <c r="E22">
        <f t="shared" si="1"/>
        <v>7</v>
      </c>
      <c r="F22" s="8" t="s">
        <v>52</v>
      </c>
      <c r="G22" s="8" t="s">
        <v>11</v>
      </c>
      <c r="H22" s="10" t="s">
        <v>12</v>
      </c>
    </row>
    <row r="23" spans="1:8" x14ac:dyDescent="0.25">
      <c r="A23" t="s">
        <v>53</v>
      </c>
      <c r="B23" s="14" cm="1">
        <f t="array" ref="B23">_xll.GetLatestPrice(F23,,G23)</f>
        <v>265</v>
      </c>
      <c r="C23" s="1" cm="1">
        <f t="array" ref="C23">_xll.GetLatestPrice(F23,"Actual","AssessmentDate")</f>
        <v>45849.4375</v>
      </c>
      <c r="D23">
        <f t="shared" si="0"/>
        <v>2025</v>
      </c>
      <c r="E23">
        <f t="shared" si="1"/>
        <v>7</v>
      </c>
      <c r="F23" s="8" t="s">
        <v>54</v>
      </c>
      <c r="G23" s="8" t="s">
        <v>11</v>
      </c>
      <c r="H23" s="10" t="s">
        <v>12</v>
      </c>
    </row>
    <row r="24" spans="1:8" x14ac:dyDescent="0.25">
      <c r="A24" t="s">
        <v>55</v>
      </c>
      <c r="B24" s="14" cm="1">
        <f t="array" ref="B24">_xll.GetLatestPrice(F24,,G24)</f>
        <v>267</v>
      </c>
      <c r="C24" s="1" cm="1">
        <f t="array" ref="C24">_xll.GetLatestPrice(F24,"Actual","AssessmentDate")</f>
        <v>45849.4375</v>
      </c>
      <c r="D24">
        <f t="shared" si="0"/>
        <v>2025</v>
      </c>
      <c r="E24">
        <f t="shared" si="1"/>
        <v>7</v>
      </c>
      <c r="F24" s="8" t="s">
        <v>56</v>
      </c>
      <c r="G24" s="8" t="s">
        <v>11</v>
      </c>
      <c r="H24" s="10" t="s">
        <v>12</v>
      </c>
    </row>
    <row r="25" spans="1:8" x14ac:dyDescent="0.25">
      <c r="A25" t="s">
        <v>57</v>
      </c>
      <c r="B25" s="14" cm="1">
        <f t="array" ref="B25">_xll.GetLatestPrice(F25,,G25)</f>
        <v>290</v>
      </c>
      <c r="C25" s="1" cm="1">
        <f t="array" ref="C25">_xll.GetLatestPrice(F25,"Actual","AssessmentDate")</f>
        <v>45849.4375</v>
      </c>
      <c r="D25">
        <f t="shared" si="0"/>
        <v>2025</v>
      </c>
      <c r="E25">
        <f t="shared" si="1"/>
        <v>7</v>
      </c>
      <c r="F25" s="8" t="s">
        <v>58</v>
      </c>
      <c r="G25" s="8" t="s">
        <v>11</v>
      </c>
      <c r="H25" s="10" t="s">
        <v>12</v>
      </c>
    </row>
    <row r="26" spans="1:8" x14ac:dyDescent="0.25">
      <c r="A26" t="s">
        <v>59</v>
      </c>
      <c r="B26" s="14" cm="1">
        <f t="array" ref="B26">_xll.GetLatestPrice(F26,,G26)</f>
        <v>255</v>
      </c>
      <c r="C26" s="1" cm="1">
        <f t="array" ref="C26">_xll.GetLatestPrice(F26,"Actual","AssessmentDate")</f>
        <v>45849.4375</v>
      </c>
      <c r="D26">
        <f t="shared" si="0"/>
        <v>2025</v>
      </c>
      <c r="E26">
        <f t="shared" si="1"/>
        <v>7</v>
      </c>
      <c r="F26" s="8" t="s">
        <v>60</v>
      </c>
      <c r="G26" s="8" t="s">
        <v>11</v>
      </c>
      <c r="H26" s="10" t="s">
        <v>12</v>
      </c>
    </row>
    <row r="27" spans="1:8" x14ac:dyDescent="0.25">
      <c r="A27" t="s">
        <v>61</v>
      </c>
      <c r="B27" s="14" cm="1">
        <f t="array" ref="B27">_xll.GetLatestPrice(F27,,G27)</f>
        <v>290</v>
      </c>
      <c r="C27" s="1" cm="1">
        <f t="array" ref="C27">_xll.GetLatestPrice(F27,"Actual","AssessmentDate")</f>
        <v>45849.4375</v>
      </c>
      <c r="D27">
        <f t="shared" si="0"/>
        <v>2025</v>
      </c>
      <c r="E27">
        <f t="shared" si="1"/>
        <v>7</v>
      </c>
      <c r="F27" s="8" t="s">
        <v>62</v>
      </c>
      <c r="G27" s="8" t="s">
        <v>11</v>
      </c>
      <c r="H27" s="10" t="s">
        <v>12</v>
      </c>
    </row>
    <row r="28" spans="1:8" x14ac:dyDescent="0.25">
      <c r="A28" t="s">
        <v>63</v>
      </c>
      <c r="B28" s="14" cm="1">
        <f t="array" ref="B28">_xll.GetLatestPrice(F28,,G28)</f>
        <v>290</v>
      </c>
      <c r="C28" s="1" cm="1">
        <f t="array" ref="C28">_xll.GetLatestPrice(F28,"Actual","AssessmentDate")</f>
        <v>45849.4375</v>
      </c>
      <c r="D28">
        <f t="shared" si="0"/>
        <v>2025</v>
      </c>
      <c r="E28">
        <f t="shared" si="1"/>
        <v>7</v>
      </c>
      <c r="F28" s="8" t="s">
        <v>64</v>
      </c>
      <c r="G28" s="8" t="s">
        <v>11</v>
      </c>
      <c r="H28" s="10" t="s">
        <v>12</v>
      </c>
    </row>
    <row r="29" spans="1:8" x14ac:dyDescent="0.25">
      <c r="A29" t="s">
        <v>65</v>
      </c>
      <c r="B29" s="14" cm="1">
        <f t="array" ref="B29">_xll.GetLatestPrice(F29,,G29)</f>
        <v>255</v>
      </c>
      <c r="C29" s="1" cm="1">
        <f t="array" ref="C29">_xll.GetLatestPrice(F29,"Actual","AssessmentDate")</f>
        <v>45849.4375</v>
      </c>
      <c r="D29">
        <f t="shared" si="0"/>
        <v>2025</v>
      </c>
      <c r="E29">
        <f t="shared" si="1"/>
        <v>7</v>
      </c>
      <c r="F29" s="8" t="s">
        <v>66</v>
      </c>
      <c r="G29" s="8" t="s">
        <v>11</v>
      </c>
      <c r="H29" s="10" t="s">
        <v>12</v>
      </c>
    </row>
    <row r="30" spans="1:8" x14ac:dyDescent="0.25">
      <c r="A30" t="s">
        <v>67</v>
      </c>
      <c r="B30" s="14" cm="1">
        <f t="array" ref="B30">_xll.GetLatestPrice(F30,,G30)</f>
        <v>340</v>
      </c>
      <c r="C30" s="1" cm="1">
        <f t="array" ref="C30">_xll.GetLatestPrice(F30,"Actual","AssessmentDate")</f>
        <v>45849.4375</v>
      </c>
      <c r="D30">
        <f t="shared" si="0"/>
        <v>2025</v>
      </c>
      <c r="E30">
        <f t="shared" si="1"/>
        <v>7</v>
      </c>
      <c r="F30" s="8" t="s">
        <v>68</v>
      </c>
      <c r="G30" s="8" t="s">
        <v>11</v>
      </c>
      <c r="H30" s="10" t="s">
        <v>12</v>
      </c>
    </row>
    <row r="31" spans="1:8" x14ac:dyDescent="0.25">
      <c r="A31" t="s">
        <v>69</v>
      </c>
      <c r="B31" s="14" cm="1">
        <f t="array" ref="B31">_xll.GetLatestPrice(F31,,G31)</f>
        <v>570</v>
      </c>
      <c r="C31" s="1" cm="1">
        <f t="array" ref="C31">_xll.GetLatestPrice(F31,"Actual","AssessmentDate")</f>
        <v>45849.4375</v>
      </c>
      <c r="D31">
        <f t="shared" si="0"/>
        <v>2025</v>
      </c>
      <c r="E31">
        <f t="shared" si="1"/>
        <v>7</v>
      </c>
      <c r="F31" s="8" t="s">
        <v>70</v>
      </c>
      <c r="G31" s="8" t="s">
        <v>11</v>
      </c>
      <c r="H31" s="10" t="s">
        <v>12</v>
      </c>
    </row>
    <row r="32" spans="1:8" x14ac:dyDescent="0.25">
      <c r="A32" t="s">
        <v>71</v>
      </c>
      <c r="B32" s="14" cm="1">
        <f t="array" ref="B32">_xll.GetLatestPrice(F32,,G32)</f>
        <v>630</v>
      </c>
      <c r="C32" s="1" cm="1">
        <f t="array" ref="C32">_xll.GetLatestPrice(F32,"Actual","AssessmentDate")</f>
        <v>45849.4375</v>
      </c>
      <c r="D32">
        <f t="shared" si="0"/>
        <v>2025</v>
      </c>
      <c r="E32">
        <f t="shared" si="1"/>
        <v>7</v>
      </c>
      <c r="F32" s="8" t="s">
        <v>72</v>
      </c>
      <c r="G32" s="8" t="s">
        <v>11</v>
      </c>
      <c r="H32" s="10" t="s">
        <v>12</v>
      </c>
    </row>
    <row r="33" spans="1:8" x14ac:dyDescent="0.25">
      <c r="A33" t="s">
        <v>73</v>
      </c>
      <c r="B33" s="14" cm="1">
        <f t="array" ref="B33">_xll.GetLatestPrice(F33,,G33)</f>
        <v>970</v>
      </c>
      <c r="C33" s="1" cm="1">
        <f t="array" ref="C33">_xll.GetLatestPrice(F33,"Actual","AssessmentDate")</f>
        <v>45849.4375</v>
      </c>
      <c r="D33">
        <f t="shared" si="0"/>
        <v>2025</v>
      </c>
      <c r="E33">
        <f t="shared" si="1"/>
        <v>7</v>
      </c>
      <c r="F33" s="8" t="s">
        <v>74</v>
      </c>
      <c r="G33" s="8" t="s">
        <v>11</v>
      </c>
      <c r="H33" s="10" t="s">
        <v>12</v>
      </c>
    </row>
    <row r="34" spans="1:8" x14ac:dyDescent="0.25">
      <c r="A34" t="s">
        <v>75</v>
      </c>
      <c r="B34" s="14" cm="1">
        <f t="array" ref="B34">_xll.GetLatestPrice(F34,,G34)</f>
        <v>995</v>
      </c>
      <c r="C34" s="1" cm="1">
        <f t="array" ref="C34">_xll.GetLatestPrice(F34,"Actual","AssessmentDate")</f>
        <v>45849.4375</v>
      </c>
      <c r="D34">
        <f t="shared" si="0"/>
        <v>2025</v>
      </c>
      <c r="E34">
        <f t="shared" si="1"/>
        <v>7</v>
      </c>
      <c r="F34" s="8" t="s">
        <v>76</v>
      </c>
      <c r="G34" s="8" t="s">
        <v>11</v>
      </c>
      <c r="H34" s="10" t="s">
        <v>12</v>
      </c>
    </row>
    <row r="35" spans="1:8" x14ac:dyDescent="0.25">
      <c r="A35" t="s">
        <v>77</v>
      </c>
      <c r="B35" s="14" cm="1">
        <f t="array" ref="B35">_xll.GetLatestPrice(F35,,G35)</f>
        <v>1470</v>
      </c>
      <c r="C35" s="1" cm="1">
        <f t="array" ref="C35">_xll.GetLatestPrice(F35,"Actual","AssessmentDate")</f>
        <v>45849.4375</v>
      </c>
      <c r="D35">
        <f t="shared" si="0"/>
        <v>2025</v>
      </c>
      <c r="E35">
        <f t="shared" si="1"/>
        <v>7</v>
      </c>
      <c r="F35" s="8" t="s">
        <v>78</v>
      </c>
      <c r="G35" s="8" t="s">
        <v>11</v>
      </c>
      <c r="H35" s="10" t="s">
        <v>12</v>
      </c>
    </row>
    <row r="36" spans="1:8" x14ac:dyDescent="0.25">
      <c r="A36" t="s">
        <v>79</v>
      </c>
      <c r="B36" s="14" cm="1">
        <f t="array" ref="B36">_xll.GetLatestPrice(F36,,G36)</f>
        <v>1620</v>
      </c>
      <c r="C36" s="1" cm="1">
        <f t="array" ref="C36">_xll.GetLatestPrice(F36,"Actual","AssessmentDate")</f>
        <v>45849.4375</v>
      </c>
      <c r="D36">
        <f t="shared" si="0"/>
        <v>2025</v>
      </c>
      <c r="E36">
        <f t="shared" si="1"/>
        <v>7</v>
      </c>
      <c r="F36" s="8" t="s">
        <v>80</v>
      </c>
      <c r="G36" s="8" t="s">
        <v>11</v>
      </c>
      <c r="H36" s="10" t="s">
        <v>12</v>
      </c>
    </row>
    <row r="37" spans="1:8" x14ac:dyDescent="0.25">
      <c r="A37" t="s">
        <v>81</v>
      </c>
      <c r="B37" s="14" cm="1">
        <f t="array" ref="B37">_xll.GetLatestPrice(F37,,G37)</f>
        <v>1810</v>
      </c>
      <c r="C37" s="1" cm="1">
        <f t="array" ref="C37">_xll.GetLatestPrice(F37,"Actual","AssessmentDate")</f>
        <v>45849.4375</v>
      </c>
      <c r="D37">
        <f t="shared" si="0"/>
        <v>2025</v>
      </c>
      <c r="E37">
        <f t="shared" si="1"/>
        <v>7</v>
      </c>
      <c r="F37" s="8" t="s">
        <v>82</v>
      </c>
      <c r="G37" s="8" t="s">
        <v>11</v>
      </c>
      <c r="H37" s="10" t="s">
        <v>12</v>
      </c>
    </row>
    <row r="38" spans="1:8" x14ac:dyDescent="0.25">
      <c r="A38" t="s">
        <v>83</v>
      </c>
      <c r="B38" s="14" cm="1">
        <f t="array" ref="B38">_xll.GetLatestPrice(F38,,G38)</f>
        <v>265</v>
      </c>
      <c r="C38" s="1" cm="1">
        <f t="array" ref="C38">_xll.GetLatestPrice(F38,"Actual","AssessmentDate")</f>
        <v>45849.4375</v>
      </c>
      <c r="D38">
        <f t="shared" si="0"/>
        <v>2025</v>
      </c>
      <c r="E38">
        <f t="shared" si="1"/>
        <v>7</v>
      </c>
      <c r="F38" s="8" t="s">
        <v>84</v>
      </c>
      <c r="G38" s="8" t="s">
        <v>11</v>
      </c>
      <c r="H38" s="10" t="s">
        <v>12</v>
      </c>
    </row>
    <row r="39" spans="1:8" x14ac:dyDescent="0.25">
      <c r="A39" t="s">
        <v>85</v>
      </c>
      <c r="B39" s="14" cm="1">
        <f t="array" ref="B39">_xll.GetLatestPrice(F39,,G39)</f>
        <v>267</v>
      </c>
      <c r="C39" s="1" cm="1">
        <f t="array" ref="C39">_xll.GetLatestPrice(F39,"Actual","AssessmentDate")</f>
        <v>45849.4375</v>
      </c>
      <c r="D39">
        <f t="shared" si="0"/>
        <v>2025</v>
      </c>
      <c r="E39">
        <f t="shared" si="1"/>
        <v>7</v>
      </c>
      <c r="F39" s="8" t="s">
        <v>86</v>
      </c>
      <c r="G39" s="8" t="s">
        <v>11</v>
      </c>
      <c r="H39" s="10" t="s">
        <v>12</v>
      </c>
    </row>
    <row r="40" spans="1:8" x14ac:dyDescent="0.25">
      <c r="A40" t="s">
        <v>87</v>
      </c>
      <c r="B40" s="14" cm="1">
        <f t="array" ref="B40">_xll.GetLatestPrice(F40,,G40)</f>
        <v>290</v>
      </c>
      <c r="C40" s="1" cm="1">
        <f t="array" ref="C40">_xll.GetLatestPrice(F40,"Actual","AssessmentDate")</f>
        <v>45849.4375</v>
      </c>
      <c r="D40">
        <f t="shared" si="0"/>
        <v>2025</v>
      </c>
      <c r="E40">
        <f t="shared" si="1"/>
        <v>7</v>
      </c>
      <c r="F40" s="8" t="s">
        <v>88</v>
      </c>
      <c r="G40" s="8" t="s">
        <v>11</v>
      </c>
      <c r="H40" s="10" t="s">
        <v>12</v>
      </c>
    </row>
    <row r="41" spans="1:8" x14ac:dyDescent="0.25">
      <c r="A41" t="s">
        <v>89</v>
      </c>
      <c r="B41" s="14" cm="1">
        <f t="array" ref="B41">_xll.GetLatestPrice(F41,,G41)</f>
        <v>255</v>
      </c>
      <c r="C41" s="1" cm="1">
        <f t="array" ref="C41">_xll.GetLatestPrice(F41,"Actual","AssessmentDate")</f>
        <v>45849.4375</v>
      </c>
      <c r="D41">
        <f t="shared" si="0"/>
        <v>2025</v>
      </c>
      <c r="E41">
        <f t="shared" si="1"/>
        <v>7</v>
      </c>
      <c r="F41" s="8" t="s">
        <v>90</v>
      </c>
      <c r="G41" s="8" t="s">
        <v>11</v>
      </c>
      <c r="H41" s="10" t="s">
        <v>12</v>
      </c>
    </row>
    <row r="42" spans="1:8" x14ac:dyDescent="0.25">
      <c r="A42" t="s">
        <v>91</v>
      </c>
      <c r="B42" s="14" cm="1">
        <f t="array" ref="B42">_xll.GetLatestPrice(F42,,G42)</f>
        <v>290</v>
      </c>
      <c r="C42" s="1" cm="1">
        <f t="array" ref="C42">_xll.GetLatestPrice(F42,"Actual","AssessmentDate")</f>
        <v>45849.4375</v>
      </c>
      <c r="D42">
        <f t="shared" si="0"/>
        <v>2025</v>
      </c>
      <c r="E42">
        <f t="shared" si="1"/>
        <v>7</v>
      </c>
      <c r="F42" s="8" t="s">
        <v>92</v>
      </c>
      <c r="G42" s="8" t="s">
        <v>11</v>
      </c>
      <c r="H42" s="10" t="s">
        <v>12</v>
      </c>
    </row>
    <row r="43" spans="1:8" x14ac:dyDescent="0.25">
      <c r="A43" t="s">
        <v>93</v>
      </c>
      <c r="B43" s="14" cm="1">
        <f t="array" ref="B43">_xll.GetLatestPrice(F43,,G43)</f>
        <v>290</v>
      </c>
      <c r="C43" s="1" cm="1">
        <f t="array" ref="C43">_xll.GetLatestPrice(F43,"Actual","AssessmentDate")</f>
        <v>45849.4375</v>
      </c>
      <c r="D43">
        <f t="shared" si="0"/>
        <v>2025</v>
      </c>
      <c r="E43">
        <f t="shared" si="1"/>
        <v>7</v>
      </c>
      <c r="F43" s="8" t="s">
        <v>94</v>
      </c>
      <c r="G43" s="8" t="s">
        <v>11</v>
      </c>
      <c r="H43" s="10" t="s">
        <v>12</v>
      </c>
    </row>
    <row r="44" spans="1:8" x14ac:dyDescent="0.25">
      <c r="A44" t="s">
        <v>95</v>
      </c>
      <c r="B44" s="14" cm="1">
        <f t="array" ref="B44">_xll.GetLatestPrice(F44,,G44)</f>
        <v>255</v>
      </c>
      <c r="C44" s="1" cm="1">
        <f t="array" ref="C44">_xll.GetLatestPrice(F44,"Actual","AssessmentDate")</f>
        <v>45849.4375</v>
      </c>
      <c r="D44">
        <f t="shared" si="0"/>
        <v>2025</v>
      </c>
      <c r="E44">
        <f t="shared" si="1"/>
        <v>7</v>
      </c>
      <c r="F44" s="8" t="s">
        <v>96</v>
      </c>
      <c r="G44" s="8" t="s">
        <v>11</v>
      </c>
      <c r="H44" s="10" t="s">
        <v>12</v>
      </c>
    </row>
    <row r="45" spans="1:8" x14ac:dyDescent="0.25">
      <c r="A45" t="s">
        <v>97</v>
      </c>
      <c r="B45" s="14" cm="1">
        <f t="array" ref="B45">_xll.GetLatestPrice(F45,,G45)</f>
        <v>340</v>
      </c>
      <c r="C45" s="1" cm="1">
        <f t="array" ref="C45">_xll.GetLatestPrice(F45,"Actual","AssessmentDate")</f>
        <v>45849.4375</v>
      </c>
      <c r="D45">
        <f t="shared" si="0"/>
        <v>2025</v>
      </c>
      <c r="E45">
        <f t="shared" si="1"/>
        <v>7</v>
      </c>
      <c r="F45" s="8" t="s">
        <v>98</v>
      </c>
      <c r="G45" s="8" t="s">
        <v>11</v>
      </c>
      <c r="H45" s="10" t="s">
        <v>12</v>
      </c>
    </row>
    <row r="46" spans="1:8" x14ac:dyDescent="0.25">
      <c r="A46" t="s">
        <v>99</v>
      </c>
      <c r="B46" s="14" cm="1">
        <f t="array" ref="B46">_xll.GetLatestPrice(F46,,G46)</f>
        <v>1150</v>
      </c>
      <c r="C46" s="1" cm="1">
        <f t="array" ref="C46">_xll.GetLatestPrice(F46,"Actual","AssessmentDate")</f>
        <v>45849.4375</v>
      </c>
      <c r="D46">
        <f t="shared" si="0"/>
        <v>2025</v>
      </c>
      <c r="E46">
        <f t="shared" si="1"/>
        <v>7</v>
      </c>
      <c r="F46" s="8" t="s">
        <v>100</v>
      </c>
      <c r="G46" s="8" t="s">
        <v>11</v>
      </c>
      <c r="H46" s="10" t="s">
        <v>12</v>
      </c>
    </row>
    <row r="47" spans="1:8" x14ac:dyDescent="0.25">
      <c r="A47" t="s">
        <v>101</v>
      </c>
      <c r="B47" s="14" cm="1">
        <f t="array" ref="B47">_xll.GetLatestPrice(F47,,G47)</f>
        <v>1195</v>
      </c>
      <c r="C47" s="1" cm="1">
        <f t="array" ref="C47">_xll.GetLatestPrice(F47,"Actual","AssessmentDate")</f>
        <v>45849.4375</v>
      </c>
      <c r="D47">
        <f t="shared" si="0"/>
        <v>2025</v>
      </c>
      <c r="E47">
        <f t="shared" si="1"/>
        <v>7</v>
      </c>
      <c r="F47" s="8" t="s">
        <v>102</v>
      </c>
      <c r="G47" s="8" t="s">
        <v>11</v>
      </c>
      <c r="H47" s="10" t="s">
        <v>12</v>
      </c>
    </row>
    <row r="48" spans="1:8" x14ac:dyDescent="0.25">
      <c r="A48" t="s">
        <v>103</v>
      </c>
      <c r="B48" s="14" cm="1">
        <f t="array" ref="B48">_xll.GetLatestPrice(F48,,G48)</f>
        <v>1710</v>
      </c>
      <c r="C48" s="1" cm="1">
        <f t="array" ref="C48">_xll.GetLatestPrice(F48,"Actual","AssessmentDate")</f>
        <v>45849.4375</v>
      </c>
      <c r="D48">
        <f t="shared" si="0"/>
        <v>2025</v>
      </c>
      <c r="E48">
        <f t="shared" si="1"/>
        <v>7</v>
      </c>
      <c r="F48" s="8" t="s">
        <v>104</v>
      </c>
      <c r="G48" s="8" t="s">
        <v>11</v>
      </c>
      <c r="H48" s="10" t="s">
        <v>12</v>
      </c>
    </row>
    <row r="49" spans="1:8" x14ac:dyDescent="0.25">
      <c r="A49" t="s">
        <v>105</v>
      </c>
      <c r="B49" s="14" cm="1">
        <f t="array" ref="B49">_xll.GetLatestPrice(F49,,G49)</f>
        <v>1910</v>
      </c>
      <c r="C49" s="1" cm="1">
        <f t="array" ref="C49">_xll.GetLatestPrice(F49,"Actual","AssessmentDate")</f>
        <v>45849.4375</v>
      </c>
      <c r="D49">
        <f t="shared" si="0"/>
        <v>2025</v>
      </c>
      <c r="E49">
        <f t="shared" si="1"/>
        <v>7</v>
      </c>
      <c r="F49" s="8" t="s">
        <v>106</v>
      </c>
      <c r="G49" s="8" t="s">
        <v>11</v>
      </c>
      <c r="H49" s="10" t="s">
        <v>12</v>
      </c>
    </row>
    <row r="50" spans="1:8" x14ac:dyDescent="0.25">
      <c r="A50" t="s">
        <v>107</v>
      </c>
      <c r="B50" s="14" cm="1">
        <f t="array" ref="B50">_xll.GetLatestPrice(F50,,G50)</f>
        <v>2145</v>
      </c>
      <c r="C50" s="1" cm="1">
        <f t="array" ref="C50">_xll.GetLatestPrice(F50,"Actual","AssessmentDate")</f>
        <v>45849.4375</v>
      </c>
      <c r="D50">
        <f t="shared" si="0"/>
        <v>2025</v>
      </c>
      <c r="E50">
        <f t="shared" si="1"/>
        <v>7</v>
      </c>
      <c r="F50" s="8" t="s">
        <v>108</v>
      </c>
      <c r="G50" s="8" t="s">
        <v>11</v>
      </c>
      <c r="H50" s="10" t="s">
        <v>12</v>
      </c>
    </row>
    <row r="51" spans="1:8" x14ac:dyDescent="0.25">
      <c r="A51" t="s">
        <v>109</v>
      </c>
      <c r="B51" s="14" cm="1">
        <f t="array" ref="B51">_xll.GetLatestPrice(F51,,G51)</f>
        <v>200</v>
      </c>
      <c r="C51" s="1" cm="1">
        <f t="array" ref="C51">_xll.GetLatestPrice(F51,"Actual","AssessmentDate")</f>
        <v>45849.4375</v>
      </c>
      <c r="D51">
        <f t="shared" si="0"/>
        <v>2025</v>
      </c>
      <c r="E51">
        <f t="shared" si="1"/>
        <v>7</v>
      </c>
      <c r="F51" s="8" t="s">
        <v>110</v>
      </c>
      <c r="G51" s="8" t="s">
        <v>11</v>
      </c>
      <c r="H51" s="10" t="s">
        <v>12</v>
      </c>
    </row>
    <row r="52" spans="1:8" x14ac:dyDescent="0.25">
      <c r="A52" t="s">
        <v>111</v>
      </c>
      <c r="B52" s="14" cm="1">
        <f t="array" ref="B52">_xll.GetLatestPrice(F52,,G52)</f>
        <v>200</v>
      </c>
      <c r="C52" s="1" cm="1">
        <f t="array" ref="C52">_xll.GetLatestPrice(F52,"Actual","AssessmentDate")</f>
        <v>45849.4375</v>
      </c>
      <c r="D52">
        <f t="shared" si="0"/>
        <v>2025</v>
      </c>
      <c r="E52">
        <f t="shared" si="1"/>
        <v>7</v>
      </c>
      <c r="F52" s="8" t="s">
        <v>112</v>
      </c>
      <c r="G52" s="8" t="s">
        <v>11</v>
      </c>
      <c r="H52" s="10" t="s">
        <v>12</v>
      </c>
    </row>
    <row r="53" spans="1:8" x14ac:dyDescent="0.25">
      <c r="A53" t="s">
        <v>113</v>
      </c>
      <c r="B53" s="14" cm="1">
        <f t="array" ref="B53">_xll.GetLatestPrice(F53,,G53)</f>
        <v>220</v>
      </c>
      <c r="C53" s="1" cm="1">
        <f t="array" ref="C53">_xll.GetLatestPrice(F53,"Actual","AssessmentDate")</f>
        <v>45849.4375</v>
      </c>
      <c r="D53">
        <f t="shared" si="0"/>
        <v>2025</v>
      </c>
      <c r="E53">
        <f t="shared" si="1"/>
        <v>7</v>
      </c>
      <c r="F53" s="8" t="s">
        <v>114</v>
      </c>
      <c r="G53" s="8" t="s">
        <v>11</v>
      </c>
      <c r="H53" s="10" t="s">
        <v>12</v>
      </c>
    </row>
    <row r="54" spans="1:8" x14ac:dyDescent="0.25">
      <c r="A54" t="s">
        <v>115</v>
      </c>
      <c r="B54" s="14" cm="1">
        <f t="array" ref="B54">_xll.GetLatestPrice(F54,,G54)</f>
        <v>240</v>
      </c>
      <c r="C54" s="1" cm="1">
        <f t="array" ref="C54">_xll.GetLatestPrice(F54,"Actual","AssessmentDate")</f>
        <v>45849.4375</v>
      </c>
      <c r="D54">
        <f t="shared" si="0"/>
        <v>2025</v>
      </c>
      <c r="E54">
        <f t="shared" si="1"/>
        <v>7</v>
      </c>
      <c r="F54" s="8" t="s">
        <v>116</v>
      </c>
      <c r="G54" s="8" t="s">
        <v>11</v>
      </c>
      <c r="H54" s="10" t="s">
        <v>12</v>
      </c>
    </row>
    <row r="55" spans="1:8" x14ac:dyDescent="0.25">
      <c r="A55" t="s">
        <v>117</v>
      </c>
      <c r="B55" s="14" cm="1">
        <f t="array" ref="B55">_xll.GetLatestPrice(F55,,G55)</f>
        <v>325</v>
      </c>
      <c r="C55" s="1" cm="1">
        <f t="array" ref="C55">_xll.GetLatestPrice(F55,"Actual","AssessmentDate")</f>
        <v>45849.4375</v>
      </c>
      <c r="D55">
        <f t="shared" si="0"/>
        <v>2025</v>
      </c>
      <c r="E55">
        <f t="shared" si="1"/>
        <v>7</v>
      </c>
      <c r="F55" s="8" t="s">
        <v>118</v>
      </c>
      <c r="G55" s="8" t="s">
        <v>11</v>
      </c>
      <c r="H55" s="10" t="s">
        <v>12</v>
      </c>
    </row>
    <row r="56" spans="1:8" x14ac:dyDescent="0.25">
      <c r="A56" t="s">
        <v>119</v>
      </c>
      <c r="B56" s="14" cm="1">
        <f t="array" ref="B56">_xll.GetLatestPrice(F56,,G56)</f>
        <v>365</v>
      </c>
      <c r="C56" s="1" cm="1">
        <f t="array" ref="C56">_xll.GetLatestPrice(F56,"Actual","AssessmentDate")</f>
        <v>45849.4375</v>
      </c>
      <c r="D56">
        <f t="shared" si="0"/>
        <v>2025</v>
      </c>
      <c r="E56">
        <f t="shared" si="1"/>
        <v>7</v>
      </c>
      <c r="F56" s="8" t="s">
        <v>120</v>
      </c>
      <c r="G56" s="8" t="s">
        <v>11</v>
      </c>
      <c r="H56" s="10" t="s">
        <v>12</v>
      </c>
    </row>
    <row r="57" spans="1:8" x14ac:dyDescent="0.25">
      <c r="A57" t="s">
        <v>121</v>
      </c>
      <c r="B57" s="14" cm="1">
        <f t="array" ref="B57">_xll.GetLatestPrice(F57,,G57)</f>
        <v>285</v>
      </c>
      <c r="C57" s="1" cm="1">
        <f t="array" ref="C57">_xll.GetLatestPrice(F57,"Actual","AssessmentDate")</f>
        <v>45849.4375</v>
      </c>
      <c r="D57">
        <f t="shared" si="0"/>
        <v>2025</v>
      </c>
      <c r="E57">
        <f t="shared" si="1"/>
        <v>7</v>
      </c>
      <c r="F57" s="8" t="s">
        <v>122</v>
      </c>
      <c r="G57" s="8" t="s">
        <v>11</v>
      </c>
      <c r="H57" s="10" t="s">
        <v>12</v>
      </c>
    </row>
    <row r="58" spans="1:8" x14ac:dyDescent="0.25">
      <c r="A58" t="s">
        <v>123</v>
      </c>
      <c r="B58" s="14" cm="1">
        <f t="array" ref="B58">_xll.GetLatestPrice(F58,,G58)</f>
        <v>287</v>
      </c>
      <c r="C58" s="1" cm="1">
        <f t="array" ref="C58">_xll.GetLatestPrice(F58,"Actual","AssessmentDate")</f>
        <v>45849.4375</v>
      </c>
      <c r="D58">
        <f t="shared" si="0"/>
        <v>2025</v>
      </c>
      <c r="E58">
        <f t="shared" si="1"/>
        <v>7</v>
      </c>
      <c r="F58" s="8" t="s">
        <v>124</v>
      </c>
      <c r="G58" s="8" t="s">
        <v>11</v>
      </c>
      <c r="H58" s="10" t="s">
        <v>12</v>
      </c>
    </row>
    <row r="59" spans="1:8" x14ac:dyDescent="0.25">
      <c r="A59" t="s">
        <v>125</v>
      </c>
      <c r="B59" s="14" cm="1">
        <f t="array" ref="B59">_xll.GetLatestPrice(F59,,G59)</f>
        <v>315</v>
      </c>
      <c r="C59" s="1" cm="1">
        <f t="array" ref="C59">_xll.GetLatestPrice(F59,"Actual","AssessmentDate")</f>
        <v>45849.4375</v>
      </c>
      <c r="D59">
        <f t="shared" si="0"/>
        <v>2025</v>
      </c>
      <c r="E59">
        <f t="shared" si="1"/>
        <v>7</v>
      </c>
      <c r="F59" s="8" t="s">
        <v>126</v>
      </c>
      <c r="G59" s="8" t="s">
        <v>11</v>
      </c>
      <c r="H59" s="10" t="s">
        <v>12</v>
      </c>
    </row>
    <row r="60" spans="1:8" x14ac:dyDescent="0.25">
      <c r="A60" t="s">
        <v>127</v>
      </c>
      <c r="B60" s="14" cm="1">
        <f t="array" ref="B60">_xll.GetLatestPrice(F60,,G60)</f>
        <v>275</v>
      </c>
      <c r="C60" s="1" cm="1">
        <f t="array" ref="C60">_xll.GetLatestPrice(F60,"Actual","AssessmentDate")</f>
        <v>45849.4375</v>
      </c>
      <c r="D60">
        <f t="shared" si="0"/>
        <v>2025</v>
      </c>
      <c r="E60">
        <f t="shared" si="1"/>
        <v>7</v>
      </c>
      <c r="F60" s="8" t="s">
        <v>128</v>
      </c>
      <c r="G60" s="8" t="s">
        <v>11</v>
      </c>
      <c r="H60" s="10" t="s">
        <v>12</v>
      </c>
    </row>
    <row r="61" spans="1:8" x14ac:dyDescent="0.25">
      <c r="A61" t="s">
        <v>129</v>
      </c>
      <c r="B61" s="14" cm="1">
        <f t="array" ref="B61">_xll.GetLatestPrice(F61,,G61)</f>
        <v>310</v>
      </c>
      <c r="C61" s="1" cm="1">
        <f t="array" ref="C61">_xll.GetLatestPrice(F61,"Actual","AssessmentDate")</f>
        <v>45849.4375</v>
      </c>
      <c r="D61">
        <f t="shared" si="0"/>
        <v>2025</v>
      </c>
      <c r="E61">
        <f t="shared" si="1"/>
        <v>7</v>
      </c>
      <c r="F61" s="8" t="s">
        <v>130</v>
      </c>
      <c r="G61" s="8" t="s">
        <v>11</v>
      </c>
      <c r="H61" s="10" t="s">
        <v>12</v>
      </c>
    </row>
    <row r="62" spans="1:8" x14ac:dyDescent="0.25">
      <c r="A62" t="s">
        <v>131</v>
      </c>
      <c r="B62" s="14" cm="1">
        <f t="array" ref="B62">_xll.GetLatestPrice(F62,,G62)</f>
        <v>310</v>
      </c>
      <c r="C62" s="1" cm="1">
        <f t="array" ref="C62">_xll.GetLatestPrice(F62,"Actual","AssessmentDate")</f>
        <v>45849.4375</v>
      </c>
      <c r="D62">
        <f t="shared" si="0"/>
        <v>2025</v>
      </c>
      <c r="E62">
        <f t="shared" si="1"/>
        <v>7</v>
      </c>
      <c r="F62" s="8" t="s">
        <v>132</v>
      </c>
      <c r="G62" s="8" t="s">
        <v>11</v>
      </c>
      <c r="H62" s="10" t="s">
        <v>12</v>
      </c>
    </row>
    <row r="63" spans="1:8" x14ac:dyDescent="0.25">
      <c r="A63" t="s">
        <v>133</v>
      </c>
      <c r="B63" s="14" cm="1">
        <f t="array" ref="B63">_xll.GetLatestPrice(F63,,G63)</f>
        <v>275</v>
      </c>
      <c r="C63" s="1" cm="1">
        <f t="array" ref="C63">_xll.GetLatestPrice(F63,"Actual","AssessmentDate")</f>
        <v>45849.4375</v>
      </c>
      <c r="D63">
        <f t="shared" si="0"/>
        <v>2025</v>
      </c>
      <c r="E63">
        <f t="shared" si="1"/>
        <v>7</v>
      </c>
      <c r="F63" s="8" t="s">
        <v>134</v>
      </c>
      <c r="G63" s="8" t="s">
        <v>11</v>
      </c>
      <c r="H63" s="10" t="s">
        <v>12</v>
      </c>
    </row>
    <row r="64" spans="1:8" x14ac:dyDescent="0.25">
      <c r="A64" t="s">
        <v>135</v>
      </c>
      <c r="B64" s="14" cm="1">
        <f t="array" ref="B64">_xll.GetLatestPrice(F64,,G64)</f>
        <v>370</v>
      </c>
      <c r="C64" s="1" cm="1">
        <f t="array" ref="C64">_xll.GetLatestPrice(F64,"Actual","AssessmentDate")</f>
        <v>45849.4375</v>
      </c>
      <c r="D64">
        <f t="shared" si="0"/>
        <v>2025</v>
      </c>
      <c r="E64">
        <f t="shared" si="1"/>
        <v>7</v>
      </c>
      <c r="F64" s="8" t="s">
        <v>136</v>
      </c>
      <c r="G64" s="8" t="s">
        <v>11</v>
      </c>
      <c r="H64" s="10" t="s">
        <v>12</v>
      </c>
    </row>
    <row r="65" spans="1:8" x14ac:dyDescent="0.25">
      <c r="A65" t="s">
        <v>137</v>
      </c>
      <c r="B65" s="14" cm="1">
        <f t="array" ref="B65">_xll.GetLatestPrice(F65,,G65)</f>
        <v>455</v>
      </c>
      <c r="C65" s="1" cm="1">
        <f t="array" ref="C65">_xll.GetLatestPrice(F65,"Actual","AssessmentDate")</f>
        <v>45849.4375</v>
      </c>
      <c r="D65">
        <f t="shared" si="0"/>
        <v>2025</v>
      </c>
      <c r="E65">
        <f t="shared" si="1"/>
        <v>7</v>
      </c>
      <c r="F65" s="8" t="s">
        <v>138</v>
      </c>
      <c r="G65" s="8" t="s">
        <v>11</v>
      </c>
      <c r="H65" s="10" t="s">
        <v>12</v>
      </c>
    </row>
    <row r="66" spans="1:8" x14ac:dyDescent="0.25">
      <c r="A66" t="s">
        <v>139</v>
      </c>
      <c r="B66" s="14" cm="1">
        <f t="array" ref="B66">_xll.GetLatestPrice(F66,,G66)</f>
        <v>600</v>
      </c>
      <c r="C66" s="1" cm="1">
        <f t="array" ref="C66">_xll.GetLatestPrice(F66,"Actual","AssessmentDate")</f>
        <v>45849.4375</v>
      </c>
      <c r="D66">
        <f t="shared" si="0"/>
        <v>2025</v>
      </c>
      <c r="E66">
        <f t="shared" si="1"/>
        <v>7</v>
      </c>
      <c r="F66" s="8" t="s">
        <v>140</v>
      </c>
      <c r="G66" s="8" t="s">
        <v>11</v>
      </c>
      <c r="H66" s="10" t="s">
        <v>12</v>
      </c>
    </row>
    <row r="67" spans="1:8" x14ac:dyDescent="0.25">
      <c r="A67" t="s">
        <v>141</v>
      </c>
      <c r="B67" s="14" cm="1">
        <f t="array" ref="B67">_xll.GetLatestPrice(F67,,G67)</f>
        <v>670</v>
      </c>
      <c r="C67" s="1" cm="1">
        <f t="array" ref="C67">_xll.GetLatestPrice(F67,"Actual","AssessmentDate")</f>
        <v>45849.4375</v>
      </c>
      <c r="D67">
        <f t="shared" ref="D67:D126" si="2">YEAR(C67)</f>
        <v>2025</v>
      </c>
      <c r="E67">
        <f t="shared" ref="E67:E126" si="3">MONTH(C67)</f>
        <v>7</v>
      </c>
      <c r="F67" s="8" t="s">
        <v>142</v>
      </c>
      <c r="G67" s="8" t="s">
        <v>11</v>
      </c>
      <c r="H67" s="10" t="s">
        <v>12</v>
      </c>
    </row>
    <row r="68" spans="1:8" x14ac:dyDescent="0.25">
      <c r="A68" t="s">
        <v>143</v>
      </c>
      <c r="B68" s="14" cm="1">
        <f t="array" ref="B68">_xll.GetLatestPrice(F68,,G68)</f>
        <v>810</v>
      </c>
      <c r="C68" s="1" cm="1">
        <f t="array" ref="C68">_xll.GetLatestPrice(F68,"Actual","AssessmentDate")</f>
        <v>45849.4375</v>
      </c>
      <c r="D68">
        <f t="shared" si="2"/>
        <v>2025</v>
      </c>
      <c r="E68">
        <f t="shared" si="3"/>
        <v>7</v>
      </c>
      <c r="F68" s="8" t="s">
        <v>144</v>
      </c>
      <c r="G68" s="8" t="s">
        <v>11</v>
      </c>
      <c r="H68" s="10" t="s">
        <v>12</v>
      </c>
    </row>
    <row r="69" spans="1:8" x14ac:dyDescent="0.25">
      <c r="A69" t="s">
        <v>145</v>
      </c>
      <c r="B69" s="14" cm="1">
        <f t="array" ref="B69">_xll.GetLatestPrice(F69,,G69)</f>
        <v>1185</v>
      </c>
      <c r="C69" s="1" cm="1">
        <f t="array" ref="C69">_xll.GetLatestPrice(F69,"Actual","AssessmentDate")</f>
        <v>45849.4375</v>
      </c>
      <c r="D69">
        <f t="shared" si="2"/>
        <v>2025</v>
      </c>
      <c r="E69">
        <f t="shared" si="3"/>
        <v>7</v>
      </c>
      <c r="F69" s="8" t="s">
        <v>146</v>
      </c>
      <c r="G69" s="8" t="s">
        <v>11</v>
      </c>
      <c r="H69" s="10" t="s">
        <v>12</v>
      </c>
    </row>
    <row r="70" spans="1:8" x14ac:dyDescent="0.25">
      <c r="A70" t="s">
        <v>147</v>
      </c>
      <c r="B70" s="14" cm="1">
        <f t="array" ref="B70">_xll.GetLatestPrice(F70,,G70)</f>
        <v>1230</v>
      </c>
      <c r="C70" s="1" cm="1">
        <f t="array" ref="C70">_xll.GetLatestPrice(F70,"Actual","AssessmentDate")</f>
        <v>45849.4375</v>
      </c>
      <c r="D70">
        <f t="shared" si="2"/>
        <v>2025</v>
      </c>
      <c r="E70">
        <f t="shared" si="3"/>
        <v>7</v>
      </c>
      <c r="F70" s="8" t="s">
        <v>148</v>
      </c>
      <c r="G70" s="8" t="s">
        <v>11</v>
      </c>
      <c r="H70" s="10" t="s">
        <v>12</v>
      </c>
    </row>
    <row r="71" spans="1:8" x14ac:dyDescent="0.25">
      <c r="A71" t="s">
        <v>149</v>
      </c>
      <c r="B71" s="14" cm="1">
        <f t="array" ref="B71">_xll.GetLatestPrice(F71,,G71)</f>
        <v>1730</v>
      </c>
      <c r="C71" s="1" cm="1">
        <f t="array" ref="C71">_xll.GetLatestPrice(F71,"Actual","AssessmentDate")</f>
        <v>45849.4375</v>
      </c>
      <c r="D71">
        <f t="shared" si="2"/>
        <v>2025</v>
      </c>
      <c r="E71">
        <f t="shared" si="3"/>
        <v>7</v>
      </c>
      <c r="F71" s="8" t="s">
        <v>150</v>
      </c>
      <c r="G71" s="8" t="s">
        <v>11</v>
      </c>
      <c r="H71" s="10" t="s">
        <v>12</v>
      </c>
    </row>
    <row r="72" spans="1:8" x14ac:dyDescent="0.25">
      <c r="A72" t="s">
        <v>151</v>
      </c>
      <c r="B72" s="14" cm="1">
        <f t="array" ref="B72">_xll.GetLatestPrice(F72,,G72)</f>
        <v>1935</v>
      </c>
      <c r="C72" s="1" cm="1">
        <f t="array" ref="C72">_xll.GetLatestPrice(F72,"Actual","AssessmentDate")</f>
        <v>45849.4375</v>
      </c>
      <c r="D72">
        <f t="shared" si="2"/>
        <v>2025</v>
      </c>
      <c r="E72">
        <f t="shared" si="3"/>
        <v>7</v>
      </c>
      <c r="F72" s="8" t="s">
        <v>152</v>
      </c>
      <c r="G72" s="8" t="s">
        <v>11</v>
      </c>
      <c r="H72" s="10" t="s">
        <v>12</v>
      </c>
    </row>
    <row r="73" spans="1:8" x14ac:dyDescent="0.25">
      <c r="A73" t="s">
        <v>153</v>
      </c>
      <c r="B73" s="14" cm="1">
        <f t="array" ref="B73">_xll.GetLatestPrice(F73,,G73)</f>
        <v>2165</v>
      </c>
      <c r="C73" s="1" cm="1">
        <f t="array" ref="C73">_xll.GetLatestPrice(F73,"Actual","AssessmentDate")</f>
        <v>45849.4375</v>
      </c>
      <c r="D73">
        <f t="shared" si="2"/>
        <v>2025</v>
      </c>
      <c r="E73">
        <f t="shared" si="3"/>
        <v>7</v>
      </c>
      <c r="F73" s="8" t="s">
        <v>154</v>
      </c>
      <c r="G73" s="8" t="s">
        <v>11</v>
      </c>
      <c r="H73" s="10" t="s">
        <v>12</v>
      </c>
    </row>
    <row r="74" spans="1:8" x14ac:dyDescent="0.25">
      <c r="A74" t="s">
        <v>155</v>
      </c>
      <c r="B74" s="14" cm="1">
        <f t="array" ref="B74">_xll.GetLatestPrice(F74,,G74)</f>
        <v>215</v>
      </c>
      <c r="C74" s="1" cm="1">
        <f t="array" ref="C74">_xll.GetLatestPrice(F74,"Actual","AssessmentDate")</f>
        <v>45849.4375</v>
      </c>
      <c r="D74">
        <f t="shared" si="2"/>
        <v>2025</v>
      </c>
      <c r="E74">
        <f t="shared" si="3"/>
        <v>7</v>
      </c>
      <c r="F74" s="8" t="s">
        <v>156</v>
      </c>
      <c r="G74" s="8" t="s">
        <v>11</v>
      </c>
      <c r="H74" s="10" t="s">
        <v>12</v>
      </c>
    </row>
    <row r="75" spans="1:8" x14ac:dyDescent="0.25">
      <c r="A75" t="s">
        <v>157</v>
      </c>
      <c r="B75" s="14" cm="1">
        <f t="array" ref="B75">_xll.GetLatestPrice(F75,,G75)</f>
        <v>215</v>
      </c>
      <c r="C75" s="1" cm="1">
        <f t="array" ref="C75">_xll.GetLatestPrice(F75,"Actual","AssessmentDate")</f>
        <v>45849.4375</v>
      </c>
      <c r="D75">
        <f t="shared" si="2"/>
        <v>2025</v>
      </c>
      <c r="E75">
        <f t="shared" si="3"/>
        <v>7</v>
      </c>
      <c r="F75" s="8" t="s">
        <v>158</v>
      </c>
      <c r="G75" s="8" t="s">
        <v>11</v>
      </c>
      <c r="H75" s="10" t="s">
        <v>12</v>
      </c>
    </row>
    <row r="76" spans="1:8" x14ac:dyDescent="0.25">
      <c r="A76" t="s">
        <v>159</v>
      </c>
      <c r="B76" s="14" cm="1">
        <f t="array" ref="B76">_xll.GetLatestPrice(F76,,G76)</f>
        <v>235</v>
      </c>
      <c r="C76" s="1" cm="1">
        <f t="array" ref="C76">_xll.GetLatestPrice(F76,"Actual","AssessmentDate")</f>
        <v>45849.4375</v>
      </c>
      <c r="D76">
        <f t="shared" si="2"/>
        <v>2025</v>
      </c>
      <c r="E76">
        <f t="shared" si="3"/>
        <v>7</v>
      </c>
      <c r="F76" s="8" t="s">
        <v>160</v>
      </c>
      <c r="G76" s="8" t="s">
        <v>11</v>
      </c>
      <c r="H76" s="10" t="s">
        <v>12</v>
      </c>
    </row>
    <row r="77" spans="1:8" x14ac:dyDescent="0.25">
      <c r="A77" t="s">
        <v>161</v>
      </c>
      <c r="B77" s="14" cm="1">
        <f t="array" ref="B77">_xll.GetLatestPrice(F77,,G77)</f>
        <v>255</v>
      </c>
      <c r="C77" s="1" cm="1">
        <f t="array" ref="C77">_xll.GetLatestPrice(F77,"Actual","AssessmentDate")</f>
        <v>45849.4375</v>
      </c>
      <c r="D77">
        <f t="shared" si="2"/>
        <v>2025</v>
      </c>
      <c r="E77">
        <f t="shared" si="3"/>
        <v>7</v>
      </c>
      <c r="F77" s="8" t="s">
        <v>162</v>
      </c>
      <c r="G77" s="8" t="s">
        <v>11</v>
      </c>
      <c r="H77" s="10" t="s">
        <v>12</v>
      </c>
    </row>
    <row r="78" spans="1:8" x14ac:dyDescent="0.25">
      <c r="A78" t="s">
        <v>163</v>
      </c>
      <c r="B78" s="14" cm="1">
        <f t="array" ref="B78">_xll.GetLatestPrice(F78,,G78)</f>
        <v>340</v>
      </c>
      <c r="C78" s="1" cm="1">
        <f t="array" ref="C78">_xll.GetLatestPrice(F78,"Actual","AssessmentDate")</f>
        <v>45849.4375</v>
      </c>
      <c r="D78">
        <f t="shared" si="2"/>
        <v>2025</v>
      </c>
      <c r="E78">
        <f t="shared" si="3"/>
        <v>7</v>
      </c>
      <c r="F78" s="8" t="s">
        <v>164</v>
      </c>
      <c r="G78" s="8" t="s">
        <v>11</v>
      </c>
      <c r="H78" s="10" t="s">
        <v>12</v>
      </c>
    </row>
    <row r="79" spans="1:8" x14ac:dyDescent="0.25">
      <c r="A79" t="s">
        <v>165</v>
      </c>
      <c r="B79" s="14" cm="1">
        <f t="array" ref="B79">_xll.GetLatestPrice(F79,,G79)</f>
        <v>385</v>
      </c>
      <c r="C79" s="1" cm="1">
        <f t="array" ref="C79">_xll.GetLatestPrice(F79,"Actual","AssessmentDate")</f>
        <v>45849.4375</v>
      </c>
      <c r="D79">
        <f t="shared" si="2"/>
        <v>2025</v>
      </c>
      <c r="E79">
        <f t="shared" si="3"/>
        <v>7</v>
      </c>
      <c r="F79" s="8" t="s">
        <v>166</v>
      </c>
      <c r="G79" s="8" t="s">
        <v>11</v>
      </c>
      <c r="H79" s="10" t="s">
        <v>12</v>
      </c>
    </row>
    <row r="80" spans="1:8" x14ac:dyDescent="0.25">
      <c r="A80" t="s">
        <v>167</v>
      </c>
      <c r="B80" s="14" cm="1">
        <f t="array" ref="B80">_xll.GetLatestPrice(F80,,G80)</f>
        <v>380</v>
      </c>
      <c r="C80" s="1" cm="1">
        <f t="array" ref="C80">_xll.GetLatestPrice(F80,"Actual","AssessmentDate")</f>
        <v>45849.4375</v>
      </c>
      <c r="D80">
        <f t="shared" si="2"/>
        <v>2025</v>
      </c>
      <c r="E80">
        <f t="shared" si="3"/>
        <v>7</v>
      </c>
      <c r="F80" s="8" t="s">
        <v>168</v>
      </c>
      <c r="G80" s="8" t="s">
        <v>11</v>
      </c>
      <c r="H80" s="10" t="s">
        <v>12</v>
      </c>
    </row>
    <row r="81" spans="1:8" x14ac:dyDescent="0.25">
      <c r="A81" t="s">
        <v>169</v>
      </c>
      <c r="B81" s="14" cm="1">
        <f t="array" ref="B81">_xll.GetLatestPrice(F81,,G81)</f>
        <v>385</v>
      </c>
      <c r="C81" s="1" cm="1">
        <f t="array" ref="C81">_xll.GetLatestPrice(F81,"Actual","AssessmentDate")</f>
        <v>45849.4375</v>
      </c>
      <c r="D81">
        <f t="shared" si="2"/>
        <v>2025</v>
      </c>
      <c r="E81">
        <f t="shared" si="3"/>
        <v>7</v>
      </c>
      <c r="F81" s="8" t="s">
        <v>170</v>
      </c>
      <c r="G81" s="8" t="s">
        <v>11</v>
      </c>
      <c r="H81" s="10" t="s">
        <v>12</v>
      </c>
    </row>
    <row r="82" spans="1:8" x14ac:dyDescent="0.25">
      <c r="A82" t="s">
        <v>171</v>
      </c>
      <c r="B82" s="14" cm="1">
        <f t="array" ref="B82">_xll.GetLatestPrice(F82,,G82)</f>
        <v>415</v>
      </c>
      <c r="C82" s="1" cm="1">
        <f t="array" ref="C82">_xll.GetLatestPrice(F82,"Actual","AssessmentDate")</f>
        <v>45849.4375</v>
      </c>
      <c r="D82">
        <f t="shared" si="2"/>
        <v>2025</v>
      </c>
      <c r="E82">
        <f t="shared" si="3"/>
        <v>7</v>
      </c>
      <c r="F82" s="8" t="s">
        <v>172</v>
      </c>
      <c r="G82" s="8" t="s">
        <v>11</v>
      </c>
      <c r="H82" s="10" t="s">
        <v>12</v>
      </c>
    </row>
    <row r="83" spans="1:8" x14ac:dyDescent="0.25">
      <c r="A83" t="s">
        <v>173</v>
      </c>
      <c r="B83" s="14" cm="1">
        <f t="array" ref="B83">_xll.GetLatestPrice(F83,,G83)</f>
        <v>390</v>
      </c>
      <c r="C83" s="1" cm="1">
        <f t="array" ref="C83">_xll.GetLatestPrice(F83,"Actual","AssessmentDate")</f>
        <v>45849.4375</v>
      </c>
      <c r="D83">
        <f t="shared" si="2"/>
        <v>2025</v>
      </c>
      <c r="E83">
        <f t="shared" si="3"/>
        <v>7</v>
      </c>
      <c r="F83" s="8" t="s">
        <v>174</v>
      </c>
      <c r="G83" s="8" t="s">
        <v>11</v>
      </c>
      <c r="H83" s="10" t="s">
        <v>12</v>
      </c>
    </row>
    <row r="84" spans="1:8" x14ac:dyDescent="0.25">
      <c r="A84" t="s">
        <v>175</v>
      </c>
      <c r="B84" s="14" cm="1">
        <f t="array" ref="B84">_xll.GetLatestPrice(F84,,G84)</f>
        <v>435</v>
      </c>
      <c r="C84" s="1" cm="1">
        <f t="array" ref="C84">_xll.GetLatestPrice(F84,"Actual","AssessmentDate")</f>
        <v>45849.4375</v>
      </c>
      <c r="D84">
        <f t="shared" si="2"/>
        <v>2025</v>
      </c>
      <c r="E84">
        <f t="shared" si="3"/>
        <v>7</v>
      </c>
      <c r="F84" s="8" t="s">
        <v>176</v>
      </c>
      <c r="G84" s="8" t="s">
        <v>11</v>
      </c>
      <c r="H84" s="10" t="s">
        <v>12</v>
      </c>
    </row>
    <row r="85" spans="1:8" x14ac:dyDescent="0.25">
      <c r="A85" t="s">
        <v>177</v>
      </c>
      <c r="B85" s="14" cm="1">
        <f t="array" ref="B85">_xll.GetLatestPrice(F85,,G85)</f>
        <v>435</v>
      </c>
      <c r="C85" s="1" cm="1">
        <f t="array" ref="C85">_xll.GetLatestPrice(F85,"Actual","AssessmentDate")</f>
        <v>45849.4375</v>
      </c>
      <c r="D85">
        <f t="shared" si="2"/>
        <v>2025</v>
      </c>
      <c r="E85">
        <f t="shared" si="3"/>
        <v>7</v>
      </c>
      <c r="F85" s="8" t="s">
        <v>178</v>
      </c>
      <c r="G85" s="8" t="s">
        <v>11</v>
      </c>
      <c r="H85" s="10" t="s">
        <v>12</v>
      </c>
    </row>
    <row r="86" spans="1:8" x14ac:dyDescent="0.25">
      <c r="A86" t="s">
        <v>179</v>
      </c>
      <c r="B86" s="14" cm="1">
        <f t="array" ref="B86">_xll.GetLatestPrice(F86,,G86)</f>
        <v>390</v>
      </c>
      <c r="C86" s="1" cm="1">
        <f t="array" ref="C86">_xll.GetLatestPrice(F86,"Actual","AssessmentDate")</f>
        <v>45849.4375</v>
      </c>
      <c r="D86">
        <f t="shared" si="2"/>
        <v>2025</v>
      </c>
      <c r="E86">
        <f t="shared" si="3"/>
        <v>7</v>
      </c>
      <c r="F86" s="8" t="s">
        <v>180</v>
      </c>
      <c r="G86" s="8" t="s">
        <v>11</v>
      </c>
      <c r="H86" s="10" t="s">
        <v>12</v>
      </c>
    </row>
    <row r="87" spans="1:8" x14ac:dyDescent="0.25">
      <c r="A87" t="s">
        <v>181</v>
      </c>
      <c r="B87" s="14" cm="1">
        <f t="array" ref="B87">_xll.GetLatestPrice(F87,,G87)</f>
        <v>510</v>
      </c>
      <c r="C87" s="1" cm="1">
        <f t="array" ref="C87">_xll.GetLatestPrice(F87,"Actual","AssessmentDate")</f>
        <v>45849.4375</v>
      </c>
      <c r="D87">
        <f t="shared" si="2"/>
        <v>2025</v>
      </c>
      <c r="E87">
        <f t="shared" si="3"/>
        <v>7</v>
      </c>
      <c r="F87" s="8" t="s">
        <v>182</v>
      </c>
      <c r="G87" s="8" t="s">
        <v>11</v>
      </c>
      <c r="H87" s="10" t="s">
        <v>12</v>
      </c>
    </row>
    <row r="88" spans="1:8" x14ac:dyDescent="0.25">
      <c r="A88" t="s">
        <v>187</v>
      </c>
      <c r="B88" s="14" cm="1">
        <f t="array" ref="B88">_xll.GetLatestPrice(F88,,G88)</f>
        <v>480</v>
      </c>
      <c r="C88" s="1" cm="1">
        <f t="array" ref="C88">_xll.GetLatestPrice(F88,"Actual","AssessmentDate")</f>
        <v>45849.4375</v>
      </c>
      <c r="D88">
        <f t="shared" si="2"/>
        <v>2025</v>
      </c>
      <c r="E88">
        <f t="shared" si="3"/>
        <v>7</v>
      </c>
      <c r="F88" s="8" t="s">
        <v>188</v>
      </c>
      <c r="G88" s="8" t="s">
        <v>11</v>
      </c>
      <c r="H88" s="10" t="s">
        <v>12</v>
      </c>
    </row>
    <row r="89" spans="1:8" x14ac:dyDescent="0.25">
      <c r="A89" t="s">
        <v>189</v>
      </c>
      <c r="B89" s="14" cm="1">
        <f t="array" ref="B89">_xll.GetLatestPrice(F89,,G89)</f>
        <v>485</v>
      </c>
      <c r="C89" s="1" cm="1">
        <f t="array" ref="C89">_xll.GetLatestPrice(F89,"Actual","AssessmentDate")</f>
        <v>45849.4375</v>
      </c>
      <c r="D89">
        <f t="shared" si="2"/>
        <v>2025</v>
      </c>
      <c r="E89">
        <f t="shared" si="3"/>
        <v>7</v>
      </c>
      <c r="F89" s="8" t="s">
        <v>190</v>
      </c>
      <c r="G89" s="8" t="s">
        <v>11</v>
      </c>
      <c r="H89" s="10" t="s">
        <v>12</v>
      </c>
    </row>
    <row r="90" spans="1:8" x14ac:dyDescent="0.25">
      <c r="A90" t="s">
        <v>191</v>
      </c>
      <c r="B90" s="14" cm="1">
        <f t="array" ref="B90">_xll.GetLatestPrice(F90,,G90)</f>
        <v>460</v>
      </c>
      <c r="C90" s="1" cm="1">
        <f t="array" ref="C90">_xll.GetLatestPrice(F90,"Actual","AssessmentDate")</f>
        <v>45849.4375</v>
      </c>
      <c r="D90">
        <f t="shared" si="2"/>
        <v>2025</v>
      </c>
      <c r="E90">
        <f t="shared" si="3"/>
        <v>7</v>
      </c>
      <c r="F90" s="8" t="s">
        <v>192</v>
      </c>
      <c r="G90" s="8" t="s">
        <v>11</v>
      </c>
      <c r="H90" s="10" t="s">
        <v>12</v>
      </c>
    </row>
    <row r="91" spans="1:8" x14ac:dyDescent="0.25">
      <c r="A91" t="s">
        <v>193</v>
      </c>
      <c r="B91" s="14" cm="1">
        <f t="array" ref="B91">_xll.GetLatestPrice(F91,,G91)</f>
        <v>435</v>
      </c>
      <c r="C91" s="1" cm="1">
        <f t="array" ref="C91">_xll.GetLatestPrice(F91,"Actual","AssessmentDate")</f>
        <v>45849.4375</v>
      </c>
      <c r="D91">
        <f t="shared" si="2"/>
        <v>2025</v>
      </c>
      <c r="E91">
        <f t="shared" si="3"/>
        <v>7</v>
      </c>
      <c r="F91" s="8" t="s">
        <v>194</v>
      </c>
      <c r="G91" s="8" t="s">
        <v>11</v>
      </c>
      <c r="H91" s="10" t="s">
        <v>12</v>
      </c>
    </row>
    <row r="92" spans="1:8" x14ac:dyDescent="0.25">
      <c r="A92" t="s">
        <v>195</v>
      </c>
      <c r="B92" s="14" cm="1">
        <f t="array" ref="B92">_xll.GetLatestPrice(F92,,G92)</f>
        <v>490</v>
      </c>
      <c r="C92" s="1" cm="1">
        <f t="array" ref="C92">_xll.GetLatestPrice(F92,"Actual","AssessmentDate")</f>
        <v>45849.4375</v>
      </c>
      <c r="D92">
        <f t="shared" si="2"/>
        <v>2025</v>
      </c>
      <c r="E92">
        <f t="shared" si="3"/>
        <v>7</v>
      </c>
      <c r="F92" s="8" t="s">
        <v>196</v>
      </c>
      <c r="G92" s="8" t="s">
        <v>11</v>
      </c>
      <c r="H92" s="10" t="s">
        <v>12</v>
      </c>
    </row>
    <row r="93" spans="1:8" x14ac:dyDescent="0.25">
      <c r="A93" t="s">
        <v>197</v>
      </c>
      <c r="B93" s="14" cm="1">
        <f t="array" ref="B93">_xll.GetLatestPrice(F93,,G93)</f>
        <v>490</v>
      </c>
      <c r="C93" s="1" cm="1">
        <f t="array" ref="C93">_xll.GetLatestPrice(F93,"Actual","AssessmentDate")</f>
        <v>45849.4375</v>
      </c>
      <c r="D93">
        <f t="shared" si="2"/>
        <v>2025</v>
      </c>
      <c r="E93">
        <f t="shared" si="3"/>
        <v>7</v>
      </c>
      <c r="F93" s="8" t="s">
        <v>198</v>
      </c>
      <c r="G93" s="8" t="s">
        <v>11</v>
      </c>
      <c r="H93" s="10" t="s">
        <v>12</v>
      </c>
    </row>
    <row r="94" spans="1:8" x14ac:dyDescent="0.25">
      <c r="A94" t="s">
        <v>199</v>
      </c>
      <c r="B94" s="14" cm="1">
        <f t="array" ref="B94">_xll.GetLatestPrice(F94,,G94)</f>
        <v>435</v>
      </c>
      <c r="C94" s="1" cm="1">
        <f t="array" ref="C94">_xll.GetLatestPrice(F94,"Actual","AssessmentDate")</f>
        <v>45849.4375</v>
      </c>
      <c r="D94">
        <f t="shared" si="2"/>
        <v>2025</v>
      </c>
      <c r="E94">
        <f t="shared" si="3"/>
        <v>7</v>
      </c>
      <c r="F94" s="8" t="s">
        <v>200</v>
      </c>
      <c r="G94" s="8" t="s">
        <v>11</v>
      </c>
      <c r="H94" s="10" t="s">
        <v>12</v>
      </c>
    </row>
    <row r="95" spans="1:8" x14ac:dyDescent="0.25">
      <c r="A95" t="s">
        <v>201</v>
      </c>
      <c r="B95" s="14" cm="1">
        <f t="array" ref="B95">_xll.GetLatestPrice(F95,,G95)</f>
        <v>625</v>
      </c>
      <c r="C95" s="1" cm="1">
        <f t="array" ref="C95">_xll.GetLatestPrice(F95,"Actual","AssessmentDate")</f>
        <v>45849.4375</v>
      </c>
      <c r="D95">
        <f t="shared" si="2"/>
        <v>2025</v>
      </c>
      <c r="E95">
        <f t="shared" si="3"/>
        <v>7</v>
      </c>
      <c r="F95" s="8" t="s">
        <v>202</v>
      </c>
      <c r="G95" s="8" t="s">
        <v>11</v>
      </c>
      <c r="H95" s="10" t="s">
        <v>12</v>
      </c>
    </row>
    <row r="96" spans="1:8" x14ac:dyDescent="0.25">
      <c r="A96" t="s">
        <v>203</v>
      </c>
      <c r="B96" s="14" cm="1">
        <f t="array" ref="B96">_xll.GetLatestPrice(F96,,G96)</f>
        <v>1210</v>
      </c>
      <c r="C96" s="1" cm="1">
        <f t="array" ref="C96">_xll.GetLatestPrice(F96,"Actual","AssessmentDate")</f>
        <v>45849.4375</v>
      </c>
      <c r="D96">
        <f t="shared" si="2"/>
        <v>2025</v>
      </c>
      <c r="E96">
        <f t="shared" si="3"/>
        <v>7</v>
      </c>
      <c r="F96" s="8" t="s">
        <v>204</v>
      </c>
      <c r="G96" s="8" t="s">
        <v>11</v>
      </c>
      <c r="H96" s="10" t="s">
        <v>12</v>
      </c>
    </row>
    <row r="97" spans="1:8" x14ac:dyDescent="0.25">
      <c r="A97" t="s">
        <v>205</v>
      </c>
      <c r="B97" s="14" cm="1">
        <f t="array" ref="B97">_xll.GetLatestPrice(F97,,G97)</f>
        <v>1545</v>
      </c>
      <c r="C97" s="1" cm="1">
        <f t="array" ref="C97">_xll.GetLatestPrice(F97,"Actual","AssessmentDate")</f>
        <v>45849.4375</v>
      </c>
      <c r="D97">
        <f t="shared" si="2"/>
        <v>2025</v>
      </c>
      <c r="E97">
        <f t="shared" si="3"/>
        <v>7</v>
      </c>
      <c r="F97" s="8" t="s">
        <v>206</v>
      </c>
      <c r="G97" s="8" t="s">
        <v>11</v>
      </c>
      <c r="H97" s="10" t="s">
        <v>12</v>
      </c>
    </row>
    <row r="98" spans="1:8" x14ac:dyDescent="0.25">
      <c r="A98" t="s">
        <v>207</v>
      </c>
      <c r="B98" s="14" cm="1">
        <f t="array" ref="B98">_xll.GetLatestPrice(F98,,G98)</f>
        <v>1695</v>
      </c>
      <c r="C98" s="1" cm="1">
        <f t="array" ref="C98">_xll.GetLatestPrice(F98,"Actual","AssessmentDate")</f>
        <v>45849.4375</v>
      </c>
      <c r="D98">
        <f t="shared" si="2"/>
        <v>2025</v>
      </c>
      <c r="E98">
        <f t="shared" si="3"/>
        <v>7</v>
      </c>
      <c r="F98" s="8" t="s">
        <v>208</v>
      </c>
      <c r="G98" s="8" t="s">
        <v>11</v>
      </c>
      <c r="H98" s="10" t="s">
        <v>12</v>
      </c>
    </row>
    <row r="99" spans="1:8" x14ac:dyDescent="0.25">
      <c r="A99" t="s">
        <v>209</v>
      </c>
      <c r="B99" s="14" cm="1">
        <f t="array" ref="B99">_xll.GetLatestPrice(F99,,G99)</f>
        <v>1785</v>
      </c>
      <c r="C99" s="1" cm="1">
        <f t="array" ref="C99">_xll.GetLatestPrice(F99,"Actual","AssessmentDate")</f>
        <v>45849.4375</v>
      </c>
      <c r="D99">
        <f t="shared" si="2"/>
        <v>2025</v>
      </c>
      <c r="E99">
        <f t="shared" si="3"/>
        <v>7</v>
      </c>
      <c r="F99" s="8" t="s">
        <v>210</v>
      </c>
      <c r="G99" s="8" t="s">
        <v>11</v>
      </c>
      <c r="H99" s="10" t="s">
        <v>12</v>
      </c>
    </row>
    <row r="100" spans="1:8" x14ac:dyDescent="0.25">
      <c r="A100" t="s">
        <v>211</v>
      </c>
      <c r="B100" s="14" cm="1">
        <f t="array" ref="B100">_xll.GetLatestPrice(F100,,G100)</f>
        <v>1310</v>
      </c>
      <c r="C100" s="1" cm="1">
        <f t="array" ref="C100">_xll.GetLatestPrice(F100,"Actual","AssessmentDate")</f>
        <v>45849.4375</v>
      </c>
      <c r="D100">
        <f t="shared" si="2"/>
        <v>2025</v>
      </c>
      <c r="E100">
        <f t="shared" si="3"/>
        <v>7</v>
      </c>
      <c r="F100" s="8" t="s">
        <v>212</v>
      </c>
      <c r="G100" s="8" t="s">
        <v>11</v>
      </c>
      <c r="H100" s="10" t="s">
        <v>12</v>
      </c>
    </row>
    <row r="101" spans="1:8" x14ac:dyDescent="0.25">
      <c r="A101" t="s">
        <v>213</v>
      </c>
      <c r="B101" s="14" cm="1">
        <f t="array" ref="B101">_xll.GetLatestPrice(F101,,G101)</f>
        <v>1885</v>
      </c>
      <c r="C101" s="1" cm="1">
        <f t="array" ref="C101">_xll.GetLatestPrice(F101,"Actual","AssessmentDate")</f>
        <v>45849.4375</v>
      </c>
      <c r="D101">
        <f t="shared" si="2"/>
        <v>2025</v>
      </c>
      <c r="E101">
        <f t="shared" si="3"/>
        <v>7</v>
      </c>
      <c r="F101" s="8" t="s">
        <v>214</v>
      </c>
      <c r="G101" s="8" t="s">
        <v>11</v>
      </c>
      <c r="H101" s="10" t="s">
        <v>12</v>
      </c>
    </row>
    <row r="102" spans="1:8" x14ac:dyDescent="0.25">
      <c r="A102" t="s">
        <v>215</v>
      </c>
      <c r="B102" s="14" cm="1">
        <f t="array" ref="B102">_xll.GetLatestPrice(F102,,G102)</f>
        <v>1935</v>
      </c>
      <c r="C102" s="1" cm="1">
        <f t="array" ref="C102">_xll.GetLatestPrice(F102,"Actual","AssessmentDate")</f>
        <v>45849.4375</v>
      </c>
      <c r="D102">
        <f t="shared" si="2"/>
        <v>2025</v>
      </c>
      <c r="E102">
        <f t="shared" si="3"/>
        <v>7</v>
      </c>
      <c r="F102" s="8" t="s">
        <v>216</v>
      </c>
      <c r="G102" s="8" t="s">
        <v>11</v>
      </c>
      <c r="H102" s="10" t="s">
        <v>12</v>
      </c>
    </row>
    <row r="103" spans="1:8" x14ac:dyDescent="0.25">
      <c r="A103" t="s">
        <v>217</v>
      </c>
      <c r="B103" s="14" cm="1">
        <f t="array" ref="B103">_xll.GetLatestPrice(F103,,G103)</f>
        <v>330</v>
      </c>
      <c r="C103" s="1" cm="1">
        <f t="array" ref="C103">_xll.GetLatestPrice(F103,"Actual","AssessmentDate")</f>
        <v>45849.4375</v>
      </c>
      <c r="D103">
        <f t="shared" si="2"/>
        <v>2025</v>
      </c>
      <c r="E103">
        <f t="shared" si="3"/>
        <v>7</v>
      </c>
      <c r="F103" s="8" t="s">
        <v>218</v>
      </c>
      <c r="G103" s="8" t="s">
        <v>11</v>
      </c>
      <c r="H103" s="10" t="s">
        <v>12</v>
      </c>
    </row>
    <row r="104" spans="1:8" x14ac:dyDescent="0.25">
      <c r="A104" t="s">
        <v>219</v>
      </c>
      <c r="B104" s="14" cm="1">
        <f t="array" ref="B104">_xll.GetLatestPrice(F104,,G104)</f>
        <v>335</v>
      </c>
      <c r="C104" s="1" cm="1">
        <f t="array" ref="C104">_xll.GetLatestPrice(F104,"Actual","AssessmentDate")</f>
        <v>45849.4375</v>
      </c>
      <c r="D104">
        <f t="shared" si="2"/>
        <v>2025</v>
      </c>
      <c r="E104">
        <f t="shared" si="3"/>
        <v>7</v>
      </c>
      <c r="F104" s="8" t="s">
        <v>220</v>
      </c>
      <c r="G104" s="8" t="s">
        <v>11</v>
      </c>
      <c r="H104" s="10" t="s">
        <v>12</v>
      </c>
    </row>
    <row r="105" spans="1:8" x14ac:dyDescent="0.25">
      <c r="A105" t="s">
        <v>221</v>
      </c>
      <c r="B105" s="14" cm="1">
        <f t="array" ref="B105">_xll.GetLatestPrice(F105,,G105)</f>
        <v>355</v>
      </c>
      <c r="C105" s="1" cm="1">
        <f t="array" ref="C105">_xll.GetLatestPrice(F105,"Actual","AssessmentDate")</f>
        <v>45849.4375</v>
      </c>
      <c r="D105">
        <f t="shared" si="2"/>
        <v>2025</v>
      </c>
      <c r="E105">
        <f t="shared" si="3"/>
        <v>7</v>
      </c>
      <c r="F105" s="8" t="s">
        <v>222</v>
      </c>
      <c r="G105" s="8" t="s">
        <v>11</v>
      </c>
      <c r="H105" s="10" t="s">
        <v>12</v>
      </c>
    </row>
    <row r="106" spans="1:8" x14ac:dyDescent="0.25">
      <c r="A106" t="s">
        <v>223</v>
      </c>
      <c r="B106" s="14" cm="1">
        <f t="array" ref="B106">_xll.GetLatestPrice(F106,,G106)</f>
        <v>375</v>
      </c>
      <c r="C106" s="1" cm="1">
        <f t="array" ref="C106">_xll.GetLatestPrice(F106,"Actual","AssessmentDate")</f>
        <v>45849.4375</v>
      </c>
      <c r="D106">
        <f t="shared" si="2"/>
        <v>2025</v>
      </c>
      <c r="E106">
        <f t="shared" si="3"/>
        <v>7</v>
      </c>
      <c r="F106" s="8" t="s">
        <v>224</v>
      </c>
      <c r="G106" s="8" t="s">
        <v>11</v>
      </c>
      <c r="H106" s="10" t="s">
        <v>12</v>
      </c>
    </row>
    <row r="107" spans="1:8" x14ac:dyDescent="0.25">
      <c r="A107" t="s">
        <v>225</v>
      </c>
      <c r="B107" s="14" cm="1">
        <f t="array" ref="B107">_xll.GetLatestPrice(F107,,G107)</f>
        <v>510</v>
      </c>
      <c r="C107" s="1" cm="1">
        <f t="array" ref="C107">_xll.GetLatestPrice(F107,"Actual","AssessmentDate")</f>
        <v>45849.4375</v>
      </c>
      <c r="D107">
        <f t="shared" si="2"/>
        <v>2025</v>
      </c>
      <c r="E107">
        <f t="shared" si="3"/>
        <v>7</v>
      </c>
      <c r="F107" s="8" t="s">
        <v>226</v>
      </c>
      <c r="G107" s="8" t="s">
        <v>11</v>
      </c>
      <c r="H107" s="10" t="s">
        <v>12</v>
      </c>
    </row>
    <row r="108" spans="1:8" x14ac:dyDescent="0.25">
      <c r="A108" t="s">
        <v>227</v>
      </c>
      <c r="B108" s="14" cm="1">
        <f t="array" ref="B108">_xll.GetLatestPrice(F108,,G108)</f>
        <v>620</v>
      </c>
      <c r="C108" s="1" cm="1">
        <f t="array" ref="C108">_xll.GetLatestPrice(F108,"Actual","AssessmentDate")</f>
        <v>45849.4375</v>
      </c>
      <c r="D108">
        <f t="shared" si="2"/>
        <v>2025</v>
      </c>
      <c r="E108">
        <f t="shared" si="3"/>
        <v>7</v>
      </c>
      <c r="F108" s="8" t="s">
        <v>228</v>
      </c>
      <c r="G108" s="8" t="s">
        <v>11</v>
      </c>
      <c r="H108" s="10" t="s">
        <v>12</v>
      </c>
    </row>
    <row r="109" spans="1:8" x14ac:dyDescent="0.25">
      <c r="A109" t="s">
        <v>229</v>
      </c>
      <c r="B109" s="14" cm="1">
        <f t="array" ref="B109">_xll.GetLatestPrice(F109,,G109)</f>
        <v>295</v>
      </c>
      <c r="C109" s="1" cm="1">
        <f t="array" ref="C109">_xll.GetLatestPrice(F109,"Actual","AssessmentDate")</f>
        <v>45849.4375</v>
      </c>
      <c r="D109">
        <f t="shared" si="2"/>
        <v>2025</v>
      </c>
      <c r="E109">
        <f t="shared" si="3"/>
        <v>7</v>
      </c>
      <c r="F109" s="8" t="s">
        <v>230</v>
      </c>
      <c r="G109" s="8" t="s">
        <v>11</v>
      </c>
      <c r="H109" s="10" t="s">
        <v>12</v>
      </c>
    </row>
    <row r="110" spans="1:8" x14ac:dyDescent="0.25">
      <c r="A110" t="s">
        <v>231</v>
      </c>
      <c r="B110" s="14" cm="1">
        <f t="array" ref="B110">_xll.GetLatestPrice(F110,,G110)</f>
        <v>300</v>
      </c>
      <c r="C110" s="1" cm="1">
        <f t="array" ref="C110">_xll.GetLatestPrice(F110,"Actual","AssessmentDate")</f>
        <v>45849.4375</v>
      </c>
      <c r="D110">
        <f t="shared" si="2"/>
        <v>2025</v>
      </c>
      <c r="E110">
        <f t="shared" si="3"/>
        <v>7</v>
      </c>
      <c r="F110" s="8" t="s">
        <v>232</v>
      </c>
      <c r="G110" s="8" t="s">
        <v>11</v>
      </c>
      <c r="H110" s="10" t="s">
        <v>12</v>
      </c>
    </row>
    <row r="111" spans="1:8" x14ac:dyDescent="0.25">
      <c r="A111" t="s">
        <v>233</v>
      </c>
      <c r="B111" s="14" cm="1">
        <f t="array" ref="B111">_xll.GetLatestPrice(F111,,G111)</f>
        <v>380</v>
      </c>
      <c r="C111" s="1" cm="1">
        <f t="array" ref="C111">_xll.GetLatestPrice(F111,"Actual","AssessmentDate")</f>
        <v>45849.4375</v>
      </c>
      <c r="D111">
        <f t="shared" si="2"/>
        <v>2025</v>
      </c>
      <c r="E111">
        <f t="shared" si="3"/>
        <v>7</v>
      </c>
      <c r="F111" s="8" t="s">
        <v>234</v>
      </c>
      <c r="G111" s="8" t="s">
        <v>11</v>
      </c>
      <c r="H111" s="10" t="s">
        <v>12</v>
      </c>
    </row>
    <row r="112" spans="1:8" x14ac:dyDescent="0.25">
      <c r="A112" t="s">
        <v>235</v>
      </c>
      <c r="B112" s="14" cm="1">
        <f t="array" ref="B112">_xll.GetLatestPrice(F112,,G112)</f>
        <v>500</v>
      </c>
      <c r="C112" s="1" cm="1">
        <f t="array" ref="C112">_xll.GetLatestPrice(F112,"Actual","AssessmentDate")</f>
        <v>45849.4375</v>
      </c>
      <c r="D112">
        <f t="shared" si="2"/>
        <v>2025</v>
      </c>
      <c r="E112">
        <f t="shared" si="3"/>
        <v>7</v>
      </c>
      <c r="F112" s="8" t="s">
        <v>236</v>
      </c>
      <c r="G112" s="8" t="s">
        <v>11</v>
      </c>
      <c r="H112" s="10" t="s">
        <v>12</v>
      </c>
    </row>
    <row r="113" spans="1:8" x14ac:dyDescent="0.25">
      <c r="A113" t="s">
        <v>237</v>
      </c>
      <c r="B113" s="14" cm="1">
        <f t="array" ref="B113">_xll.GetLatestPrice(F113,,G113)</f>
        <v>1230</v>
      </c>
      <c r="C113" s="1" cm="1">
        <f t="array" ref="C113">_xll.GetLatestPrice(F113,"Actual","AssessmentDate")</f>
        <v>45849.4375</v>
      </c>
      <c r="D113">
        <f t="shared" si="2"/>
        <v>2025</v>
      </c>
      <c r="E113">
        <f t="shared" si="3"/>
        <v>7</v>
      </c>
      <c r="F113" s="8" t="s">
        <v>238</v>
      </c>
      <c r="G113" s="8" t="s">
        <v>11</v>
      </c>
      <c r="H113" s="10" t="s">
        <v>12</v>
      </c>
    </row>
    <row r="114" spans="1:8" x14ac:dyDescent="0.25">
      <c r="A114" t="s">
        <v>239</v>
      </c>
      <c r="B114" s="14" cm="1">
        <f t="array" ref="B114">_xll.GetLatestPrice(F114,,G114)</f>
        <v>1830</v>
      </c>
      <c r="C114" s="1" cm="1">
        <f t="array" ref="C114">_xll.GetLatestPrice(F114,"Actual","AssessmentDate")</f>
        <v>45849.4375</v>
      </c>
      <c r="D114">
        <f t="shared" si="2"/>
        <v>2025</v>
      </c>
      <c r="E114">
        <f t="shared" si="3"/>
        <v>7</v>
      </c>
      <c r="F114" s="8" t="s">
        <v>240</v>
      </c>
      <c r="G114" s="8" t="s">
        <v>11</v>
      </c>
      <c r="H114" s="10" t="s">
        <v>12</v>
      </c>
    </row>
    <row r="115" spans="1:8" x14ac:dyDescent="0.25">
      <c r="A115" t="s">
        <v>241</v>
      </c>
      <c r="B115" s="14" cm="1">
        <f t="array" ref="B115">_xll.GetLatestPrice(F115,,G115)</f>
        <v>1885</v>
      </c>
      <c r="C115" s="1" cm="1">
        <f t="array" ref="C115">_xll.GetLatestPrice(F115,"Actual","AssessmentDate")</f>
        <v>45849.4375</v>
      </c>
      <c r="D115">
        <f t="shared" si="2"/>
        <v>2025</v>
      </c>
      <c r="E115">
        <f t="shared" si="3"/>
        <v>7</v>
      </c>
      <c r="F115" s="8" t="s">
        <v>242</v>
      </c>
      <c r="G115" s="8" t="s">
        <v>11</v>
      </c>
      <c r="H115" s="10" t="s">
        <v>12</v>
      </c>
    </row>
    <row r="116" spans="1:8" x14ac:dyDescent="0.25">
      <c r="A116" t="s">
        <v>243</v>
      </c>
      <c r="B116" s="14" cm="1">
        <f t="array" ref="B116">_xll.GetLatestPrice(F116,,G116)</f>
        <v>345</v>
      </c>
      <c r="C116" s="1" cm="1">
        <f t="array" ref="C116">_xll.GetLatestPrice(F116,"Actual","AssessmentDate")</f>
        <v>45849.4375</v>
      </c>
      <c r="D116">
        <f t="shared" si="2"/>
        <v>2025</v>
      </c>
      <c r="E116">
        <f t="shared" si="3"/>
        <v>7</v>
      </c>
      <c r="F116" s="8" t="s">
        <v>244</v>
      </c>
      <c r="G116" s="8" t="s">
        <v>11</v>
      </c>
      <c r="H116" s="10" t="s">
        <v>12</v>
      </c>
    </row>
    <row r="117" spans="1:8" x14ac:dyDescent="0.25">
      <c r="A117" t="s">
        <v>245</v>
      </c>
      <c r="B117" s="14" cm="1">
        <f t="array" ref="B117">_xll.GetLatestPrice(F117,,G117)</f>
        <v>416</v>
      </c>
      <c r="C117" s="1" cm="1">
        <f t="array" ref="C117">_xll.GetLatestPrice(F117,"Actual","AssessmentDate")</f>
        <v>45849.4375</v>
      </c>
      <c r="D117">
        <f t="shared" si="2"/>
        <v>2025</v>
      </c>
      <c r="E117">
        <f t="shared" si="3"/>
        <v>7</v>
      </c>
      <c r="F117" s="8" t="s">
        <v>246</v>
      </c>
      <c r="G117" s="8" t="s">
        <v>11</v>
      </c>
      <c r="H117" s="10" t="s">
        <v>12</v>
      </c>
    </row>
    <row r="118" spans="1:8" x14ac:dyDescent="0.25">
      <c r="A118" t="s">
        <v>247</v>
      </c>
      <c r="B118" s="14" cm="1">
        <f t="array" ref="B118">_xll.GetLatestPrice(F118,,G118)</f>
        <v>421</v>
      </c>
      <c r="C118" s="1" cm="1">
        <f t="array" ref="C118">_xll.GetLatestPrice(F118,"Actual","AssessmentDate")</f>
        <v>45849.4375</v>
      </c>
      <c r="D118">
        <f t="shared" si="2"/>
        <v>2025</v>
      </c>
      <c r="E118">
        <f t="shared" si="3"/>
        <v>7</v>
      </c>
      <c r="F118" s="8" t="s">
        <v>248</v>
      </c>
      <c r="G118" s="8" t="s">
        <v>11</v>
      </c>
      <c r="H118" s="10" t="s">
        <v>12</v>
      </c>
    </row>
    <row r="119" spans="1:8" x14ac:dyDescent="0.25">
      <c r="A119" t="s">
        <v>249</v>
      </c>
      <c r="B119" s="14" cm="1">
        <f t="array" ref="B119">_xll.GetLatestPrice(F119,,G119)</f>
        <v>476</v>
      </c>
      <c r="C119" s="1" cm="1">
        <f t="array" ref="C119">_xll.GetLatestPrice(F119,"Actual","AssessmentDate")</f>
        <v>45849.4375</v>
      </c>
      <c r="D119">
        <f t="shared" si="2"/>
        <v>2025</v>
      </c>
      <c r="E119">
        <f t="shared" si="3"/>
        <v>7</v>
      </c>
      <c r="F119" s="8" t="s">
        <v>250</v>
      </c>
      <c r="G119" s="8" t="s">
        <v>11</v>
      </c>
      <c r="H119" s="10" t="s">
        <v>12</v>
      </c>
    </row>
    <row r="120" spans="1:8" x14ac:dyDescent="0.25">
      <c r="A120" t="s">
        <v>251</v>
      </c>
      <c r="B120" s="14" cm="1">
        <f t="array" ref="B120">_xll.GetLatestPrice(F120,,G120)</f>
        <v>655</v>
      </c>
      <c r="C120" s="1" cm="1">
        <f t="array" ref="C120">_xll.GetLatestPrice(F120,"Actual","AssessmentDate")</f>
        <v>45849.4375</v>
      </c>
      <c r="D120">
        <f t="shared" si="2"/>
        <v>2025</v>
      </c>
      <c r="E120">
        <f t="shared" si="3"/>
        <v>7</v>
      </c>
      <c r="F120" s="8" t="s">
        <v>252</v>
      </c>
      <c r="G120" s="8" t="s">
        <v>11</v>
      </c>
      <c r="H120" s="10" t="s">
        <v>12</v>
      </c>
    </row>
    <row r="121" spans="1:8" x14ac:dyDescent="0.25">
      <c r="A121" t="s">
        <v>253</v>
      </c>
      <c r="B121" s="14" cm="1">
        <f t="array" ref="B121">_xll.GetLatestPrice(F121,,G121)</f>
        <v>528</v>
      </c>
      <c r="C121" s="1" cm="1">
        <f t="array" ref="C121">_xll.GetLatestPrice(F121,"Actual","AssessmentDate")</f>
        <v>45849.4375</v>
      </c>
      <c r="D121">
        <f t="shared" si="2"/>
        <v>2025</v>
      </c>
      <c r="E121">
        <f t="shared" si="3"/>
        <v>7</v>
      </c>
      <c r="F121" s="8" t="s">
        <v>254</v>
      </c>
      <c r="G121" s="8" t="s">
        <v>11</v>
      </c>
      <c r="H121" s="10" t="s">
        <v>12</v>
      </c>
    </row>
    <row r="122" spans="1:8" x14ac:dyDescent="0.25">
      <c r="A122" t="s">
        <v>255</v>
      </c>
      <c r="B122" s="14" cm="1">
        <f t="array" ref="B122">_xll.GetLatestPrice(F122,,G122)</f>
        <v>608</v>
      </c>
      <c r="C122" s="1" cm="1">
        <f t="array" ref="C122">_xll.GetLatestPrice(F122,"Actual","AssessmentDate")</f>
        <v>45849.4375</v>
      </c>
      <c r="D122">
        <f t="shared" si="2"/>
        <v>2025</v>
      </c>
      <c r="E122">
        <f t="shared" si="3"/>
        <v>7</v>
      </c>
      <c r="F122" s="8" t="s">
        <v>256</v>
      </c>
      <c r="G122" s="8" t="s">
        <v>11</v>
      </c>
      <c r="H122" s="10" t="s">
        <v>12</v>
      </c>
    </row>
    <row r="123" spans="1:8" x14ac:dyDescent="0.25">
      <c r="A123" t="s">
        <v>257</v>
      </c>
      <c r="B123" s="14" cm="1">
        <f t="array" ref="B123">_xll.GetLatestPrice(F123,,G123)</f>
        <v>848</v>
      </c>
      <c r="C123" s="1" cm="1">
        <f t="array" ref="C123">_xll.GetLatestPrice(F123,"Actual","AssessmentDate")</f>
        <v>45849.4375</v>
      </c>
      <c r="D123">
        <f t="shared" si="2"/>
        <v>2025</v>
      </c>
      <c r="E123">
        <f t="shared" si="3"/>
        <v>7</v>
      </c>
      <c r="F123" s="8" t="s">
        <v>258</v>
      </c>
      <c r="G123" s="8" t="s">
        <v>11</v>
      </c>
      <c r="H123" s="10" t="s">
        <v>12</v>
      </c>
    </row>
    <row r="124" spans="1:8" x14ac:dyDescent="0.25">
      <c r="A124" t="s">
        <v>259</v>
      </c>
      <c r="B124" s="14" cm="1">
        <f t="array" ref="B124">_xll.GetLatestPrice(F124,,G124)</f>
        <v>888</v>
      </c>
      <c r="C124" s="1" cm="1">
        <f t="array" ref="C124">_xll.GetLatestPrice(F124,"Actual","AssessmentDate")</f>
        <v>45849.4375</v>
      </c>
      <c r="D124">
        <f t="shared" si="2"/>
        <v>2025</v>
      </c>
      <c r="E124">
        <f t="shared" si="3"/>
        <v>7</v>
      </c>
      <c r="F124" s="8" t="s">
        <v>260</v>
      </c>
      <c r="G124" s="8" t="s">
        <v>11</v>
      </c>
      <c r="H124" s="10" t="s">
        <v>12</v>
      </c>
    </row>
    <row r="125" spans="1:8" x14ac:dyDescent="0.25">
      <c r="A125" t="s">
        <v>261</v>
      </c>
      <c r="B125" s="14" cm="1">
        <f t="array" ref="B125">_xll.GetLatestPrice(F125,,G125)</f>
        <v>1003</v>
      </c>
      <c r="C125" s="1" cm="1">
        <f t="array" ref="C125">_xll.GetLatestPrice(F125,"Actual","AssessmentDate")</f>
        <v>45849.4375</v>
      </c>
      <c r="D125">
        <f t="shared" si="2"/>
        <v>2025</v>
      </c>
      <c r="E125">
        <f t="shared" si="3"/>
        <v>7</v>
      </c>
      <c r="F125" s="8" t="s">
        <v>262</v>
      </c>
      <c r="G125" s="8" t="s">
        <v>11</v>
      </c>
      <c r="H125" s="10" t="s">
        <v>12</v>
      </c>
    </row>
    <row r="126" spans="1:8" x14ac:dyDescent="0.25">
      <c r="A126" t="s">
        <v>263</v>
      </c>
      <c r="B126" s="14" cm="1">
        <f t="array" ref="B126">_xll.GetLatestPrice(F126,,G126)</f>
        <v>925</v>
      </c>
      <c r="C126" s="1" cm="1">
        <f t="array" ref="C126">_xll.GetLatestPrice(F126,"Actual","AssessmentDate")</f>
        <v>45849.4375</v>
      </c>
      <c r="D126">
        <f t="shared" si="2"/>
        <v>2025</v>
      </c>
      <c r="E126">
        <f t="shared" si="3"/>
        <v>7</v>
      </c>
      <c r="F126" s="8" t="s">
        <v>264</v>
      </c>
      <c r="G126" s="8" t="s">
        <v>11</v>
      </c>
      <c r="H126" s="10" t="s">
        <v>12</v>
      </c>
    </row>
    <row r="127" spans="1:8" x14ac:dyDescent="0.25">
      <c r="A127" t="s">
        <v>265</v>
      </c>
      <c r="B127" s="14" cm="1">
        <f t="array" ref="B127">_xll.GetLatestPrice(F127,,G127)</f>
        <v>1245</v>
      </c>
      <c r="C127" s="1" cm="1">
        <f t="array" ref="C127">_xll.GetLatestPrice(F127,"Actual","AssessmentDate")</f>
        <v>45849.4375</v>
      </c>
      <c r="D127">
        <f t="shared" ref="D127:D184" si="4">YEAR(C127)</f>
        <v>2025</v>
      </c>
      <c r="E127">
        <f t="shared" ref="E127:E184" si="5">MONTH(C127)</f>
        <v>7</v>
      </c>
      <c r="F127" s="8" t="s">
        <v>266</v>
      </c>
      <c r="G127" s="8" t="s">
        <v>11</v>
      </c>
      <c r="H127" s="10" t="s">
        <v>12</v>
      </c>
    </row>
    <row r="128" spans="1:8" x14ac:dyDescent="0.25">
      <c r="A128" t="s">
        <v>267</v>
      </c>
      <c r="B128" s="14" cm="1">
        <f t="array" ref="B128">_xll.GetLatestPrice(F128,,G128)</f>
        <v>1265</v>
      </c>
      <c r="C128" s="1" cm="1">
        <f t="array" ref="C128">_xll.GetLatestPrice(F128,"Actual","AssessmentDate")</f>
        <v>45849.4375</v>
      </c>
      <c r="D128">
        <f t="shared" si="4"/>
        <v>2025</v>
      </c>
      <c r="E128">
        <f t="shared" si="5"/>
        <v>7</v>
      </c>
      <c r="F128" s="8" t="s">
        <v>268</v>
      </c>
      <c r="G128" s="8" t="s">
        <v>11</v>
      </c>
      <c r="H128" s="10" t="s">
        <v>12</v>
      </c>
    </row>
    <row r="129" spans="1:8" x14ac:dyDescent="0.25">
      <c r="A129" t="s">
        <v>269</v>
      </c>
      <c r="B129" s="14" cm="1">
        <f t="array" ref="B129">_xll.GetLatestPrice(F129,,G129)</f>
        <v>455</v>
      </c>
      <c r="C129" s="1" cm="1">
        <f t="array" ref="C129">_xll.GetLatestPrice(F129,"Actual","AssessmentDate")</f>
        <v>45849.4375</v>
      </c>
      <c r="D129">
        <f t="shared" si="4"/>
        <v>2025</v>
      </c>
      <c r="E129">
        <f t="shared" si="5"/>
        <v>7</v>
      </c>
      <c r="F129" s="8" t="s">
        <v>270</v>
      </c>
      <c r="G129" s="8" t="s">
        <v>11</v>
      </c>
      <c r="H129" s="10" t="s">
        <v>12</v>
      </c>
    </row>
    <row r="130" spans="1:8" x14ac:dyDescent="0.25">
      <c r="A130" t="s">
        <v>271</v>
      </c>
      <c r="B130" s="14" cm="1">
        <f t="array" ref="B130">_xll.GetLatestPrice(F130,,G130)</f>
        <v>485</v>
      </c>
      <c r="C130" s="1" cm="1">
        <f t="array" ref="C130">_xll.GetLatestPrice(F130,"Actual","AssessmentDate")</f>
        <v>45849.4375</v>
      </c>
      <c r="D130">
        <f t="shared" si="4"/>
        <v>2025</v>
      </c>
      <c r="E130">
        <f t="shared" si="5"/>
        <v>7</v>
      </c>
      <c r="F130" s="8" t="s">
        <v>272</v>
      </c>
      <c r="G130" s="8" t="s">
        <v>11</v>
      </c>
      <c r="H130" s="10" t="s">
        <v>12</v>
      </c>
    </row>
    <row r="131" spans="1:8" x14ac:dyDescent="0.25">
      <c r="A131" t="s">
        <v>273</v>
      </c>
      <c r="B131" s="14" cm="1">
        <f t="array" ref="B131">_xll.GetLatestPrice(F131,,G131)</f>
        <v>530</v>
      </c>
      <c r="C131" s="1" cm="1">
        <f t="array" ref="C131">_xll.GetLatestPrice(F131,"Actual","AssessmentDate")</f>
        <v>45849.4375</v>
      </c>
      <c r="D131">
        <f t="shared" si="4"/>
        <v>2025</v>
      </c>
      <c r="E131">
        <f t="shared" si="5"/>
        <v>7</v>
      </c>
      <c r="F131" s="8" t="s">
        <v>274</v>
      </c>
      <c r="G131" s="8" t="s">
        <v>11</v>
      </c>
      <c r="H131" s="10" t="s">
        <v>12</v>
      </c>
    </row>
    <row r="132" spans="1:8" x14ac:dyDescent="0.25">
      <c r="A132" t="s">
        <v>275</v>
      </c>
      <c r="B132" s="14" cm="1">
        <f t="array" ref="B132">_xll.GetLatestPrice(F132,,G132)</f>
        <v>555</v>
      </c>
      <c r="C132" s="1" cm="1">
        <f t="array" ref="C132">_xll.GetLatestPrice(F132,"Actual","AssessmentDate")</f>
        <v>45849.4375</v>
      </c>
      <c r="D132">
        <f t="shared" si="4"/>
        <v>2025</v>
      </c>
      <c r="E132">
        <f t="shared" si="5"/>
        <v>7</v>
      </c>
      <c r="F132" s="8" t="s">
        <v>276</v>
      </c>
      <c r="G132" s="8" t="s">
        <v>11</v>
      </c>
      <c r="H132" s="10" t="s">
        <v>12</v>
      </c>
    </row>
    <row r="133" spans="1:8" x14ac:dyDescent="0.25">
      <c r="A133" t="s">
        <v>279</v>
      </c>
      <c r="B133" s="14" cm="1">
        <f t="array" ref="B133">_xll.GetLatestPrice(F133,,G133)</f>
        <v>361</v>
      </c>
      <c r="C133" s="1" cm="1">
        <f t="array" ref="C133">_xll.GetLatestPrice(F133,"Actual","AssessmentDate")</f>
        <v>45849.4375</v>
      </c>
      <c r="D133">
        <f t="shared" si="4"/>
        <v>2025</v>
      </c>
      <c r="E133">
        <f t="shared" si="5"/>
        <v>7</v>
      </c>
      <c r="F133" s="8" t="s">
        <v>280</v>
      </c>
      <c r="G133" s="8" t="s">
        <v>11</v>
      </c>
      <c r="H133" s="10" t="s">
        <v>12</v>
      </c>
    </row>
    <row r="134" spans="1:8" x14ac:dyDescent="0.25">
      <c r="A134" t="s">
        <v>281</v>
      </c>
      <c r="B134" s="14" cm="1">
        <f t="array" ref="B134">_xll.GetLatestPrice(F134,,G134)</f>
        <v>433</v>
      </c>
      <c r="C134" s="1" cm="1">
        <f t="array" ref="C134">_xll.GetLatestPrice(F134,"Actual","AssessmentDate")</f>
        <v>45849.4375</v>
      </c>
      <c r="D134">
        <f t="shared" si="4"/>
        <v>2025</v>
      </c>
      <c r="E134">
        <f t="shared" si="5"/>
        <v>7</v>
      </c>
      <c r="F134" s="8" t="s">
        <v>282</v>
      </c>
      <c r="G134" s="8" t="s">
        <v>11</v>
      </c>
      <c r="H134" s="10" t="s">
        <v>12</v>
      </c>
    </row>
    <row r="135" spans="1:8" x14ac:dyDescent="0.25">
      <c r="A135" t="s">
        <v>283</v>
      </c>
      <c r="B135" s="14" cm="1">
        <f t="array" ref="B135">_xll.GetLatestPrice(F135,,G135)</f>
        <v>436</v>
      </c>
      <c r="C135" s="1" cm="1">
        <f t="array" ref="C135">_xll.GetLatestPrice(F135,"Actual","AssessmentDate")</f>
        <v>45849.4375</v>
      </c>
      <c r="D135">
        <f t="shared" si="4"/>
        <v>2025</v>
      </c>
      <c r="E135">
        <f t="shared" si="5"/>
        <v>7</v>
      </c>
      <c r="F135" s="8" t="s">
        <v>284</v>
      </c>
      <c r="G135" s="8" t="s">
        <v>11</v>
      </c>
      <c r="H135" s="10" t="s">
        <v>12</v>
      </c>
    </row>
    <row r="136" spans="1:8" x14ac:dyDescent="0.25">
      <c r="A136" t="s">
        <v>285</v>
      </c>
      <c r="B136" s="14" cm="1">
        <f t="array" ref="B136">_xll.GetLatestPrice(F136,,G136)</f>
        <v>479</v>
      </c>
      <c r="C136" s="1" cm="1">
        <f t="array" ref="C136">_xll.GetLatestPrice(F136,"Actual","AssessmentDate")</f>
        <v>45849.4375</v>
      </c>
      <c r="D136">
        <f t="shared" si="4"/>
        <v>2025</v>
      </c>
      <c r="E136">
        <f t="shared" si="5"/>
        <v>7</v>
      </c>
      <c r="F136" s="8" t="s">
        <v>286</v>
      </c>
      <c r="G136" s="8" t="s">
        <v>11</v>
      </c>
      <c r="H136" s="10" t="s">
        <v>12</v>
      </c>
    </row>
    <row r="137" spans="1:8" x14ac:dyDescent="0.25">
      <c r="A137" t="s">
        <v>287</v>
      </c>
      <c r="B137" s="14" cm="1">
        <f t="array" ref="B137">_xll.GetLatestPrice(F137,,G137)</f>
        <v>649</v>
      </c>
      <c r="C137" s="1" cm="1">
        <f t="array" ref="C137">_xll.GetLatestPrice(F137,"Actual","AssessmentDate")</f>
        <v>45849.4375</v>
      </c>
      <c r="D137">
        <f t="shared" si="4"/>
        <v>2025</v>
      </c>
      <c r="E137">
        <f t="shared" si="5"/>
        <v>7</v>
      </c>
      <c r="F137" s="8" t="s">
        <v>288</v>
      </c>
      <c r="G137" s="8" t="s">
        <v>11</v>
      </c>
      <c r="H137" s="10" t="s">
        <v>12</v>
      </c>
    </row>
    <row r="138" spans="1:8" x14ac:dyDescent="0.25">
      <c r="A138" t="s">
        <v>289</v>
      </c>
      <c r="B138" s="14" cm="1">
        <f t="array" ref="B138">_xll.GetLatestPrice(F138,,G138)</f>
        <v>560</v>
      </c>
      <c r="C138" s="1" cm="1">
        <f t="array" ref="C138">_xll.GetLatestPrice(F138,"Actual","AssessmentDate")</f>
        <v>45849.4375</v>
      </c>
      <c r="D138">
        <f t="shared" si="4"/>
        <v>2025</v>
      </c>
      <c r="E138">
        <f t="shared" si="5"/>
        <v>7</v>
      </c>
      <c r="F138" s="8" t="s">
        <v>290</v>
      </c>
      <c r="G138" s="8" t="s">
        <v>11</v>
      </c>
      <c r="H138" s="10" t="s">
        <v>12</v>
      </c>
    </row>
    <row r="139" spans="1:8" x14ac:dyDescent="0.25">
      <c r="A139" t="s">
        <v>291</v>
      </c>
      <c r="B139" s="14" cm="1">
        <f t="array" ref="B139">_xll.GetLatestPrice(F139,,G139)</f>
        <v>550</v>
      </c>
      <c r="C139" s="1" cm="1">
        <f t="array" ref="C139">_xll.GetLatestPrice(F139,"Actual","AssessmentDate")</f>
        <v>45849.4375</v>
      </c>
      <c r="D139">
        <f t="shared" si="4"/>
        <v>2025</v>
      </c>
      <c r="E139">
        <f t="shared" si="5"/>
        <v>7</v>
      </c>
      <c r="F139" s="8" t="s">
        <v>292</v>
      </c>
      <c r="G139" s="8" t="s">
        <v>11</v>
      </c>
      <c r="H139" s="10" t="s">
        <v>12</v>
      </c>
    </row>
    <row r="140" spans="1:8" x14ac:dyDescent="0.25">
      <c r="A140" t="s">
        <v>293</v>
      </c>
      <c r="B140" s="14" cm="1">
        <f t="array" ref="B140">_xll.GetLatestPrice(F140,,G140)</f>
        <v>805</v>
      </c>
      <c r="C140" s="1" cm="1">
        <f t="array" ref="C140">_xll.GetLatestPrice(F140,"Actual","AssessmentDate")</f>
        <v>45849.4375</v>
      </c>
      <c r="D140">
        <f t="shared" si="4"/>
        <v>2025</v>
      </c>
      <c r="E140">
        <f t="shared" si="5"/>
        <v>7</v>
      </c>
      <c r="F140" s="8" t="s">
        <v>294</v>
      </c>
      <c r="G140" s="8" t="s">
        <v>11</v>
      </c>
      <c r="H140" s="10" t="s">
        <v>12</v>
      </c>
    </row>
    <row r="141" spans="1:8" x14ac:dyDescent="0.25">
      <c r="A141" t="s">
        <v>295</v>
      </c>
      <c r="B141" s="14" cm="1">
        <f t="array" ref="B141">_xll.GetLatestPrice(F141,,G141)</f>
        <v>810</v>
      </c>
      <c r="C141" s="1" cm="1">
        <f t="array" ref="C141">_xll.GetLatestPrice(F141,"Actual","AssessmentDate")</f>
        <v>45849.4375</v>
      </c>
      <c r="D141">
        <f t="shared" si="4"/>
        <v>2025</v>
      </c>
      <c r="E141">
        <f t="shared" si="5"/>
        <v>7</v>
      </c>
      <c r="F141" s="8" t="s">
        <v>296</v>
      </c>
      <c r="G141" s="8" t="s">
        <v>11</v>
      </c>
      <c r="H141" s="10" t="s">
        <v>12</v>
      </c>
    </row>
    <row r="142" spans="1:8" x14ac:dyDescent="0.25">
      <c r="A142" t="s">
        <v>297</v>
      </c>
      <c r="B142" s="14" cm="1">
        <f t="array" ref="B142">_xll.GetLatestPrice(F142,,G142)</f>
        <v>975</v>
      </c>
      <c r="C142" s="1" cm="1">
        <f t="array" ref="C142">_xll.GetLatestPrice(F142,"Actual","AssessmentDate")</f>
        <v>45849.4375</v>
      </c>
      <c r="D142">
        <f t="shared" si="4"/>
        <v>2025</v>
      </c>
      <c r="E142">
        <f t="shared" si="5"/>
        <v>7</v>
      </c>
      <c r="F142" s="8" t="s">
        <v>298</v>
      </c>
      <c r="G142" s="8" t="s">
        <v>11</v>
      </c>
      <c r="H142" s="10" t="s">
        <v>12</v>
      </c>
    </row>
    <row r="143" spans="1:8" x14ac:dyDescent="0.25">
      <c r="A143" t="s">
        <v>299</v>
      </c>
      <c r="B143" s="14" cm="1">
        <f t="array" ref="B143">_xll.GetLatestPrice(F143,,G143)</f>
        <v>945</v>
      </c>
      <c r="C143" s="1" cm="1">
        <f t="array" ref="C143">_xll.GetLatestPrice(F143,"Actual","AssessmentDate")</f>
        <v>45849.4375</v>
      </c>
      <c r="D143">
        <f t="shared" si="4"/>
        <v>2025</v>
      </c>
      <c r="E143">
        <f t="shared" si="5"/>
        <v>7</v>
      </c>
      <c r="F143" s="8" t="s">
        <v>300</v>
      </c>
      <c r="G143" s="8" t="s">
        <v>11</v>
      </c>
      <c r="H143" s="10" t="s">
        <v>12</v>
      </c>
    </row>
    <row r="144" spans="1:8" x14ac:dyDescent="0.25">
      <c r="A144" t="s">
        <v>301</v>
      </c>
      <c r="B144" s="14" cm="1">
        <f t="array" ref="B144">_xll.GetLatestPrice(F144,,G144)</f>
        <v>1220</v>
      </c>
      <c r="C144" s="1" cm="1">
        <f t="array" ref="C144">_xll.GetLatestPrice(F144,"Actual","AssessmentDate")</f>
        <v>45849.4375</v>
      </c>
      <c r="D144">
        <f t="shared" si="4"/>
        <v>2025</v>
      </c>
      <c r="E144">
        <f t="shared" si="5"/>
        <v>7</v>
      </c>
      <c r="F144" s="8" t="s">
        <v>302</v>
      </c>
      <c r="G144" s="8" t="s">
        <v>11</v>
      </c>
      <c r="H144" s="10" t="s">
        <v>12</v>
      </c>
    </row>
    <row r="145" spans="1:8" x14ac:dyDescent="0.25">
      <c r="A145" t="s">
        <v>303</v>
      </c>
      <c r="B145" s="14" cm="1">
        <f t="array" ref="B145">_xll.GetLatestPrice(F145,,G145)</f>
        <v>1245</v>
      </c>
      <c r="C145" s="1" cm="1">
        <f t="array" ref="C145">_xll.GetLatestPrice(F145,"Actual","AssessmentDate")</f>
        <v>45849.4375</v>
      </c>
      <c r="D145">
        <f t="shared" si="4"/>
        <v>2025</v>
      </c>
      <c r="E145">
        <f t="shared" si="5"/>
        <v>7</v>
      </c>
      <c r="F145" s="8" t="s">
        <v>304</v>
      </c>
      <c r="G145" s="8" t="s">
        <v>11</v>
      </c>
      <c r="H145" s="10" t="s">
        <v>12</v>
      </c>
    </row>
    <row r="146" spans="1:8" x14ac:dyDescent="0.25">
      <c r="A146" t="s">
        <v>305</v>
      </c>
      <c r="B146" s="14" cm="1">
        <f t="array" ref="B146">_xll.GetLatestPrice(F146,,G146)</f>
        <v>460</v>
      </c>
      <c r="C146" s="1" cm="1">
        <f t="array" ref="C146">_xll.GetLatestPrice(F146,"Actual","AssessmentDate")</f>
        <v>45849.4375</v>
      </c>
      <c r="D146">
        <f t="shared" si="4"/>
        <v>2025</v>
      </c>
      <c r="E146">
        <f t="shared" si="5"/>
        <v>7</v>
      </c>
      <c r="F146" s="8" t="s">
        <v>306</v>
      </c>
      <c r="G146" s="8" t="s">
        <v>11</v>
      </c>
      <c r="H146" s="10" t="s">
        <v>12</v>
      </c>
    </row>
    <row r="147" spans="1:8" x14ac:dyDescent="0.25">
      <c r="A147" t="s">
        <v>307</v>
      </c>
      <c r="B147" s="14" cm="1">
        <f t="array" ref="B147">_xll.GetLatestPrice(F147,,G147)</f>
        <v>485</v>
      </c>
      <c r="C147" s="1" cm="1">
        <f t="array" ref="C147">_xll.GetLatestPrice(F147,"Actual","AssessmentDate")</f>
        <v>45849.4375</v>
      </c>
      <c r="D147">
        <f t="shared" si="4"/>
        <v>2025</v>
      </c>
      <c r="E147">
        <f t="shared" si="5"/>
        <v>7</v>
      </c>
      <c r="F147" s="8" t="s">
        <v>308</v>
      </c>
      <c r="G147" s="8" t="s">
        <v>11</v>
      </c>
      <c r="H147" s="10" t="s">
        <v>12</v>
      </c>
    </row>
    <row r="148" spans="1:8" x14ac:dyDescent="0.25">
      <c r="A148" t="s">
        <v>309</v>
      </c>
      <c r="B148" s="14" cm="1">
        <f t="array" ref="B148">_xll.GetLatestPrice(F148,,G148)</f>
        <v>535</v>
      </c>
      <c r="C148" s="1" cm="1">
        <f t="array" ref="C148">_xll.GetLatestPrice(F148,"Actual","AssessmentDate")</f>
        <v>45849.4375</v>
      </c>
      <c r="D148">
        <f t="shared" si="4"/>
        <v>2025</v>
      </c>
      <c r="E148">
        <f t="shared" si="5"/>
        <v>7</v>
      </c>
      <c r="F148" s="8" t="s">
        <v>310</v>
      </c>
      <c r="G148" s="8" t="s">
        <v>11</v>
      </c>
      <c r="H148" s="10" t="s">
        <v>12</v>
      </c>
    </row>
    <row r="149" spans="1:8" x14ac:dyDescent="0.25">
      <c r="A149" t="s">
        <v>311</v>
      </c>
      <c r="B149" s="14" cm="1">
        <f t="array" ref="B149">_xll.GetLatestPrice(F149,,G149)</f>
        <v>555</v>
      </c>
      <c r="C149" s="1" cm="1">
        <f t="array" ref="C149">_xll.GetLatestPrice(F149,"Actual","AssessmentDate")</f>
        <v>45849.4375</v>
      </c>
      <c r="D149">
        <f t="shared" si="4"/>
        <v>2025</v>
      </c>
      <c r="E149">
        <f t="shared" si="5"/>
        <v>7</v>
      </c>
      <c r="F149" s="8" t="s">
        <v>312</v>
      </c>
      <c r="G149" s="8" t="s">
        <v>11</v>
      </c>
      <c r="H149" s="10" t="s">
        <v>12</v>
      </c>
    </row>
    <row r="150" spans="1:8" x14ac:dyDescent="0.25">
      <c r="A150" t="s">
        <v>315</v>
      </c>
      <c r="B150" s="14" cm="1">
        <f t="array" ref="B150">_xll.GetLatestPrice(F150,,G150)</f>
        <v>410</v>
      </c>
      <c r="C150" s="1" cm="1">
        <f t="array" ref="C150">_xll.GetLatestPrice(F150,"Actual","AssessmentDate")</f>
        <v>45849.4375</v>
      </c>
      <c r="D150">
        <f t="shared" si="4"/>
        <v>2025</v>
      </c>
      <c r="E150">
        <f t="shared" si="5"/>
        <v>7</v>
      </c>
      <c r="F150" s="8" t="s">
        <v>316</v>
      </c>
      <c r="G150" s="8" t="s">
        <v>11</v>
      </c>
      <c r="H150" s="10" t="s">
        <v>12</v>
      </c>
    </row>
    <row r="151" spans="1:8" x14ac:dyDescent="0.25">
      <c r="A151" t="s">
        <v>317</v>
      </c>
      <c r="B151" s="14" cm="1">
        <f t="array" ref="B151">_xll.GetLatestPrice(F151,,G151)</f>
        <v>455</v>
      </c>
      <c r="C151" s="1" cm="1">
        <f t="array" ref="C151">_xll.GetLatestPrice(F151,"Actual","AssessmentDate")</f>
        <v>45849.4375</v>
      </c>
      <c r="D151">
        <f t="shared" si="4"/>
        <v>2025</v>
      </c>
      <c r="E151">
        <f t="shared" si="5"/>
        <v>7</v>
      </c>
      <c r="F151" s="8" t="s">
        <v>318</v>
      </c>
      <c r="G151" s="8" t="s">
        <v>11</v>
      </c>
      <c r="H151" s="10" t="s">
        <v>12</v>
      </c>
    </row>
    <row r="152" spans="1:8" x14ac:dyDescent="0.25">
      <c r="A152" t="s">
        <v>319</v>
      </c>
      <c r="B152" s="14" cm="1">
        <f t="array" ref="B152">_xll.GetLatestPrice(F152,,G152)</f>
        <v>483</v>
      </c>
      <c r="C152" s="1" cm="1">
        <f t="array" ref="C152">_xll.GetLatestPrice(F152,"Actual","AssessmentDate")</f>
        <v>45849.4375</v>
      </c>
      <c r="D152">
        <f t="shared" si="4"/>
        <v>2025</v>
      </c>
      <c r="E152">
        <f t="shared" si="5"/>
        <v>7</v>
      </c>
      <c r="F152" s="8" t="s">
        <v>320</v>
      </c>
      <c r="G152" s="8" t="s">
        <v>11</v>
      </c>
      <c r="H152" s="10" t="s">
        <v>12</v>
      </c>
    </row>
    <row r="153" spans="1:8" x14ac:dyDescent="0.25">
      <c r="A153" t="s">
        <v>321</v>
      </c>
      <c r="B153" s="14" cm="1">
        <f t="array" ref="B153">_xll.GetLatestPrice(F153,,G153)</f>
        <v>491</v>
      </c>
      <c r="C153" s="1" cm="1">
        <f t="array" ref="C153">_xll.GetLatestPrice(F153,"Actual","AssessmentDate")</f>
        <v>45849.4375</v>
      </c>
      <c r="D153">
        <f t="shared" si="4"/>
        <v>2025</v>
      </c>
      <c r="E153">
        <f t="shared" si="5"/>
        <v>7</v>
      </c>
      <c r="F153" s="8" t="s">
        <v>322</v>
      </c>
      <c r="G153" s="8" t="s">
        <v>11</v>
      </c>
      <c r="H153" s="10" t="s">
        <v>12</v>
      </c>
    </row>
    <row r="154" spans="1:8" x14ac:dyDescent="0.25">
      <c r="A154" t="s">
        <v>323</v>
      </c>
      <c r="B154" s="14" cm="1">
        <f t="array" ref="B154">_xll.GetLatestPrice(F154,,G154)</f>
        <v>692</v>
      </c>
      <c r="C154" s="1" cm="1">
        <f t="array" ref="C154">_xll.GetLatestPrice(F154,"Actual","AssessmentDate")</f>
        <v>45849.4375</v>
      </c>
      <c r="D154">
        <f t="shared" si="4"/>
        <v>2025</v>
      </c>
      <c r="E154">
        <f t="shared" si="5"/>
        <v>7</v>
      </c>
      <c r="F154" s="8" t="s">
        <v>324</v>
      </c>
      <c r="G154" s="8" t="s">
        <v>11</v>
      </c>
      <c r="H154" s="10" t="s">
        <v>12</v>
      </c>
    </row>
    <row r="155" spans="1:8" x14ac:dyDescent="0.25">
      <c r="A155" t="s">
        <v>325</v>
      </c>
      <c r="B155" s="14" cm="1">
        <f t="array" ref="B155">_xll.GetLatestPrice(F155,,G155)</f>
        <v>510</v>
      </c>
      <c r="C155" s="1" cm="1">
        <f t="array" ref="C155">_xll.GetLatestPrice(F155,"Actual","AssessmentDate")</f>
        <v>45849.4375</v>
      </c>
      <c r="D155">
        <f t="shared" si="4"/>
        <v>2025</v>
      </c>
      <c r="E155">
        <f t="shared" si="5"/>
        <v>7</v>
      </c>
      <c r="F155" s="8" t="s">
        <v>326</v>
      </c>
      <c r="G155" s="8" t="s">
        <v>11</v>
      </c>
      <c r="H155" s="10" t="s">
        <v>12</v>
      </c>
    </row>
    <row r="156" spans="1:8" x14ac:dyDescent="0.25">
      <c r="A156" t="s">
        <v>327</v>
      </c>
      <c r="B156" s="14" cm="1">
        <f t="array" ref="B156">_xll.GetLatestPrice(F156,,G156)</f>
        <v>560</v>
      </c>
      <c r="C156" s="1" cm="1">
        <f t="array" ref="C156">_xll.GetLatestPrice(F156,"Actual","AssessmentDate")</f>
        <v>45849.4375</v>
      </c>
      <c r="D156">
        <f t="shared" si="4"/>
        <v>2025</v>
      </c>
      <c r="E156">
        <f t="shared" si="5"/>
        <v>7</v>
      </c>
      <c r="F156" s="8" t="s">
        <v>328</v>
      </c>
      <c r="G156" s="8" t="s">
        <v>11</v>
      </c>
      <c r="H156" s="10" t="s">
        <v>12</v>
      </c>
    </row>
    <row r="157" spans="1:8" x14ac:dyDescent="0.25">
      <c r="A157" t="s">
        <v>329</v>
      </c>
      <c r="B157" s="14" cm="1">
        <f t="array" ref="B157">_xll.GetLatestPrice(F157,,G157)</f>
        <v>805</v>
      </c>
      <c r="C157" s="1" cm="1">
        <f t="array" ref="C157">_xll.GetLatestPrice(F157,"Actual","AssessmentDate")</f>
        <v>45849.4375</v>
      </c>
      <c r="D157">
        <f t="shared" si="4"/>
        <v>2025</v>
      </c>
      <c r="E157">
        <f t="shared" si="5"/>
        <v>7</v>
      </c>
      <c r="F157" s="8" t="s">
        <v>330</v>
      </c>
      <c r="G157" s="8" t="s">
        <v>11</v>
      </c>
      <c r="H157" s="10" t="s">
        <v>12</v>
      </c>
    </row>
    <row r="158" spans="1:8" x14ac:dyDescent="0.25">
      <c r="A158" t="s">
        <v>331</v>
      </c>
      <c r="B158" s="14" cm="1">
        <f t="array" ref="B158">_xll.GetLatestPrice(F158,,G158)</f>
        <v>855</v>
      </c>
      <c r="C158" s="1" cm="1">
        <f t="array" ref="C158">_xll.GetLatestPrice(F158,"Actual","AssessmentDate")</f>
        <v>45849.4375</v>
      </c>
      <c r="D158">
        <f t="shared" si="4"/>
        <v>2025</v>
      </c>
      <c r="E158">
        <f t="shared" si="5"/>
        <v>7</v>
      </c>
      <c r="F158" s="8" t="s">
        <v>332</v>
      </c>
      <c r="G158" s="8" t="s">
        <v>11</v>
      </c>
      <c r="H158" s="10" t="s">
        <v>12</v>
      </c>
    </row>
    <row r="159" spans="1:8" x14ac:dyDescent="0.25">
      <c r="A159" t="s">
        <v>333</v>
      </c>
      <c r="B159" s="14" cm="1">
        <f t="array" ref="B159">_xll.GetLatestPrice(F159,,G159)</f>
        <v>960</v>
      </c>
      <c r="C159" s="1" cm="1">
        <f t="array" ref="C159">_xll.GetLatestPrice(F159,"Actual","AssessmentDate")</f>
        <v>45849.4375</v>
      </c>
      <c r="D159">
        <f t="shared" si="4"/>
        <v>2025</v>
      </c>
      <c r="E159">
        <f t="shared" si="5"/>
        <v>7</v>
      </c>
      <c r="F159" s="8" t="s">
        <v>334</v>
      </c>
      <c r="G159" s="8" t="s">
        <v>11</v>
      </c>
      <c r="H159" s="10" t="s">
        <v>12</v>
      </c>
    </row>
    <row r="160" spans="1:8" x14ac:dyDescent="0.25">
      <c r="A160" t="s">
        <v>335</v>
      </c>
      <c r="B160" s="14" cm="1">
        <f t="array" ref="B160">_xll.GetLatestPrice(F160,,G160)</f>
        <v>360</v>
      </c>
      <c r="C160" s="1" cm="1">
        <f t="array" ref="C160">_xll.GetLatestPrice(F160,"Actual","AssessmentDate")</f>
        <v>45849.4375</v>
      </c>
      <c r="D160">
        <f t="shared" si="4"/>
        <v>2025</v>
      </c>
      <c r="E160">
        <f t="shared" si="5"/>
        <v>7</v>
      </c>
      <c r="F160" s="8" t="s">
        <v>336</v>
      </c>
      <c r="G160" s="8" t="s">
        <v>11</v>
      </c>
      <c r="H160" s="10" t="s">
        <v>12</v>
      </c>
    </row>
    <row r="161" spans="1:8" x14ac:dyDescent="0.25">
      <c r="A161" t="s">
        <v>337</v>
      </c>
      <c r="B161" s="14" cm="1">
        <f t="array" ref="B161">_xll.GetLatestPrice(F161,,G161)</f>
        <v>425</v>
      </c>
      <c r="C161" s="1" cm="1">
        <f t="array" ref="C161">_xll.GetLatestPrice(F161,"Actual","AssessmentDate")</f>
        <v>45849.4375</v>
      </c>
      <c r="D161">
        <f t="shared" si="4"/>
        <v>2025</v>
      </c>
      <c r="E161">
        <f t="shared" si="5"/>
        <v>7</v>
      </c>
      <c r="F161" s="8" t="s">
        <v>338</v>
      </c>
      <c r="G161" s="8" t="s">
        <v>11</v>
      </c>
      <c r="H161" s="10" t="s">
        <v>12</v>
      </c>
    </row>
    <row r="162" spans="1:8" x14ac:dyDescent="0.25">
      <c r="A162" t="s">
        <v>339</v>
      </c>
      <c r="B162" s="14" cm="1">
        <f t="array" ref="B162">_xll.GetLatestPrice(F162,,G162)</f>
        <v>450</v>
      </c>
      <c r="C162" s="1" cm="1">
        <f t="array" ref="C162">_xll.GetLatestPrice(F162,"Actual","AssessmentDate")</f>
        <v>45849.4375</v>
      </c>
      <c r="D162">
        <f t="shared" si="4"/>
        <v>2025</v>
      </c>
      <c r="E162">
        <f t="shared" si="5"/>
        <v>7</v>
      </c>
      <c r="F162" s="8" t="s">
        <v>340</v>
      </c>
      <c r="G162" s="8" t="s">
        <v>11</v>
      </c>
      <c r="H162" s="10" t="s">
        <v>12</v>
      </c>
    </row>
    <row r="163" spans="1:8" x14ac:dyDescent="0.25">
      <c r="A163" t="s">
        <v>341</v>
      </c>
      <c r="B163" s="14" cm="1">
        <f t="array" ref="B163">_xll.GetLatestPrice(F163,,G163)</f>
        <v>475</v>
      </c>
      <c r="C163" s="1" cm="1">
        <f t="array" ref="C163">_xll.GetLatestPrice(F163,"Actual","AssessmentDate")</f>
        <v>45849.4375</v>
      </c>
      <c r="D163">
        <f t="shared" si="4"/>
        <v>2025</v>
      </c>
      <c r="E163">
        <f t="shared" si="5"/>
        <v>7</v>
      </c>
      <c r="F163" s="8" t="s">
        <v>342</v>
      </c>
      <c r="G163" s="8" t="s">
        <v>11</v>
      </c>
      <c r="H163" s="10" t="s">
        <v>12</v>
      </c>
    </row>
    <row r="164" spans="1:8" x14ac:dyDescent="0.25">
      <c r="A164" t="s">
        <v>343</v>
      </c>
      <c r="B164" s="14" cm="1">
        <f t="array" ref="B164">_xll.GetLatestPrice(F164,,G164)</f>
        <v>685</v>
      </c>
      <c r="C164" s="1" cm="1">
        <f t="array" ref="C164">_xll.GetLatestPrice(F164,"Actual","AssessmentDate")</f>
        <v>45849.4375</v>
      </c>
      <c r="D164">
        <f t="shared" si="4"/>
        <v>2025</v>
      </c>
      <c r="E164">
        <f t="shared" si="5"/>
        <v>7</v>
      </c>
      <c r="F164" s="8" t="s">
        <v>344</v>
      </c>
      <c r="G164" s="8" t="s">
        <v>11</v>
      </c>
      <c r="H164" s="10" t="s">
        <v>12</v>
      </c>
    </row>
    <row r="165" spans="1:8" x14ac:dyDescent="0.25">
      <c r="A165" t="s">
        <v>346</v>
      </c>
      <c r="B165" s="14" cm="1">
        <f t="array" ref="B165">_xll.GetLatestPrice(F165,,G165)</f>
        <v>335</v>
      </c>
      <c r="C165" s="1" cm="1">
        <f t="array" ref="C165">_xll.GetLatestPrice(F165,"Actual","AssessmentDate")</f>
        <v>45849.4375</v>
      </c>
      <c r="D165">
        <f t="shared" si="4"/>
        <v>2025</v>
      </c>
      <c r="E165">
        <f t="shared" si="5"/>
        <v>7</v>
      </c>
      <c r="F165" s="8" t="s">
        <v>347</v>
      </c>
      <c r="G165" s="8" t="s">
        <v>11</v>
      </c>
      <c r="H165" s="10" t="s">
        <v>12</v>
      </c>
    </row>
    <row r="166" spans="1:8" x14ac:dyDescent="0.25">
      <c r="A166" t="s">
        <v>348</v>
      </c>
      <c r="B166" s="14" cm="1">
        <f t="array" ref="B166">_xll.GetLatestPrice(F166,,G166)</f>
        <v>361</v>
      </c>
      <c r="C166" s="1" cm="1">
        <f t="array" ref="C166">_xll.GetLatestPrice(F166,"Actual","AssessmentDate")</f>
        <v>45849.4375</v>
      </c>
      <c r="D166">
        <f t="shared" si="4"/>
        <v>2025</v>
      </c>
      <c r="E166">
        <f t="shared" si="5"/>
        <v>7</v>
      </c>
      <c r="F166" s="8" t="s">
        <v>349</v>
      </c>
      <c r="G166" s="8" t="s">
        <v>11</v>
      </c>
      <c r="H166" s="10" t="s">
        <v>12</v>
      </c>
    </row>
    <row r="167" spans="1:8" x14ac:dyDescent="0.25">
      <c r="A167" t="s">
        <v>350</v>
      </c>
      <c r="B167" s="14" cm="1">
        <f t="array" ref="B167">_xll.GetLatestPrice(F167,,G167)</f>
        <v>368</v>
      </c>
      <c r="C167" s="1" cm="1">
        <f t="array" ref="C167">_xll.GetLatestPrice(F167,"Actual","AssessmentDate")</f>
        <v>45849.4375</v>
      </c>
      <c r="D167">
        <f t="shared" si="4"/>
        <v>2025</v>
      </c>
      <c r="E167">
        <f t="shared" si="5"/>
        <v>7</v>
      </c>
      <c r="F167" s="8" t="s">
        <v>351</v>
      </c>
      <c r="G167" s="8" t="s">
        <v>11</v>
      </c>
      <c r="H167" s="10" t="s">
        <v>12</v>
      </c>
    </row>
    <row r="168" spans="1:8" x14ac:dyDescent="0.25">
      <c r="A168" t="s">
        <v>352</v>
      </c>
      <c r="B168" s="14" cm="1">
        <f t="array" ref="B168">_xll.GetLatestPrice(F168,,G168)</f>
        <v>371</v>
      </c>
      <c r="C168" s="1" cm="1">
        <f t="array" ref="C168">_xll.GetLatestPrice(F168,"Actual","AssessmentDate")</f>
        <v>45849.4375</v>
      </c>
      <c r="D168">
        <f t="shared" si="4"/>
        <v>2025</v>
      </c>
      <c r="E168">
        <f t="shared" si="5"/>
        <v>7</v>
      </c>
      <c r="F168" s="8" t="s">
        <v>353</v>
      </c>
      <c r="G168" s="8" t="s">
        <v>11</v>
      </c>
      <c r="H168" s="10" t="s">
        <v>12</v>
      </c>
    </row>
    <row r="169" spans="1:8" x14ac:dyDescent="0.25">
      <c r="A169" t="s">
        <v>354</v>
      </c>
      <c r="B169" s="14" cm="1">
        <f t="array" ref="B169">_xll.GetLatestPrice(F169,,G169)</f>
        <v>535</v>
      </c>
      <c r="C169" s="1" cm="1">
        <f t="array" ref="C169">_xll.GetLatestPrice(F169,"Actual","AssessmentDate")</f>
        <v>45849.4375</v>
      </c>
      <c r="D169">
        <f t="shared" si="4"/>
        <v>2025</v>
      </c>
      <c r="E169">
        <f t="shared" si="5"/>
        <v>7</v>
      </c>
      <c r="F169" s="8" t="s">
        <v>355</v>
      </c>
      <c r="G169" s="8" t="s">
        <v>11</v>
      </c>
      <c r="H169" s="10" t="s">
        <v>12</v>
      </c>
    </row>
    <row r="170" spans="1:8" x14ac:dyDescent="0.25">
      <c r="A170" t="s">
        <v>356</v>
      </c>
      <c r="B170" s="14" cm="1">
        <f t="array" ref="B170">_xll.GetLatestPrice(F170,,G170)</f>
        <v>530</v>
      </c>
      <c r="C170" s="1" cm="1">
        <f t="array" ref="C170">_xll.GetLatestPrice(F170,"Actual","AssessmentDate")</f>
        <v>45849.4375</v>
      </c>
      <c r="D170">
        <f t="shared" si="4"/>
        <v>2025</v>
      </c>
      <c r="E170">
        <f t="shared" si="5"/>
        <v>7</v>
      </c>
      <c r="F170" s="8" t="s">
        <v>357</v>
      </c>
      <c r="G170" s="8" t="s">
        <v>11</v>
      </c>
      <c r="H170" s="10" t="s">
        <v>12</v>
      </c>
    </row>
    <row r="171" spans="1:8" x14ac:dyDescent="0.25">
      <c r="A171" t="s">
        <v>358</v>
      </c>
      <c r="B171" s="14" cm="1">
        <f t="array" ref="B171">_xll.GetLatestPrice(F171,,G171)</f>
        <v>510</v>
      </c>
      <c r="C171" s="1" cm="1">
        <f t="array" ref="C171">_xll.GetLatestPrice(F171,"Actual","AssessmentDate")</f>
        <v>45849.4375</v>
      </c>
      <c r="D171">
        <f t="shared" si="4"/>
        <v>2025</v>
      </c>
      <c r="E171">
        <f t="shared" si="5"/>
        <v>7</v>
      </c>
      <c r="F171" s="8" t="s">
        <v>359</v>
      </c>
      <c r="G171" s="8" t="s">
        <v>11</v>
      </c>
      <c r="H171" s="10" t="s">
        <v>12</v>
      </c>
    </row>
    <row r="172" spans="1:8" x14ac:dyDescent="0.25">
      <c r="A172" t="s">
        <v>360</v>
      </c>
      <c r="B172" s="14" cm="1">
        <f t="array" ref="B172">_xll.GetLatestPrice(F172,,G172)</f>
        <v>760</v>
      </c>
      <c r="C172" s="1" cm="1">
        <f t="array" ref="C172">_xll.GetLatestPrice(F172,"Actual","AssessmentDate")</f>
        <v>45849.4375</v>
      </c>
      <c r="D172">
        <f t="shared" si="4"/>
        <v>2025</v>
      </c>
      <c r="E172">
        <f t="shared" si="5"/>
        <v>7</v>
      </c>
      <c r="F172" s="8" t="s">
        <v>361</v>
      </c>
      <c r="G172" s="8" t="s">
        <v>11</v>
      </c>
      <c r="H172" s="10" t="s">
        <v>12</v>
      </c>
    </row>
    <row r="173" spans="1:8" x14ac:dyDescent="0.25">
      <c r="A173" t="s">
        <v>362</v>
      </c>
      <c r="B173" s="14" cm="1">
        <f t="array" ref="B173">_xll.GetLatestPrice(F173,,G173)</f>
        <v>770</v>
      </c>
      <c r="C173" s="1" cm="1">
        <f t="array" ref="C173">_xll.GetLatestPrice(F173,"Actual","AssessmentDate")</f>
        <v>45849.4375</v>
      </c>
      <c r="D173">
        <f t="shared" si="4"/>
        <v>2025</v>
      </c>
      <c r="E173">
        <f t="shared" si="5"/>
        <v>7</v>
      </c>
      <c r="F173" s="8" t="s">
        <v>363</v>
      </c>
      <c r="G173" s="8" t="s">
        <v>11</v>
      </c>
      <c r="H173" s="10" t="s">
        <v>12</v>
      </c>
    </row>
    <row r="174" spans="1:8" x14ac:dyDescent="0.25">
      <c r="A174" t="s">
        <v>364</v>
      </c>
      <c r="B174" s="14" cm="1">
        <f t="array" ref="B174">_xll.GetLatestPrice(F174,,G174)</f>
        <v>915</v>
      </c>
      <c r="C174" s="1" cm="1">
        <f t="array" ref="C174">_xll.GetLatestPrice(F174,"Actual","AssessmentDate")</f>
        <v>45849.4375</v>
      </c>
      <c r="D174">
        <f t="shared" si="4"/>
        <v>2025</v>
      </c>
      <c r="E174">
        <f t="shared" si="5"/>
        <v>7</v>
      </c>
      <c r="F174" s="8" t="s">
        <v>365</v>
      </c>
      <c r="G174" s="8" t="s">
        <v>11</v>
      </c>
      <c r="H174" s="10" t="s">
        <v>12</v>
      </c>
    </row>
    <row r="175" spans="1:8" x14ac:dyDescent="0.25">
      <c r="A175" t="s">
        <v>366</v>
      </c>
      <c r="B175" s="14" cm="1">
        <f t="array" ref="B175">_xll.GetLatestPrice(F175,,G175)</f>
        <v>410</v>
      </c>
      <c r="C175" s="1" cm="1">
        <f t="array" ref="C175">_xll.GetLatestPrice(F175,"Actual","AssessmentDate")</f>
        <v>45849.4375</v>
      </c>
      <c r="D175">
        <f t="shared" si="4"/>
        <v>2025</v>
      </c>
      <c r="E175">
        <f t="shared" si="5"/>
        <v>7</v>
      </c>
      <c r="F175" s="8" t="s">
        <v>367</v>
      </c>
      <c r="G175" s="8" t="s">
        <v>11</v>
      </c>
      <c r="H175" s="10" t="s">
        <v>12</v>
      </c>
    </row>
    <row r="176" spans="1:8" x14ac:dyDescent="0.25">
      <c r="A176" t="s">
        <v>368</v>
      </c>
      <c r="B176" s="14" cm="1">
        <f t="array" ref="B176">_xll.GetLatestPrice(F176,,G176)</f>
        <v>475</v>
      </c>
      <c r="C176" s="1" cm="1">
        <f t="array" ref="C176">_xll.GetLatestPrice(F176,"Actual","AssessmentDate")</f>
        <v>45849.4375</v>
      </c>
      <c r="D176">
        <f t="shared" si="4"/>
        <v>2025</v>
      </c>
      <c r="E176">
        <f t="shared" si="5"/>
        <v>7</v>
      </c>
      <c r="F176" s="8" t="s">
        <v>369</v>
      </c>
      <c r="G176" s="8" t="s">
        <v>11</v>
      </c>
      <c r="H176" s="10" t="s">
        <v>12</v>
      </c>
    </row>
    <row r="177" spans="1:8" x14ac:dyDescent="0.25">
      <c r="A177" t="s">
        <v>370</v>
      </c>
      <c r="B177" s="14" cm="1">
        <f t="array" ref="B177">_xll.GetLatestPrice(F177,,G177)</f>
        <v>500</v>
      </c>
      <c r="C177" s="1" cm="1">
        <f t="array" ref="C177">_xll.GetLatestPrice(F177,"Actual","AssessmentDate")</f>
        <v>45849.4375</v>
      </c>
      <c r="D177">
        <f t="shared" si="4"/>
        <v>2025</v>
      </c>
      <c r="E177">
        <f t="shared" si="5"/>
        <v>7</v>
      </c>
      <c r="F177" s="8" t="s">
        <v>371</v>
      </c>
      <c r="G177" s="8" t="s">
        <v>11</v>
      </c>
      <c r="H177" s="10" t="s">
        <v>12</v>
      </c>
    </row>
    <row r="178" spans="1:8" x14ac:dyDescent="0.25">
      <c r="A178" t="s">
        <v>372</v>
      </c>
      <c r="B178" s="14" cm="1">
        <f t="array" ref="B178">_xll.GetLatestPrice(F178,,G178)</f>
        <v>520</v>
      </c>
      <c r="C178" s="1" cm="1">
        <f t="array" ref="C178">_xll.GetLatestPrice(F178,"Actual","AssessmentDate")</f>
        <v>45849.4375</v>
      </c>
      <c r="D178">
        <f t="shared" si="4"/>
        <v>2025</v>
      </c>
      <c r="E178">
        <f t="shared" si="5"/>
        <v>7</v>
      </c>
      <c r="F178" s="8" t="s">
        <v>373</v>
      </c>
      <c r="G178" s="8" t="s">
        <v>11</v>
      </c>
      <c r="H178" s="10" t="s">
        <v>12</v>
      </c>
    </row>
    <row r="179" spans="1:8" x14ac:dyDescent="0.25">
      <c r="A179" t="s">
        <v>374</v>
      </c>
      <c r="B179" s="14" cm="1">
        <f t="array" ref="B179">_xll.GetLatestPrice(F179,,G179)</f>
        <v>730</v>
      </c>
      <c r="C179" s="1" cm="1">
        <f t="array" ref="C179">_xll.GetLatestPrice(F179,"Actual","AssessmentDate")</f>
        <v>45849.4375</v>
      </c>
      <c r="D179">
        <f t="shared" si="4"/>
        <v>2025</v>
      </c>
      <c r="E179">
        <f t="shared" si="5"/>
        <v>7</v>
      </c>
      <c r="F179" s="8" t="s">
        <v>375</v>
      </c>
      <c r="G179" s="8" t="s">
        <v>11</v>
      </c>
      <c r="H179" s="10" t="s">
        <v>12</v>
      </c>
    </row>
    <row r="180" spans="1:8" x14ac:dyDescent="0.25">
      <c r="A180" t="s">
        <v>377</v>
      </c>
      <c r="B180" s="14" cm="1">
        <f t="array" ref="B180">_xll.GetLatestPrice(F180,,G180)</f>
        <v>340</v>
      </c>
      <c r="C180" s="1" cm="1">
        <f t="array" ref="C180">_xll.GetLatestPrice(F180,"Actual","AssessmentDate")</f>
        <v>45849.4375</v>
      </c>
      <c r="D180">
        <f t="shared" si="4"/>
        <v>2025</v>
      </c>
      <c r="E180">
        <f t="shared" si="5"/>
        <v>7</v>
      </c>
      <c r="F180" s="8" t="s">
        <v>378</v>
      </c>
      <c r="G180" s="8" t="s">
        <v>11</v>
      </c>
      <c r="H180" s="10" t="s">
        <v>12</v>
      </c>
    </row>
    <row r="181" spans="1:8" x14ac:dyDescent="0.25">
      <c r="A181" t="s">
        <v>379</v>
      </c>
      <c r="B181" s="14" cm="1">
        <f t="array" ref="B181">_xll.GetLatestPrice(F181,,G181)</f>
        <v>365</v>
      </c>
      <c r="C181" s="1" cm="1">
        <f t="array" ref="C181">_xll.GetLatestPrice(F181,"Actual","AssessmentDate")</f>
        <v>45849.4375</v>
      </c>
      <c r="D181">
        <f t="shared" si="4"/>
        <v>2025</v>
      </c>
      <c r="E181">
        <f t="shared" si="5"/>
        <v>7</v>
      </c>
      <c r="F181" s="8" t="s">
        <v>380</v>
      </c>
      <c r="G181" s="8" t="s">
        <v>11</v>
      </c>
      <c r="H181" s="10" t="s">
        <v>12</v>
      </c>
    </row>
    <row r="182" spans="1:8" x14ac:dyDescent="0.25">
      <c r="A182" t="s">
        <v>381</v>
      </c>
      <c r="B182" s="14" cm="1">
        <f t="array" ref="B182">_xll.GetLatestPrice(F182,,G182)</f>
        <v>369</v>
      </c>
      <c r="C182" s="1" cm="1">
        <f t="array" ref="C182">_xll.GetLatestPrice(F182,"Actual","AssessmentDate")</f>
        <v>45849.4375</v>
      </c>
      <c r="D182">
        <f t="shared" si="4"/>
        <v>2025</v>
      </c>
      <c r="E182">
        <f t="shared" si="5"/>
        <v>7</v>
      </c>
      <c r="F182" s="8" t="s">
        <v>382</v>
      </c>
      <c r="G182" s="8" t="s">
        <v>11</v>
      </c>
      <c r="H182" s="10" t="s">
        <v>12</v>
      </c>
    </row>
    <row r="183" spans="1:8" x14ac:dyDescent="0.25">
      <c r="A183" t="s">
        <v>383</v>
      </c>
      <c r="B183" s="14" cm="1">
        <f t="array" ref="B183">_xll.GetLatestPrice(F183,,G183)</f>
        <v>372</v>
      </c>
      <c r="C183" s="1" cm="1">
        <f t="array" ref="C183">_xll.GetLatestPrice(F183,"Actual","AssessmentDate")</f>
        <v>45849.4375</v>
      </c>
      <c r="D183">
        <f t="shared" si="4"/>
        <v>2025</v>
      </c>
      <c r="E183">
        <f t="shared" si="5"/>
        <v>7</v>
      </c>
      <c r="F183" s="8" t="s">
        <v>384</v>
      </c>
      <c r="G183" s="8" t="s">
        <v>11</v>
      </c>
      <c r="H183" s="10" t="s">
        <v>12</v>
      </c>
    </row>
    <row r="184" spans="1:8" x14ac:dyDescent="0.25">
      <c r="A184" t="s">
        <v>385</v>
      </c>
      <c r="B184" s="14" cm="1">
        <f t="array" ref="B184">_xll.GetLatestPrice(F184,,G184)</f>
        <v>525</v>
      </c>
      <c r="C184" s="1" cm="1">
        <f t="array" ref="C184">_xll.GetLatestPrice(F184,"Actual","AssessmentDate")</f>
        <v>45849.4375</v>
      </c>
      <c r="D184">
        <f t="shared" si="4"/>
        <v>2025</v>
      </c>
      <c r="E184">
        <f t="shared" si="5"/>
        <v>7</v>
      </c>
      <c r="F184" s="8" t="s">
        <v>386</v>
      </c>
      <c r="G184" s="8" t="s">
        <v>11</v>
      </c>
      <c r="H184" s="10" t="s">
        <v>12</v>
      </c>
    </row>
    <row r="185" spans="1:8" x14ac:dyDescent="0.25">
      <c r="A185" t="s">
        <v>387</v>
      </c>
      <c r="B185" s="14" cm="1">
        <f t="array" ref="B185">_xll.GetLatestPrice(F185,,G185)</f>
        <v>460</v>
      </c>
      <c r="C185" s="1" cm="1">
        <f t="array" ref="C185">_xll.GetLatestPrice(F185,"Actual","AssessmentDate")</f>
        <v>45849.4375</v>
      </c>
      <c r="D185">
        <f t="shared" ref="D185:D247" si="6">YEAR(C185)</f>
        <v>2025</v>
      </c>
      <c r="E185">
        <f t="shared" ref="E185:E247" si="7">MONTH(C185)</f>
        <v>7</v>
      </c>
      <c r="F185" s="8" t="s">
        <v>388</v>
      </c>
      <c r="G185" s="8" t="s">
        <v>11</v>
      </c>
      <c r="H185" s="10" t="s">
        <v>12</v>
      </c>
    </row>
    <row r="186" spans="1:8" x14ac:dyDescent="0.25">
      <c r="A186" t="s">
        <v>389</v>
      </c>
      <c r="B186" s="14" cm="1">
        <f t="array" ref="B186">_xll.GetLatestPrice(F186,,G186)</f>
        <v>480</v>
      </c>
      <c r="C186" s="1" cm="1">
        <f t="array" ref="C186">_xll.GetLatestPrice(F186,"Actual","AssessmentDate")</f>
        <v>45849.4375</v>
      </c>
      <c r="D186">
        <f t="shared" si="6"/>
        <v>2025</v>
      </c>
      <c r="E186">
        <f t="shared" si="7"/>
        <v>7</v>
      </c>
      <c r="F186" s="8" t="s">
        <v>390</v>
      </c>
      <c r="G186" s="8" t="s">
        <v>11</v>
      </c>
      <c r="H186" s="10" t="s">
        <v>12</v>
      </c>
    </row>
    <row r="187" spans="1:8" x14ac:dyDescent="0.25">
      <c r="A187" t="s">
        <v>391</v>
      </c>
      <c r="B187" s="14" cm="1">
        <f t="array" ref="B187">_xll.GetLatestPrice(F187,,G187)</f>
        <v>530</v>
      </c>
      <c r="C187" s="1" cm="1">
        <f t="array" ref="C187">_xll.GetLatestPrice(F187,"Actual","AssessmentDate")</f>
        <v>45849.4375</v>
      </c>
      <c r="D187">
        <f t="shared" si="6"/>
        <v>2025</v>
      </c>
      <c r="E187">
        <f t="shared" si="7"/>
        <v>7</v>
      </c>
      <c r="F187" s="8" t="s">
        <v>392</v>
      </c>
      <c r="G187" s="8" t="s">
        <v>11</v>
      </c>
      <c r="H187" s="10" t="s">
        <v>12</v>
      </c>
    </row>
    <row r="188" spans="1:8" x14ac:dyDescent="0.25">
      <c r="A188" t="s">
        <v>393</v>
      </c>
      <c r="B188" s="14" cm="1">
        <f t="array" ref="B188">_xll.GetLatestPrice(F188,,G188)</f>
        <v>570</v>
      </c>
      <c r="C188" s="1" cm="1">
        <f t="array" ref="C188">_xll.GetLatestPrice(F188,"Actual","AssessmentDate")</f>
        <v>45849.4375</v>
      </c>
      <c r="D188">
        <f t="shared" si="6"/>
        <v>2025</v>
      </c>
      <c r="E188">
        <f t="shared" si="7"/>
        <v>7</v>
      </c>
      <c r="F188" s="8" t="s">
        <v>394</v>
      </c>
      <c r="G188" s="8" t="s">
        <v>11</v>
      </c>
      <c r="H188" s="10" t="s">
        <v>12</v>
      </c>
    </row>
    <row r="189" spans="1:8" x14ac:dyDescent="0.25">
      <c r="A189" t="s">
        <v>395</v>
      </c>
      <c r="B189" s="14" cm="1">
        <f t="array" ref="B189">_xll.GetLatestPrice(F189,,G189)</f>
        <v>305</v>
      </c>
      <c r="C189" s="1" cm="1">
        <f t="array" ref="C189">_xll.GetLatestPrice(F189,"Actual","AssessmentDate")</f>
        <v>45849.4375</v>
      </c>
      <c r="D189">
        <f t="shared" si="6"/>
        <v>2025</v>
      </c>
      <c r="E189">
        <f t="shared" si="7"/>
        <v>7</v>
      </c>
      <c r="F189" s="8" t="s">
        <v>396</v>
      </c>
      <c r="G189" s="8" t="s">
        <v>11</v>
      </c>
      <c r="H189" s="10" t="s">
        <v>12</v>
      </c>
    </row>
    <row r="190" spans="1:8" x14ac:dyDescent="0.25">
      <c r="A190" t="s">
        <v>397</v>
      </c>
      <c r="B190" s="14" cm="1">
        <f t="array" ref="B190">_xll.GetLatestPrice(F190,,G190)</f>
        <v>335</v>
      </c>
      <c r="C190" s="1" cm="1">
        <f t="array" ref="C190">_xll.GetLatestPrice(F190,"Actual","AssessmentDate")</f>
        <v>45849.4375</v>
      </c>
      <c r="D190">
        <f t="shared" si="6"/>
        <v>2025</v>
      </c>
      <c r="E190">
        <f t="shared" si="7"/>
        <v>7</v>
      </c>
      <c r="F190" s="8" t="s">
        <v>398</v>
      </c>
      <c r="G190" s="8" t="s">
        <v>11</v>
      </c>
      <c r="H190" s="10" t="s">
        <v>12</v>
      </c>
    </row>
    <row r="191" spans="1:8" x14ac:dyDescent="0.25">
      <c r="A191" t="s">
        <v>399</v>
      </c>
      <c r="B191" s="14" cm="1">
        <f t="array" ref="B191">_xll.GetLatestPrice(F191,,G191)</f>
        <v>350</v>
      </c>
      <c r="C191" s="1" cm="1">
        <f t="array" ref="C191">_xll.GetLatestPrice(F191,"Actual","AssessmentDate")</f>
        <v>45849.4375</v>
      </c>
      <c r="D191">
        <f t="shared" si="6"/>
        <v>2025</v>
      </c>
      <c r="E191">
        <f t="shared" si="7"/>
        <v>7</v>
      </c>
      <c r="F191" s="8" t="s">
        <v>400</v>
      </c>
      <c r="G191" s="8" t="s">
        <v>11</v>
      </c>
      <c r="H191" s="10" t="s">
        <v>12</v>
      </c>
    </row>
    <row r="192" spans="1:8" x14ac:dyDescent="0.25">
      <c r="A192" t="s">
        <v>401</v>
      </c>
      <c r="B192" s="14" cm="1">
        <f t="array" ref="B192">_xll.GetLatestPrice(F192,,G192)</f>
        <v>355</v>
      </c>
      <c r="C192" s="1" cm="1">
        <f t="array" ref="C192">_xll.GetLatestPrice(F192,"Actual","AssessmentDate")</f>
        <v>45849.4375</v>
      </c>
      <c r="D192">
        <f t="shared" si="6"/>
        <v>2025</v>
      </c>
      <c r="E192">
        <f t="shared" si="7"/>
        <v>7</v>
      </c>
      <c r="F192" s="8" t="s">
        <v>402</v>
      </c>
      <c r="G192" s="8" t="s">
        <v>11</v>
      </c>
      <c r="H192" s="10" t="s">
        <v>12</v>
      </c>
    </row>
    <row r="193" spans="1:8" x14ac:dyDescent="0.25">
      <c r="A193" t="s">
        <v>403</v>
      </c>
      <c r="B193" s="14" cm="1">
        <f t="array" ref="B193">_xll.GetLatestPrice(F193,,G193)</f>
        <v>502</v>
      </c>
      <c r="C193" s="1" cm="1">
        <f t="array" ref="C193">_xll.GetLatestPrice(F193,"Actual","AssessmentDate")</f>
        <v>45849.4375</v>
      </c>
      <c r="D193">
        <f t="shared" si="6"/>
        <v>2025</v>
      </c>
      <c r="E193">
        <f t="shared" si="7"/>
        <v>7</v>
      </c>
      <c r="F193" s="8" t="s">
        <v>404</v>
      </c>
      <c r="G193" s="8" t="s">
        <v>11</v>
      </c>
      <c r="H193" s="10" t="s">
        <v>12</v>
      </c>
    </row>
    <row r="194" spans="1:8" x14ac:dyDescent="0.25">
      <c r="A194" t="s">
        <v>405</v>
      </c>
      <c r="B194" s="14" cm="1">
        <f t="array" ref="B194">_xll.GetLatestPrice(F194,,G194)</f>
        <v>829</v>
      </c>
      <c r="C194" s="1" cm="1">
        <f t="array" ref="C194">_xll.GetLatestPrice(F194,"Actual","AssessmentDate")</f>
        <v>45849.4375</v>
      </c>
      <c r="D194">
        <f t="shared" si="6"/>
        <v>2025</v>
      </c>
      <c r="E194">
        <f t="shared" si="7"/>
        <v>7</v>
      </c>
      <c r="F194" s="8" t="s">
        <v>406</v>
      </c>
      <c r="G194" s="8" t="s">
        <v>11</v>
      </c>
      <c r="H194" s="10" t="s">
        <v>12</v>
      </c>
    </row>
    <row r="195" spans="1:8" x14ac:dyDescent="0.25">
      <c r="A195" t="s">
        <v>407</v>
      </c>
      <c r="B195" s="14" cm="1">
        <f t="array" ref="B195">_xll.GetLatestPrice(F195,,G195)</f>
        <v>858</v>
      </c>
      <c r="C195" s="1" cm="1">
        <f t="array" ref="C195">_xll.GetLatestPrice(F195,"Actual","AssessmentDate")</f>
        <v>45849.4375</v>
      </c>
      <c r="D195">
        <f t="shared" si="6"/>
        <v>2025</v>
      </c>
      <c r="E195">
        <f t="shared" si="7"/>
        <v>7</v>
      </c>
      <c r="F195" s="8" t="s">
        <v>408</v>
      </c>
      <c r="G195" s="8" t="s">
        <v>11</v>
      </c>
      <c r="H195" s="10" t="s">
        <v>12</v>
      </c>
    </row>
    <row r="196" spans="1:8" x14ac:dyDescent="0.25">
      <c r="A196" t="s">
        <v>409</v>
      </c>
      <c r="B196" s="14" cm="1">
        <f t="array" ref="B196">_xll.GetLatestPrice(F196,,G196)</f>
        <v>1243</v>
      </c>
      <c r="C196" s="1" cm="1">
        <f t="array" ref="C196">_xll.GetLatestPrice(F196,"Actual","AssessmentDate")</f>
        <v>45849.4375</v>
      </c>
      <c r="D196">
        <f t="shared" si="6"/>
        <v>2025</v>
      </c>
      <c r="E196">
        <f t="shared" si="7"/>
        <v>7</v>
      </c>
      <c r="F196" s="8" t="s">
        <v>410</v>
      </c>
      <c r="G196" s="8" t="s">
        <v>11</v>
      </c>
      <c r="H196" s="10" t="s">
        <v>12</v>
      </c>
    </row>
    <row r="197" spans="1:8" x14ac:dyDescent="0.25">
      <c r="A197" t="s">
        <v>411</v>
      </c>
      <c r="B197" s="14" cm="1">
        <f t="array" ref="B197">_xll.GetLatestPrice(F197,,G197)</f>
        <v>1259</v>
      </c>
      <c r="C197" s="1" cm="1">
        <f t="array" ref="C197">_xll.GetLatestPrice(F197,"Actual","AssessmentDate")</f>
        <v>45849.4375</v>
      </c>
      <c r="D197">
        <f t="shared" si="6"/>
        <v>2025</v>
      </c>
      <c r="E197">
        <f t="shared" si="7"/>
        <v>7</v>
      </c>
      <c r="F197" s="8" t="s">
        <v>412</v>
      </c>
      <c r="G197" s="8" t="s">
        <v>11</v>
      </c>
      <c r="H197" s="10" t="s">
        <v>12</v>
      </c>
    </row>
    <row r="198" spans="1:8" x14ac:dyDescent="0.25">
      <c r="A198" t="s">
        <v>413</v>
      </c>
      <c r="B198" s="14" cm="1">
        <f t="array" ref="B198">_xll.GetLatestPrice(F198,,G198)</f>
        <v>860</v>
      </c>
      <c r="C198" s="1" cm="1">
        <f t="array" ref="C198">_xll.GetLatestPrice(F198,"Actual","AssessmentDate")</f>
        <v>45849.4375</v>
      </c>
      <c r="D198">
        <f t="shared" si="6"/>
        <v>2025</v>
      </c>
      <c r="E198">
        <f t="shared" si="7"/>
        <v>7</v>
      </c>
      <c r="F198" s="8" t="s">
        <v>414</v>
      </c>
      <c r="G198" s="8" t="s">
        <v>11</v>
      </c>
      <c r="H198" s="10" t="s">
        <v>12</v>
      </c>
    </row>
    <row r="199" spans="1:8" x14ac:dyDescent="0.25">
      <c r="A199" t="s">
        <v>415</v>
      </c>
      <c r="B199" s="14" cm="1">
        <f t="array" ref="B199">_xll.GetLatestPrice(F199,,G199)</f>
        <v>890</v>
      </c>
      <c r="C199" s="1" cm="1">
        <f t="array" ref="C199">_xll.GetLatestPrice(F199,"Actual","AssessmentDate")</f>
        <v>45849.4375</v>
      </c>
      <c r="D199">
        <f t="shared" si="6"/>
        <v>2025</v>
      </c>
      <c r="E199">
        <f t="shared" si="7"/>
        <v>7</v>
      </c>
      <c r="F199" s="8" t="s">
        <v>416</v>
      </c>
      <c r="G199" s="8" t="s">
        <v>11</v>
      </c>
      <c r="H199" s="10" t="s">
        <v>12</v>
      </c>
    </row>
    <row r="200" spans="1:8" x14ac:dyDescent="0.25">
      <c r="A200" t="s">
        <v>417</v>
      </c>
      <c r="B200" s="14" cm="1">
        <f t="array" ref="B200">_xll.GetLatestPrice(F200,,G200)</f>
        <v>762</v>
      </c>
      <c r="C200" s="1" cm="1">
        <f t="array" ref="C200">_xll.GetLatestPrice(F200,"Actual","AssessmentDate")</f>
        <v>45849.4375</v>
      </c>
      <c r="D200">
        <f t="shared" si="6"/>
        <v>2025</v>
      </c>
      <c r="E200">
        <f t="shared" si="7"/>
        <v>7</v>
      </c>
      <c r="F200" s="8" t="s">
        <v>418</v>
      </c>
      <c r="G200" s="8" t="s">
        <v>11</v>
      </c>
      <c r="H200" s="10" t="s">
        <v>12</v>
      </c>
    </row>
    <row r="201" spans="1:8" x14ac:dyDescent="0.25">
      <c r="A201" t="s">
        <v>419</v>
      </c>
      <c r="B201" s="14" cm="1">
        <f t="array" ref="B201">_xll.GetLatestPrice(F201,,G201)</f>
        <v>901</v>
      </c>
      <c r="C201" s="1" cm="1">
        <f t="array" ref="C201">_xll.GetLatestPrice(F201,"Actual","AssessmentDate")</f>
        <v>45849.4375</v>
      </c>
      <c r="D201">
        <f t="shared" si="6"/>
        <v>2025</v>
      </c>
      <c r="E201">
        <f t="shared" si="7"/>
        <v>7</v>
      </c>
      <c r="F201" s="8" t="s">
        <v>420</v>
      </c>
      <c r="G201" s="8" t="s">
        <v>11</v>
      </c>
      <c r="H201" s="10" t="s">
        <v>12</v>
      </c>
    </row>
    <row r="202" spans="1:8" x14ac:dyDescent="0.25">
      <c r="A202" t="s">
        <v>421</v>
      </c>
      <c r="B202" s="14" cm="1">
        <f t="array" ref="B202">_xll.GetLatestPrice(F202,,G202)</f>
        <v>1229</v>
      </c>
      <c r="C202" s="1" cm="1">
        <f t="array" ref="C202">_xll.GetLatestPrice(F202,"Actual","AssessmentDate")</f>
        <v>45849.4375</v>
      </c>
      <c r="D202">
        <f t="shared" si="6"/>
        <v>2025</v>
      </c>
      <c r="E202">
        <f t="shared" si="7"/>
        <v>7</v>
      </c>
      <c r="F202" s="8" t="s">
        <v>422</v>
      </c>
      <c r="G202" s="8" t="s">
        <v>11</v>
      </c>
      <c r="H202" s="10" t="s">
        <v>12</v>
      </c>
    </row>
    <row r="203" spans="1:8" x14ac:dyDescent="0.25">
      <c r="A203" t="s">
        <v>423</v>
      </c>
      <c r="B203" s="14" cm="1">
        <f t="array" ref="B203">_xll.GetLatestPrice(F203,,G203)</f>
        <v>1312</v>
      </c>
      <c r="C203" s="1" cm="1">
        <f t="array" ref="C203">_xll.GetLatestPrice(F203,"Actual","AssessmentDate")</f>
        <v>45849.4375</v>
      </c>
      <c r="D203">
        <f t="shared" si="6"/>
        <v>2025</v>
      </c>
      <c r="E203">
        <f t="shared" si="7"/>
        <v>7</v>
      </c>
      <c r="F203" s="8" t="s">
        <v>424</v>
      </c>
      <c r="G203" s="8" t="s">
        <v>11</v>
      </c>
      <c r="H203" s="10" t="s">
        <v>12</v>
      </c>
    </row>
    <row r="204" spans="1:8" x14ac:dyDescent="0.25">
      <c r="A204" t="s">
        <v>425</v>
      </c>
      <c r="B204" s="14" cm="1">
        <f t="array" ref="B204">_xll.GetLatestPrice(F204,,G204)</f>
        <v>200</v>
      </c>
      <c r="C204" s="1" cm="1">
        <f t="array" ref="C204">_xll.GetLatestPrice(F204,"Actual","AssessmentDate")</f>
        <v>45849.4375</v>
      </c>
      <c r="D204">
        <f t="shared" si="6"/>
        <v>2025</v>
      </c>
      <c r="E204">
        <f t="shared" si="7"/>
        <v>7</v>
      </c>
      <c r="F204" s="8" t="s">
        <v>426</v>
      </c>
      <c r="G204" s="8" t="s">
        <v>11</v>
      </c>
      <c r="H204" s="10" t="s">
        <v>12</v>
      </c>
    </row>
    <row r="205" spans="1:8" x14ac:dyDescent="0.25">
      <c r="A205" t="s">
        <v>427</v>
      </c>
      <c r="B205" s="14" cm="1">
        <f t="array" ref="B205">_xll.GetLatestPrice(F205,,G205)</f>
        <v>205</v>
      </c>
      <c r="C205" s="1" cm="1">
        <f t="array" ref="C205">_xll.GetLatestPrice(F205,"Actual","AssessmentDate")</f>
        <v>45849.4375</v>
      </c>
      <c r="D205">
        <f t="shared" si="6"/>
        <v>2025</v>
      </c>
      <c r="E205">
        <f t="shared" si="7"/>
        <v>7</v>
      </c>
      <c r="F205" s="8" t="s">
        <v>428</v>
      </c>
      <c r="G205" s="8" t="s">
        <v>11</v>
      </c>
      <c r="H205" s="10" t="s">
        <v>12</v>
      </c>
    </row>
    <row r="206" spans="1:8" x14ac:dyDescent="0.25">
      <c r="A206" t="s">
        <v>429</v>
      </c>
      <c r="B206" s="14" cm="1">
        <f t="array" ref="B206">_xll.GetLatestPrice(F206,,G206)</f>
        <v>225</v>
      </c>
      <c r="C206" s="1" cm="1">
        <f t="array" ref="C206">_xll.GetLatestPrice(F206,"Actual","AssessmentDate")</f>
        <v>45849.4375</v>
      </c>
      <c r="D206">
        <f t="shared" si="6"/>
        <v>2025</v>
      </c>
      <c r="E206">
        <f t="shared" si="7"/>
        <v>7</v>
      </c>
      <c r="F206" s="8" t="s">
        <v>430</v>
      </c>
      <c r="G206" s="8" t="s">
        <v>11</v>
      </c>
      <c r="H206" s="10" t="s">
        <v>12</v>
      </c>
    </row>
    <row r="207" spans="1:8" x14ac:dyDescent="0.25">
      <c r="A207" t="s">
        <v>431</v>
      </c>
      <c r="B207" s="14" cm="1">
        <f t="array" ref="B207">_xll.GetLatestPrice(F207,,G207)</f>
        <v>235</v>
      </c>
      <c r="C207" s="1" cm="1">
        <f t="array" ref="C207">_xll.GetLatestPrice(F207,"Actual","AssessmentDate")</f>
        <v>45849.4375</v>
      </c>
      <c r="D207">
        <f t="shared" si="6"/>
        <v>2025</v>
      </c>
      <c r="E207">
        <f t="shared" si="7"/>
        <v>7</v>
      </c>
      <c r="F207" s="8" t="s">
        <v>432</v>
      </c>
      <c r="G207" s="8" t="s">
        <v>11</v>
      </c>
      <c r="H207" s="10" t="s">
        <v>12</v>
      </c>
    </row>
    <row r="208" spans="1:8" x14ac:dyDescent="0.25">
      <c r="A208" t="s">
        <v>433</v>
      </c>
      <c r="B208" s="14" cm="1">
        <f t="array" ref="B208">_xll.GetLatestPrice(F208,,G208)</f>
        <v>315</v>
      </c>
      <c r="C208" s="1" cm="1">
        <f t="array" ref="C208">_xll.GetLatestPrice(F208,"Actual","AssessmentDate")</f>
        <v>45849.4375</v>
      </c>
      <c r="D208">
        <f t="shared" si="6"/>
        <v>2025</v>
      </c>
      <c r="E208">
        <f t="shared" si="7"/>
        <v>7</v>
      </c>
      <c r="F208" s="8" t="s">
        <v>434</v>
      </c>
      <c r="G208" s="8" t="s">
        <v>11</v>
      </c>
      <c r="H208" s="10" t="s">
        <v>12</v>
      </c>
    </row>
    <row r="209" spans="1:8" x14ac:dyDescent="0.25">
      <c r="A209" t="s">
        <v>435</v>
      </c>
      <c r="B209" s="14" cm="1">
        <f t="array" ref="B209">_xll.GetLatestPrice(F209,,G209)</f>
        <v>400</v>
      </c>
      <c r="C209" s="1" cm="1">
        <f t="array" ref="C209">_xll.GetLatestPrice(F209,"Actual","AssessmentDate")</f>
        <v>45849.4375</v>
      </c>
      <c r="D209">
        <f t="shared" si="6"/>
        <v>2025</v>
      </c>
      <c r="E209">
        <f t="shared" si="7"/>
        <v>7</v>
      </c>
      <c r="F209" s="8" t="s">
        <v>436</v>
      </c>
      <c r="G209" s="8" t="s">
        <v>11</v>
      </c>
      <c r="H209" s="10" t="s">
        <v>12</v>
      </c>
    </row>
    <row r="210" spans="1:8" x14ac:dyDescent="0.25">
      <c r="A210" t="s">
        <v>437</v>
      </c>
      <c r="B210" s="14" cm="1">
        <f t="array" ref="B210">_xll.GetLatestPrice(F210,,G210)</f>
        <v>220</v>
      </c>
      <c r="C210" s="1" cm="1">
        <f t="array" ref="C210">_xll.GetLatestPrice(F210,"Actual","AssessmentDate")</f>
        <v>45849.4375</v>
      </c>
      <c r="D210">
        <f t="shared" si="6"/>
        <v>2025</v>
      </c>
      <c r="E210">
        <f t="shared" si="7"/>
        <v>7</v>
      </c>
      <c r="F210" s="8" t="s">
        <v>438</v>
      </c>
      <c r="G210" s="8" t="s">
        <v>11</v>
      </c>
      <c r="H210" s="10" t="s">
        <v>12</v>
      </c>
    </row>
    <row r="211" spans="1:8" x14ac:dyDescent="0.25">
      <c r="A211" t="s">
        <v>439</v>
      </c>
      <c r="B211" s="14" cm="1">
        <f t="array" ref="B211">_xll.GetLatestPrice(F211,,G211)</f>
        <v>225</v>
      </c>
      <c r="C211" s="1" cm="1">
        <f t="array" ref="C211">_xll.GetLatestPrice(F211,"Actual","AssessmentDate")</f>
        <v>45849.4375</v>
      </c>
      <c r="D211">
        <f t="shared" si="6"/>
        <v>2025</v>
      </c>
      <c r="E211">
        <f t="shared" si="7"/>
        <v>7</v>
      </c>
      <c r="F211" s="8" t="s">
        <v>440</v>
      </c>
      <c r="G211" s="8" t="s">
        <v>11</v>
      </c>
      <c r="H211" s="10" t="s">
        <v>12</v>
      </c>
    </row>
    <row r="212" spans="1:8" x14ac:dyDescent="0.25">
      <c r="A212" t="s">
        <v>441</v>
      </c>
      <c r="B212" s="14" cm="1">
        <f t="array" ref="B212">_xll.GetLatestPrice(F212,,G212)</f>
        <v>245</v>
      </c>
      <c r="C212" s="1" cm="1">
        <f t="array" ref="C212">_xll.GetLatestPrice(F212,"Actual","AssessmentDate")</f>
        <v>45849.4375</v>
      </c>
      <c r="D212">
        <f t="shared" si="6"/>
        <v>2025</v>
      </c>
      <c r="E212">
        <f t="shared" si="7"/>
        <v>7</v>
      </c>
      <c r="F212" s="8" t="s">
        <v>442</v>
      </c>
      <c r="G212" s="8" t="s">
        <v>11</v>
      </c>
      <c r="H212" s="10" t="s">
        <v>12</v>
      </c>
    </row>
    <row r="213" spans="1:8" x14ac:dyDescent="0.25">
      <c r="A213" t="s">
        <v>443</v>
      </c>
      <c r="B213" s="14" cm="1">
        <f t="array" ref="B213">_xll.GetLatestPrice(F213,,G213)</f>
        <v>265</v>
      </c>
      <c r="C213" s="1" cm="1">
        <f t="array" ref="C213">_xll.GetLatestPrice(F213,"Actual","AssessmentDate")</f>
        <v>45849.4375</v>
      </c>
      <c r="D213">
        <f t="shared" si="6"/>
        <v>2025</v>
      </c>
      <c r="E213">
        <f t="shared" si="7"/>
        <v>7</v>
      </c>
      <c r="F213" s="8" t="s">
        <v>444</v>
      </c>
      <c r="G213" s="8" t="s">
        <v>11</v>
      </c>
      <c r="H213" s="10" t="s">
        <v>12</v>
      </c>
    </row>
    <row r="214" spans="1:8" x14ac:dyDescent="0.25">
      <c r="A214" t="s">
        <v>445</v>
      </c>
      <c r="B214" s="14" cm="1">
        <f t="array" ref="B214">_xll.GetLatestPrice(F214,,G214)</f>
        <v>345</v>
      </c>
      <c r="C214" s="1" cm="1">
        <f t="array" ref="C214">_xll.GetLatestPrice(F214,"Actual","AssessmentDate")</f>
        <v>45849.4375</v>
      </c>
      <c r="D214">
        <f t="shared" si="6"/>
        <v>2025</v>
      </c>
      <c r="E214">
        <f t="shared" si="7"/>
        <v>7</v>
      </c>
      <c r="F214" s="8" t="s">
        <v>446</v>
      </c>
      <c r="G214" s="8" t="s">
        <v>11</v>
      </c>
      <c r="H214" s="10" t="s">
        <v>12</v>
      </c>
    </row>
    <row r="215" spans="1:8" x14ac:dyDescent="0.25">
      <c r="A215" t="s">
        <v>447</v>
      </c>
      <c r="B215" s="14" cm="1">
        <f t="array" ref="B215">_xll.GetLatestPrice(F215,,G215)</f>
        <v>395</v>
      </c>
      <c r="C215" s="1" cm="1">
        <f t="array" ref="C215">_xll.GetLatestPrice(F215,"Actual","AssessmentDate")</f>
        <v>45849.4375</v>
      </c>
      <c r="D215">
        <f t="shared" si="6"/>
        <v>2025</v>
      </c>
      <c r="E215">
        <f t="shared" si="7"/>
        <v>7</v>
      </c>
      <c r="F215" s="8" t="s">
        <v>448</v>
      </c>
      <c r="G215" s="8" t="s">
        <v>11</v>
      </c>
      <c r="H215" s="10" t="s">
        <v>12</v>
      </c>
    </row>
    <row r="216" spans="1:8" x14ac:dyDescent="0.25">
      <c r="A216" t="s">
        <v>449</v>
      </c>
      <c r="B216" s="14" cm="1">
        <f t="array" ref="B216">_xll.GetLatestPrice(F216,,G216)</f>
        <v>190</v>
      </c>
      <c r="C216" s="1" cm="1">
        <f t="array" ref="C216">_xll.GetLatestPrice(F216,"Actual","AssessmentDate")</f>
        <v>45849.4375</v>
      </c>
      <c r="D216">
        <f t="shared" si="6"/>
        <v>2025</v>
      </c>
      <c r="E216">
        <f t="shared" si="7"/>
        <v>7</v>
      </c>
      <c r="F216" s="8" t="s">
        <v>450</v>
      </c>
      <c r="G216" s="8" t="s">
        <v>11</v>
      </c>
      <c r="H216" s="10" t="s">
        <v>12</v>
      </c>
    </row>
    <row r="217" spans="1:8" x14ac:dyDescent="0.25">
      <c r="A217" t="s">
        <v>451</v>
      </c>
      <c r="B217" s="14" cm="1">
        <f t="array" ref="B217">_xll.GetLatestPrice(F217,,G217)</f>
        <v>190</v>
      </c>
      <c r="C217" s="1" cm="1">
        <f t="array" ref="C217">_xll.GetLatestPrice(F217,"Actual","AssessmentDate")</f>
        <v>45849.4375</v>
      </c>
      <c r="D217">
        <f t="shared" si="6"/>
        <v>2025</v>
      </c>
      <c r="E217">
        <f t="shared" si="7"/>
        <v>7</v>
      </c>
      <c r="F217" s="8" t="s">
        <v>452</v>
      </c>
      <c r="G217" s="8" t="s">
        <v>11</v>
      </c>
      <c r="H217" s="10" t="s">
        <v>12</v>
      </c>
    </row>
    <row r="218" spans="1:8" x14ac:dyDescent="0.25">
      <c r="A218" t="s">
        <v>453</v>
      </c>
      <c r="B218" s="14" cm="1">
        <f t="array" ref="B218">_xll.GetLatestPrice(F218,,G218)</f>
        <v>210</v>
      </c>
      <c r="C218" s="1" cm="1">
        <f t="array" ref="C218">_xll.GetLatestPrice(F218,"Actual","AssessmentDate")</f>
        <v>45849.4375</v>
      </c>
      <c r="D218">
        <f t="shared" si="6"/>
        <v>2025</v>
      </c>
      <c r="E218">
        <f t="shared" si="7"/>
        <v>7</v>
      </c>
      <c r="F218" s="8" t="s">
        <v>454</v>
      </c>
      <c r="G218" s="8" t="s">
        <v>11</v>
      </c>
      <c r="H218" s="10" t="s">
        <v>12</v>
      </c>
    </row>
    <row r="219" spans="1:8" x14ac:dyDescent="0.25">
      <c r="A219" t="s">
        <v>455</v>
      </c>
      <c r="B219" s="14" cm="1">
        <f t="array" ref="B219">_xll.GetLatestPrice(F219,,G219)</f>
        <v>235</v>
      </c>
      <c r="C219" s="1" cm="1">
        <f t="array" ref="C219">_xll.GetLatestPrice(F219,"Actual","AssessmentDate")</f>
        <v>45849.4375</v>
      </c>
      <c r="D219">
        <f t="shared" si="6"/>
        <v>2025</v>
      </c>
      <c r="E219">
        <f t="shared" si="7"/>
        <v>7</v>
      </c>
      <c r="F219" s="8" t="s">
        <v>456</v>
      </c>
      <c r="G219" s="8" t="s">
        <v>11</v>
      </c>
      <c r="H219" s="10" t="s">
        <v>12</v>
      </c>
    </row>
    <row r="220" spans="1:8" x14ac:dyDescent="0.25">
      <c r="A220" t="s">
        <v>457</v>
      </c>
      <c r="B220" s="14" cm="1">
        <f t="array" ref="B220">_xll.GetLatestPrice(F220,,G220)</f>
        <v>300</v>
      </c>
      <c r="C220" s="1" cm="1">
        <f t="array" ref="C220">_xll.GetLatestPrice(F220,"Actual","AssessmentDate")</f>
        <v>45849.4375</v>
      </c>
      <c r="D220">
        <f t="shared" si="6"/>
        <v>2025</v>
      </c>
      <c r="E220">
        <f t="shared" si="7"/>
        <v>7</v>
      </c>
      <c r="F220" s="8" t="s">
        <v>458</v>
      </c>
      <c r="G220" s="8" t="s">
        <v>11</v>
      </c>
      <c r="H220" s="10" t="s">
        <v>12</v>
      </c>
    </row>
    <row r="221" spans="1:8" x14ac:dyDescent="0.25">
      <c r="A221" t="s">
        <v>459</v>
      </c>
      <c r="B221" s="14" cm="1">
        <f t="array" ref="B221">_xll.GetLatestPrice(F221,,G221)</f>
        <v>385</v>
      </c>
      <c r="C221" s="1" cm="1">
        <f t="array" ref="C221">_xll.GetLatestPrice(F221,"Actual","AssessmentDate")</f>
        <v>45849.4375</v>
      </c>
      <c r="D221">
        <f t="shared" si="6"/>
        <v>2025</v>
      </c>
      <c r="E221">
        <f t="shared" si="7"/>
        <v>7</v>
      </c>
      <c r="F221" s="8" t="s">
        <v>460</v>
      </c>
      <c r="G221" s="8" t="s">
        <v>11</v>
      </c>
      <c r="H221" s="10" t="s">
        <v>12</v>
      </c>
    </row>
    <row r="222" spans="1:8" x14ac:dyDescent="0.25">
      <c r="A222" t="s">
        <v>461</v>
      </c>
      <c r="B222" s="14" cm="1">
        <f t="array" ref="B222">_xll.GetLatestPrice(F222,,G222)</f>
        <v>845</v>
      </c>
      <c r="C222" s="1" cm="1">
        <f t="array" ref="C222">_xll.GetLatestPrice(F222,"Actual","AssessmentDate")</f>
        <v>45849.4375</v>
      </c>
      <c r="D222">
        <f t="shared" si="6"/>
        <v>2025</v>
      </c>
      <c r="E222">
        <f t="shared" si="7"/>
        <v>7</v>
      </c>
      <c r="F222" s="8" t="s">
        <v>462</v>
      </c>
      <c r="G222" s="8" t="s">
        <v>11</v>
      </c>
      <c r="H222" s="10" t="s">
        <v>12</v>
      </c>
    </row>
    <row r="223" spans="1:8" x14ac:dyDescent="0.25">
      <c r="A223" t="s">
        <v>463</v>
      </c>
      <c r="B223" s="14" cm="1">
        <f t="array" ref="B223">_xll.GetLatestPrice(F223,,G223)</f>
        <v>915</v>
      </c>
      <c r="C223" s="1" cm="1">
        <f t="array" ref="C223">_xll.GetLatestPrice(F223,"Actual","AssessmentDate")</f>
        <v>45849.4375</v>
      </c>
      <c r="D223">
        <f t="shared" si="6"/>
        <v>2025</v>
      </c>
      <c r="E223">
        <f t="shared" si="7"/>
        <v>7</v>
      </c>
      <c r="F223" s="8" t="s">
        <v>464</v>
      </c>
      <c r="G223" s="8" t="s">
        <v>11</v>
      </c>
      <c r="H223" s="10" t="s">
        <v>12</v>
      </c>
    </row>
    <row r="224" spans="1:8" x14ac:dyDescent="0.25">
      <c r="A224" t="s">
        <v>465</v>
      </c>
      <c r="B224" s="14" cm="1">
        <f t="array" ref="B224">_xll.GetLatestPrice(F224,,G224)</f>
        <v>825</v>
      </c>
      <c r="C224" s="1" cm="1">
        <f t="array" ref="C224">_xll.GetLatestPrice(F224,"Actual","AssessmentDate")</f>
        <v>45849.4375</v>
      </c>
      <c r="D224">
        <f t="shared" si="6"/>
        <v>2025</v>
      </c>
      <c r="E224">
        <f t="shared" si="7"/>
        <v>7</v>
      </c>
      <c r="F224" s="8" t="s">
        <v>466</v>
      </c>
      <c r="G224" s="8" t="s">
        <v>11</v>
      </c>
      <c r="H224" s="10" t="s">
        <v>12</v>
      </c>
    </row>
    <row r="225" spans="1:9" x14ac:dyDescent="0.25">
      <c r="A225" t="s">
        <v>467</v>
      </c>
      <c r="B225" s="14" cm="1">
        <f t="array" ref="B225">_xll.GetLatestPrice(F225,,G225)</f>
        <v>875</v>
      </c>
      <c r="C225" s="1" cm="1">
        <f t="array" ref="C225">_xll.GetLatestPrice(F225,"Actual","AssessmentDate")</f>
        <v>45849.4375</v>
      </c>
      <c r="D225">
        <f t="shared" si="6"/>
        <v>2025</v>
      </c>
      <c r="E225">
        <f t="shared" si="7"/>
        <v>7</v>
      </c>
      <c r="F225" s="8" t="s">
        <v>468</v>
      </c>
      <c r="G225" s="8" t="s">
        <v>11</v>
      </c>
      <c r="H225" s="10" t="s">
        <v>12</v>
      </c>
    </row>
    <row r="226" spans="1:9" x14ac:dyDescent="0.25">
      <c r="A226" t="s">
        <v>469</v>
      </c>
      <c r="B226" s="14" cm="1">
        <f t="array" ref="B226">_xll.GetPrice(F226,,G226,_xll.GetPrice(F226,"Actual","AssessmentDate",C226-5))</f>
        <v>450</v>
      </c>
      <c r="C226" s="1" cm="1">
        <f t="array" ref="C226">_xll.GetLatestPrice(F226,"Actual","AssessmentDate")</f>
        <v>45849.444976851853</v>
      </c>
      <c r="D226">
        <f t="shared" si="6"/>
        <v>2025</v>
      </c>
      <c r="E226">
        <f t="shared" si="7"/>
        <v>7</v>
      </c>
      <c r="F226" s="10" t="s">
        <v>470</v>
      </c>
      <c r="G226" s="10" t="s">
        <v>11</v>
      </c>
      <c r="H226" s="10" t="s">
        <v>471</v>
      </c>
      <c r="I226" s="11" cm="1">
        <f t="array" ref="I226">_xll.GetPrice(F226,"Actual","AssessmentDate",C226-5)</f>
        <v>45841.442997685182</v>
      </c>
    </row>
    <row r="227" spans="1:9" x14ac:dyDescent="0.25">
      <c r="A227" t="s">
        <v>472</v>
      </c>
      <c r="B227" s="14" cm="1">
        <f t="array" ref="B227">_xll.GetPrice(F227,,G227,_xll.GetPrice(F227,"Actual","AssessmentDate",(_xll.GetPrice(F227,"Actual","AssessmentDate",IF(_xll.GetPrice(F227,"Actual","PreliminaryPrice",EDATE(C227,-12)),_xll.GetPrice(F227,"Actual","AssessmentDate",EDATE(C227,-12))-1,_xll.GetPrice(F227,"Actual","AssessmentDate",EDATE(C227,-12)))))))</f>
        <v>514</v>
      </c>
      <c r="C227" s="1" cm="1">
        <f t="array" ref="C227">_xll.GetLatestPrice(F227,"Actual","AssessmentDate")</f>
        <v>45849.444976851853</v>
      </c>
      <c r="D227">
        <f t="shared" si="6"/>
        <v>2025</v>
      </c>
      <c r="E227">
        <f t="shared" si="7"/>
        <v>7</v>
      </c>
      <c r="F227" s="10" t="s">
        <v>470</v>
      </c>
      <c r="G227" s="10" t="s">
        <v>11</v>
      </c>
      <c r="H227" s="10" t="s">
        <v>473</v>
      </c>
      <c r="I227" s="11" cm="1">
        <f t="array" ref="I227">_xll.GetPrice(F227,"Actual","AssessmentDate",(_xll.GetPrice(F227,"Actual","AssessmentDate",IF(_xll.GetPrice(F227,"Actual","PreliminaryPrice",EDATE(C227,-12)),_xll.GetPrice(F227,"Actual","AssessmentDate",EDATE(C227,-12))-1,_xll.GetPrice(F227,"Actual","AssessmentDate",EDATE(C227,-12))))))</f>
        <v>45476.441979166666</v>
      </c>
    </row>
    <row r="228" spans="1:9" x14ac:dyDescent="0.25">
      <c r="A228" t="s">
        <v>475</v>
      </c>
      <c r="B228" s="14" cm="1">
        <f t="array" ref="B228">_xll.GetLatestPrice(F228,,G228)</f>
        <v>94.5</v>
      </c>
      <c r="C228" s="1" cm="1">
        <f t="array" ref="C228">_xll.GetLatestPrice(F228,"Actual","AssessmentDate")</f>
        <v>45849.4375</v>
      </c>
      <c r="D228">
        <f t="shared" si="6"/>
        <v>2025</v>
      </c>
      <c r="E228">
        <f t="shared" si="7"/>
        <v>7</v>
      </c>
      <c r="F228" s="10" t="s">
        <v>476</v>
      </c>
      <c r="G228" s="10" t="s">
        <v>11</v>
      </c>
      <c r="H228" s="10" t="s">
        <v>12</v>
      </c>
      <c r="I228" s="10"/>
    </row>
    <row r="229" spans="1:9" x14ac:dyDescent="0.25">
      <c r="A229" t="s">
        <v>477</v>
      </c>
      <c r="B229" s="14" cm="1">
        <f t="array" ref="B229">_xll.GetLatestPrice(F229,,G229)</f>
        <v>65.25</v>
      </c>
      <c r="C229" s="1" cm="1">
        <f t="array" ref="C229">_xll.GetLatestPrice(F229,"Actual","AssessmentDate")</f>
        <v>45849.4375</v>
      </c>
      <c r="D229">
        <f t="shared" si="6"/>
        <v>2025</v>
      </c>
      <c r="E229">
        <f t="shared" si="7"/>
        <v>7</v>
      </c>
      <c r="F229" s="10" t="s">
        <v>478</v>
      </c>
      <c r="G229" s="10" t="s">
        <v>11</v>
      </c>
      <c r="H229" s="10" t="s">
        <v>12</v>
      </c>
      <c r="I229" s="10"/>
    </row>
    <row r="230" spans="1:9" x14ac:dyDescent="0.25">
      <c r="A230" t="s">
        <v>479</v>
      </c>
      <c r="B230" s="14" cm="1">
        <f t="array" ref="B230">_xll.GetLatestPrice(F230,,G230)</f>
        <v>25.75</v>
      </c>
      <c r="C230" s="1" cm="1">
        <f t="array" ref="C230">_xll.GetLatestPrice(F230,"Actual","AssessmentDate")</f>
        <v>45849.4375</v>
      </c>
      <c r="D230">
        <f t="shared" si="6"/>
        <v>2025</v>
      </c>
      <c r="E230">
        <f t="shared" si="7"/>
        <v>7</v>
      </c>
      <c r="F230" s="10" t="s">
        <v>480</v>
      </c>
      <c r="G230" s="10" t="s">
        <v>11</v>
      </c>
      <c r="H230" s="10" t="s">
        <v>12</v>
      </c>
      <c r="I230" s="10"/>
    </row>
    <row r="231" spans="1:9" x14ac:dyDescent="0.25">
      <c r="A231" t="s">
        <v>481</v>
      </c>
      <c r="B231" s="14" cm="1">
        <f t="array" ref="B231">_xll.GetLatestPrice(F231,,G231)</f>
        <v>24.5</v>
      </c>
      <c r="C231" s="1" cm="1">
        <f t="array" ref="C231">_xll.GetLatestPrice(F231,"Actual","AssessmentDate")</f>
        <v>45849.4375</v>
      </c>
      <c r="D231">
        <f t="shared" si="6"/>
        <v>2025</v>
      </c>
      <c r="E231">
        <f t="shared" si="7"/>
        <v>7</v>
      </c>
      <c r="F231" s="10" t="s">
        <v>482</v>
      </c>
      <c r="G231" s="10" t="s">
        <v>11</v>
      </c>
      <c r="H231" s="10" t="s">
        <v>12</v>
      </c>
      <c r="I231" s="10"/>
    </row>
    <row r="232" spans="1:9" x14ac:dyDescent="0.25">
      <c r="A232" t="s">
        <v>483</v>
      </c>
      <c r="B232" s="14" cm="1">
        <f t="array" ref="B232">_xll.GetLatestPrice(F232,,G232)</f>
        <v>10</v>
      </c>
      <c r="C232" s="1" cm="1">
        <f t="array" ref="C232">_xll.GetLatestPrice(F232,"Actual","AssessmentDate")</f>
        <v>45777.551921296297</v>
      </c>
      <c r="D232">
        <f t="shared" si="6"/>
        <v>2025</v>
      </c>
      <c r="E232">
        <f t="shared" si="7"/>
        <v>4</v>
      </c>
      <c r="F232" s="10" t="s">
        <v>484</v>
      </c>
      <c r="G232" s="10" t="s">
        <v>11</v>
      </c>
      <c r="H232" s="10" t="s">
        <v>12</v>
      </c>
      <c r="I232" s="10"/>
    </row>
    <row r="233" spans="1:9" x14ac:dyDescent="0.25">
      <c r="A233" t="s">
        <v>485</v>
      </c>
      <c r="B233" s="14" cm="1">
        <f t="array" ref="B233">_xll.GetLatestPrice(F233,,G233)</f>
        <v>20</v>
      </c>
      <c r="C233" s="1" cm="1">
        <f t="array" ref="C233">_xll.GetLatestPrice(F233,"Actual","AssessmentDate")</f>
        <v>45777.551921296297</v>
      </c>
      <c r="D233">
        <f t="shared" si="6"/>
        <v>2025</v>
      </c>
      <c r="E233">
        <f t="shared" si="7"/>
        <v>4</v>
      </c>
      <c r="F233" s="10" t="s">
        <v>484</v>
      </c>
      <c r="G233" s="10" t="s">
        <v>486</v>
      </c>
      <c r="H233" s="10" t="s">
        <v>12</v>
      </c>
      <c r="I233" s="10"/>
    </row>
    <row r="234" spans="1:9" x14ac:dyDescent="0.25">
      <c r="A234" t="s">
        <v>487</v>
      </c>
      <c r="B234" s="14" cm="1">
        <f t="array" ref="B234">_xll.GetLatestPrice(F234,,G234)</f>
        <v>1805</v>
      </c>
      <c r="C234" s="1" cm="1">
        <f t="array" ref="C234">_xll.GetLatestPrice(F234,"Actual","AssessmentDate")</f>
        <v>45849.4375</v>
      </c>
      <c r="D234">
        <f t="shared" si="6"/>
        <v>2025</v>
      </c>
      <c r="E234">
        <f t="shared" si="7"/>
        <v>7</v>
      </c>
      <c r="F234" s="10" t="s">
        <v>488</v>
      </c>
      <c r="G234" s="10" t="s">
        <v>11</v>
      </c>
      <c r="H234" s="10" t="s">
        <v>12</v>
      </c>
      <c r="I234" s="10"/>
    </row>
    <row r="235" spans="1:9" x14ac:dyDescent="0.25">
      <c r="A235" t="s">
        <v>489</v>
      </c>
      <c r="B235" s="14" cm="1">
        <f t="array" ref="B235">_xll.GetLatestPrice(F235,,G235)</f>
        <v>2385</v>
      </c>
      <c r="C235" s="1" cm="1">
        <f t="array" ref="C235">_xll.GetLatestPrice(F235,"Actual","AssessmentDate")</f>
        <v>45849.4375</v>
      </c>
      <c r="D235">
        <f t="shared" si="6"/>
        <v>2025</v>
      </c>
      <c r="E235">
        <f t="shared" si="7"/>
        <v>7</v>
      </c>
      <c r="F235" s="10" t="s">
        <v>490</v>
      </c>
      <c r="G235" s="10" t="s">
        <v>11</v>
      </c>
      <c r="H235" s="10" t="s">
        <v>12</v>
      </c>
      <c r="I235" s="10"/>
    </row>
    <row r="236" spans="1:9" x14ac:dyDescent="0.25">
      <c r="A236" t="s">
        <v>491</v>
      </c>
      <c r="B236" s="14" cm="1">
        <f t="array" ref="B236">_xll.GetLatestPrice(F236,,G236)</f>
        <v>2425</v>
      </c>
      <c r="C236" s="1" cm="1">
        <f t="array" ref="C236">_xll.GetLatestPrice(F236,"Actual","AssessmentDate")</f>
        <v>45849.4375</v>
      </c>
      <c r="D236">
        <f t="shared" si="6"/>
        <v>2025</v>
      </c>
      <c r="E236">
        <f t="shared" si="7"/>
        <v>7</v>
      </c>
      <c r="F236" s="10" t="s">
        <v>492</v>
      </c>
      <c r="G236" s="10" t="s">
        <v>11</v>
      </c>
      <c r="H236" s="10" t="s">
        <v>12</v>
      </c>
      <c r="I236" s="10"/>
    </row>
    <row r="237" spans="1:9" x14ac:dyDescent="0.25">
      <c r="A237" t="s">
        <v>493</v>
      </c>
      <c r="B237" s="14" cm="1">
        <f t="array" ref="B237">_xll.GetLatestPrice(F237,,G237)</f>
        <v>1590</v>
      </c>
      <c r="C237" s="1" cm="1">
        <f t="array" ref="C237">_xll.GetLatestPrice(F237,"Actual","AssessmentDate")</f>
        <v>45849.4375</v>
      </c>
      <c r="D237">
        <f t="shared" si="6"/>
        <v>2025</v>
      </c>
      <c r="E237">
        <f t="shared" si="7"/>
        <v>7</v>
      </c>
      <c r="F237" s="10" t="s">
        <v>494</v>
      </c>
      <c r="G237" s="10" t="s">
        <v>11</v>
      </c>
      <c r="H237" s="10" t="s">
        <v>12</v>
      </c>
      <c r="I237" s="10"/>
    </row>
    <row r="238" spans="1:9" x14ac:dyDescent="0.25">
      <c r="A238" t="s">
        <v>495</v>
      </c>
      <c r="B238" s="14" cm="1">
        <f t="array" ref="B238">_xll.GetLatestPrice(F238,,G238)</f>
        <v>2220</v>
      </c>
      <c r="C238" s="1" cm="1">
        <f t="array" ref="C238">_xll.GetLatestPrice(F238,"Actual","AssessmentDate")</f>
        <v>45849.4375</v>
      </c>
      <c r="D238">
        <f t="shared" si="6"/>
        <v>2025</v>
      </c>
      <c r="E238">
        <f t="shared" si="7"/>
        <v>7</v>
      </c>
      <c r="F238" s="10" t="s">
        <v>496</v>
      </c>
      <c r="G238" s="10" t="s">
        <v>11</v>
      </c>
      <c r="H238" s="10" t="s">
        <v>12</v>
      </c>
      <c r="I238" s="10"/>
    </row>
    <row r="239" spans="1:9" x14ac:dyDescent="0.25">
      <c r="A239" t="s">
        <v>497</v>
      </c>
      <c r="B239" s="14" cm="1">
        <f t="array" ref="B239">_xll.GetLatestPrice(F239,,G239)</f>
        <v>2240</v>
      </c>
      <c r="C239" s="1" cm="1">
        <f t="array" ref="C239">_xll.GetLatestPrice(F239,"Actual","AssessmentDate")</f>
        <v>45849.4375</v>
      </c>
      <c r="D239">
        <f t="shared" si="6"/>
        <v>2025</v>
      </c>
      <c r="E239">
        <f t="shared" si="7"/>
        <v>7</v>
      </c>
      <c r="F239" s="10" t="s">
        <v>498</v>
      </c>
      <c r="G239" s="10" t="s">
        <v>11</v>
      </c>
      <c r="H239" s="10" t="s">
        <v>12</v>
      </c>
      <c r="I239" s="10"/>
    </row>
    <row r="240" spans="1:9" x14ac:dyDescent="0.25">
      <c r="A240" t="s">
        <v>499</v>
      </c>
      <c r="B240" s="14" cm="1">
        <f t="array" ref="B240">_xll.GetLatestPrice(F240,,G240)</f>
        <v>1815</v>
      </c>
      <c r="C240" s="1" cm="1">
        <f t="array" ref="C240">_xll.GetLatestPrice(F240,"Actual","AssessmentDate")</f>
        <v>45849.4375</v>
      </c>
      <c r="D240">
        <f t="shared" si="6"/>
        <v>2025</v>
      </c>
      <c r="E240">
        <f t="shared" si="7"/>
        <v>7</v>
      </c>
      <c r="F240" s="10" t="s">
        <v>500</v>
      </c>
      <c r="G240" s="10" t="s">
        <v>11</v>
      </c>
      <c r="H240" s="10" t="s">
        <v>12</v>
      </c>
      <c r="I240" s="10"/>
    </row>
    <row r="241" spans="1:9" x14ac:dyDescent="0.25">
      <c r="A241" t="s">
        <v>501</v>
      </c>
      <c r="B241" s="14" cm="1">
        <f t="array" ref="B241">_xll.GetLatestPrice(F241,,G241)</f>
        <v>2415</v>
      </c>
      <c r="C241" s="1" cm="1">
        <f t="array" ref="C241">_xll.GetLatestPrice(F241,"Actual","AssessmentDate")</f>
        <v>45849.4375</v>
      </c>
      <c r="D241">
        <f t="shared" si="6"/>
        <v>2025</v>
      </c>
      <c r="E241">
        <f t="shared" si="7"/>
        <v>7</v>
      </c>
      <c r="F241" s="10" t="s">
        <v>502</v>
      </c>
      <c r="G241" s="10" t="s">
        <v>11</v>
      </c>
      <c r="H241" s="10" t="s">
        <v>12</v>
      </c>
      <c r="I241" s="10"/>
    </row>
    <row r="242" spans="1:9" x14ac:dyDescent="0.25">
      <c r="A242" t="s">
        <v>503</v>
      </c>
      <c r="B242" s="14" cm="1">
        <f t="array" ref="B242">_xll.GetLatestPrice(F242,,G242)</f>
        <v>2455</v>
      </c>
      <c r="C242" s="1" cm="1">
        <f t="array" ref="C242">_xll.GetLatestPrice(F242,"Actual","AssessmentDate")</f>
        <v>45849.4375</v>
      </c>
      <c r="D242">
        <f t="shared" si="6"/>
        <v>2025</v>
      </c>
      <c r="E242">
        <f t="shared" si="7"/>
        <v>7</v>
      </c>
      <c r="F242" s="10" t="s">
        <v>504</v>
      </c>
      <c r="G242" s="10" t="s">
        <v>11</v>
      </c>
      <c r="H242" s="10" t="s">
        <v>12</v>
      </c>
      <c r="I242" s="10"/>
    </row>
    <row r="243" spans="1:9" x14ac:dyDescent="0.25">
      <c r="A243" t="s">
        <v>505</v>
      </c>
      <c r="B243" s="14" cm="1">
        <f t="array" ref="B243">_xll.GetLatestPrice(F243,,G243)</f>
        <v>1625</v>
      </c>
      <c r="C243" s="1" cm="1">
        <f t="array" ref="C243">_xll.GetLatestPrice(F243,"Actual","AssessmentDate")</f>
        <v>45849.4375</v>
      </c>
      <c r="D243">
        <f t="shared" si="6"/>
        <v>2025</v>
      </c>
      <c r="E243">
        <f t="shared" si="7"/>
        <v>7</v>
      </c>
      <c r="F243" s="10" t="s">
        <v>506</v>
      </c>
      <c r="G243" s="10" t="s">
        <v>11</v>
      </c>
      <c r="H243" s="10" t="s">
        <v>12</v>
      </c>
      <c r="I243" s="10"/>
    </row>
    <row r="244" spans="1:9" x14ac:dyDescent="0.25">
      <c r="A244" t="s">
        <v>507</v>
      </c>
      <c r="B244" s="14" cm="1">
        <f t="array" ref="B244">_xll.GetLatestPrice(F244,,G244)</f>
        <v>2235</v>
      </c>
      <c r="C244" s="1" cm="1">
        <f t="array" ref="C244">_xll.GetLatestPrice(F244,"Actual","AssessmentDate")</f>
        <v>45849.4375</v>
      </c>
      <c r="D244">
        <f t="shared" si="6"/>
        <v>2025</v>
      </c>
      <c r="E244">
        <f t="shared" si="7"/>
        <v>7</v>
      </c>
      <c r="F244" s="10" t="s">
        <v>508</v>
      </c>
      <c r="G244" s="10" t="s">
        <v>11</v>
      </c>
      <c r="H244" s="10" t="s">
        <v>12</v>
      </c>
      <c r="I244" s="10"/>
    </row>
    <row r="245" spans="1:9" x14ac:dyDescent="0.25">
      <c r="A245" t="s">
        <v>509</v>
      </c>
      <c r="B245" s="14" cm="1">
        <f t="array" ref="B245">_xll.GetLatestPrice(F245,,G245)</f>
        <v>2270</v>
      </c>
      <c r="C245" s="1" cm="1">
        <f t="array" ref="C245">_xll.GetLatestPrice(F245,"Actual","AssessmentDate")</f>
        <v>45849.4375</v>
      </c>
      <c r="D245">
        <f t="shared" si="6"/>
        <v>2025</v>
      </c>
      <c r="E245">
        <f t="shared" si="7"/>
        <v>7</v>
      </c>
      <c r="F245" s="10" t="s">
        <v>510</v>
      </c>
      <c r="G245" s="10" t="s">
        <v>11</v>
      </c>
      <c r="H245" s="10" t="s">
        <v>12</v>
      </c>
      <c r="I245" s="10"/>
    </row>
    <row r="246" spans="1:9" x14ac:dyDescent="0.25">
      <c r="A246" t="s">
        <v>511</v>
      </c>
      <c r="B246" s="14" cm="1">
        <f t="array" ref="B246">_xll.GetLatestPrice(F246,,G246)</f>
        <v>444</v>
      </c>
      <c r="C246" s="1" cm="1">
        <f t="array" ref="C246">_xll.GetLatestPrice(F246,"Actual","AssessmentDate")</f>
        <v>45849.444976851853</v>
      </c>
      <c r="D246">
        <f t="shared" si="6"/>
        <v>2025</v>
      </c>
      <c r="E246">
        <f t="shared" si="7"/>
        <v>7</v>
      </c>
      <c r="F246" s="10" t="s">
        <v>470</v>
      </c>
      <c r="G246" s="10" t="s">
        <v>11</v>
      </c>
      <c r="H246" s="10" t="s">
        <v>12</v>
      </c>
      <c r="I246" s="10"/>
    </row>
    <row r="247" spans="1:9" x14ac:dyDescent="0.25">
      <c r="A247" t="s">
        <v>512</v>
      </c>
      <c r="B247" s="14" cm="1">
        <f t="array" ref="B247">_xll.GetLatestPrice(F247,,G247)</f>
        <v>700</v>
      </c>
      <c r="C247" s="1" cm="1">
        <f t="array" ref="C247">_xll.GetLatestPrice(F247,"Actual","AssessmentDate")</f>
        <v>45849.4375</v>
      </c>
      <c r="D247">
        <f t="shared" si="6"/>
        <v>2025</v>
      </c>
      <c r="E247">
        <f t="shared" si="7"/>
        <v>7</v>
      </c>
      <c r="F247" s="10" t="s">
        <v>513</v>
      </c>
      <c r="G247" s="10" t="s">
        <v>11</v>
      </c>
      <c r="H247" s="10" t="s">
        <v>12</v>
      </c>
      <c r="I247" s="10"/>
    </row>
    <row r="248" spans="1:9" x14ac:dyDescent="0.25">
      <c r="A248" t="s">
        <v>514</v>
      </c>
      <c r="B248" s="14" cm="1">
        <f t="array" ref="B248">_xll.GetLatestPrice(F248,,G248)</f>
        <v>755</v>
      </c>
      <c r="C248" s="1" cm="1">
        <f t="array" ref="C248">_xll.GetLatestPrice(F248,"Actual","AssessmentDate")</f>
        <v>45849.4375</v>
      </c>
      <c r="D248">
        <f t="shared" ref="D248:D311" si="8">YEAR(C248)</f>
        <v>2025</v>
      </c>
      <c r="E248">
        <f t="shared" ref="E248:E311" si="9">MONTH(C248)</f>
        <v>7</v>
      </c>
      <c r="F248" s="10" t="s">
        <v>515</v>
      </c>
      <c r="G248" s="10" t="s">
        <v>11</v>
      </c>
      <c r="H248" s="10" t="s">
        <v>12</v>
      </c>
      <c r="I248" s="10"/>
    </row>
    <row r="249" spans="1:9" x14ac:dyDescent="0.25">
      <c r="A249" t="s">
        <v>516</v>
      </c>
      <c r="B249" s="14" cm="1">
        <f t="array" ref="B249">_xll.GetLatestPrice(F249,,G249)</f>
        <v>665</v>
      </c>
      <c r="C249" s="1" cm="1">
        <f t="array" ref="C249">_xll.GetLatestPrice(F249,"Actual","AssessmentDate")</f>
        <v>45849.4375</v>
      </c>
      <c r="D249">
        <f t="shared" si="8"/>
        <v>2025</v>
      </c>
      <c r="E249">
        <f t="shared" si="9"/>
        <v>7</v>
      </c>
      <c r="F249" s="10" t="s">
        <v>517</v>
      </c>
      <c r="G249" s="10" t="s">
        <v>11</v>
      </c>
      <c r="H249" s="10" t="s">
        <v>12</v>
      </c>
      <c r="I249" s="10"/>
    </row>
    <row r="250" spans="1:9" x14ac:dyDescent="0.25">
      <c r="A250" t="s">
        <v>518</v>
      </c>
      <c r="B250" s="14" cm="1">
        <f t="array" ref="B250">_xll.GetLatestPrice(F250,,G250)</f>
        <v>720</v>
      </c>
      <c r="C250" s="1" cm="1">
        <f t="array" ref="C250">_xll.GetLatestPrice(F250,"Actual","AssessmentDate")</f>
        <v>45849.4375</v>
      </c>
      <c r="D250">
        <f t="shared" si="8"/>
        <v>2025</v>
      </c>
      <c r="E250">
        <f t="shared" si="9"/>
        <v>7</v>
      </c>
      <c r="F250" s="10" t="s">
        <v>519</v>
      </c>
      <c r="G250" s="10" t="s">
        <v>11</v>
      </c>
      <c r="H250" s="10" t="s">
        <v>12</v>
      </c>
      <c r="I250" s="10"/>
    </row>
    <row r="251" spans="1:9" x14ac:dyDescent="0.25">
      <c r="A251" t="s">
        <v>520</v>
      </c>
      <c r="B251" s="14" cm="1">
        <f t="array" ref="B251">_xll.GetLatestPrice(F251,,G251)</f>
        <v>765</v>
      </c>
      <c r="C251" s="1" cm="1">
        <f t="array" ref="C251">_xll.GetLatestPrice(F251,"Actual","AssessmentDate")</f>
        <v>45849.4375</v>
      </c>
      <c r="D251">
        <f t="shared" si="8"/>
        <v>2025</v>
      </c>
      <c r="E251">
        <f t="shared" si="9"/>
        <v>7</v>
      </c>
      <c r="F251" s="10" t="s">
        <v>521</v>
      </c>
      <c r="G251" s="10" t="s">
        <v>11</v>
      </c>
      <c r="H251" s="10" t="s">
        <v>12</v>
      </c>
      <c r="I251" s="10"/>
    </row>
    <row r="252" spans="1:9" x14ac:dyDescent="0.25">
      <c r="A252" t="s">
        <v>522</v>
      </c>
      <c r="B252" s="14" cm="1">
        <f t="array" ref="B252">_xll.GetLatestPrice(F252,,G252)</f>
        <v>91</v>
      </c>
      <c r="C252" s="1" cm="1">
        <f t="array" ref="C252">_xll.GetLatestPrice(F252,"Actual","AssessmentDate")</f>
        <v>45849.4375</v>
      </c>
      <c r="D252">
        <f t="shared" si="8"/>
        <v>2025</v>
      </c>
      <c r="E252">
        <f t="shared" si="9"/>
        <v>7</v>
      </c>
      <c r="F252" s="10" t="s">
        <v>523</v>
      </c>
      <c r="G252" s="10" t="s">
        <v>11</v>
      </c>
      <c r="H252" s="10" t="s">
        <v>12</v>
      </c>
      <c r="I252" s="10"/>
    </row>
    <row r="253" spans="1:9" x14ac:dyDescent="0.25">
      <c r="A253" t="s">
        <v>524</v>
      </c>
      <c r="B253" s="14" cm="1">
        <f t="array" ref="B253">_xll.GetLatestPrice(F253,,G253)</f>
        <v>44.5</v>
      </c>
      <c r="C253" s="1" cm="1">
        <f t="array" ref="C253">_xll.GetLatestPrice(F253,"Actual","AssessmentDate")</f>
        <v>45849.4375</v>
      </c>
      <c r="D253">
        <f t="shared" si="8"/>
        <v>2025</v>
      </c>
      <c r="E253">
        <f t="shared" si="9"/>
        <v>7</v>
      </c>
      <c r="F253" s="10" t="s">
        <v>525</v>
      </c>
      <c r="G253" s="10" t="s">
        <v>11</v>
      </c>
      <c r="H253" s="10" t="s">
        <v>12</v>
      </c>
      <c r="I253" s="10"/>
    </row>
    <row r="254" spans="1:9" x14ac:dyDescent="0.25">
      <c r="A254" t="s">
        <v>526</v>
      </c>
      <c r="B254" s="14" cm="1">
        <f t="array" ref="B254">_xll.GetLatestPrice(F254,,G254)</f>
        <v>11.5</v>
      </c>
      <c r="C254" s="1" cm="1">
        <f t="array" ref="C254">_xll.GetLatestPrice(F254,"Actual","AssessmentDate")</f>
        <v>45849.4375</v>
      </c>
      <c r="D254">
        <f t="shared" si="8"/>
        <v>2025</v>
      </c>
      <c r="E254">
        <f t="shared" si="9"/>
        <v>7</v>
      </c>
      <c r="F254" s="10" t="s">
        <v>527</v>
      </c>
      <c r="G254" s="10" t="s">
        <v>11</v>
      </c>
      <c r="H254" s="10" t="s">
        <v>12</v>
      </c>
      <c r="I254" s="10"/>
    </row>
    <row r="255" spans="1:9" x14ac:dyDescent="0.25">
      <c r="A255" t="s">
        <v>528</v>
      </c>
      <c r="B255" s="14" cm="1">
        <f t="array" ref="B255">_xll.GetLatestPrice(F255,,G255)</f>
        <v>13.5</v>
      </c>
      <c r="C255" s="1" cm="1">
        <f t="array" ref="C255">_xll.GetLatestPrice(F255,"Actual","AssessmentDate")</f>
        <v>45849.4375</v>
      </c>
      <c r="D255">
        <f t="shared" si="8"/>
        <v>2025</v>
      </c>
      <c r="E255">
        <f t="shared" si="9"/>
        <v>7</v>
      </c>
      <c r="F255" s="10" t="s">
        <v>529</v>
      </c>
      <c r="G255" s="10" t="s">
        <v>11</v>
      </c>
      <c r="H255" s="10" t="s">
        <v>12</v>
      </c>
      <c r="I255" s="10"/>
    </row>
    <row r="256" spans="1:9" x14ac:dyDescent="0.25">
      <c r="A256" t="s">
        <v>530</v>
      </c>
      <c r="B256" s="14" cm="1">
        <f t="array" ref="B256">_xll.GetLatestPrice(F256,,G256)</f>
        <v>74.5</v>
      </c>
      <c r="C256" s="1" cm="1">
        <f t="array" ref="C256">_xll.GetLatestPrice(F256,"Actual","AssessmentDate")</f>
        <v>45849.444976851853</v>
      </c>
      <c r="D256">
        <f t="shared" si="8"/>
        <v>2025</v>
      </c>
      <c r="E256">
        <f t="shared" si="9"/>
        <v>7</v>
      </c>
      <c r="F256" s="10" t="s">
        <v>531</v>
      </c>
      <c r="G256" s="10" t="s">
        <v>11</v>
      </c>
      <c r="H256" s="10" t="s">
        <v>12</v>
      </c>
      <c r="I256" s="10"/>
    </row>
    <row r="257" spans="1:9" x14ac:dyDescent="0.25">
      <c r="A257" t="s">
        <v>532</v>
      </c>
      <c r="B257" s="14" cm="1">
        <f t="array" ref="B257">_xll.GetLatestPrice(F257,,G257)</f>
        <v>260</v>
      </c>
      <c r="C257" s="1" cm="1">
        <f t="array" ref="C257">_xll.GetLatestPrice(F257,"Actual","AssessmentDate")</f>
        <v>45849.444976851853</v>
      </c>
      <c r="D257">
        <f t="shared" si="8"/>
        <v>2025</v>
      </c>
      <c r="E257">
        <f t="shared" si="9"/>
        <v>7</v>
      </c>
      <c r="F257" s="10" t="s">
        <v>533</v>
      </c>
      <c r="G257" s="10" t="s">
        <v>11</v>
      </c>
      <c r="H257" s="10" t="s">
        <v>12</v>
      </c>
      <c r="I257" s="10"/>
    </row>
    <row r="258" spans="1:9" x14ac:dyDescent="0.25">
      <c r="A258" t="s">
        <v>534</v>
      </c>
      <c r="B258" s="14" cm="1">
        <f t="array" ref="B258">_xll.GetLatestPrice(F258,,G258)</f>
        <v>679</v>
      </c>
      <c r="C258" s="1" cm="1">
        <f t="array" ref="C258">_xll.GetLatestPrice(F258,"Actual","AssessmentDate")</f>
        <v>45849.444976851853</v>
      </c>
      <c r="D258">
        <f t="shared" si="8"/>
        <v>2025</v>
      </c>
      <c r="E258">
        <f t="shared" si="9"/>
        <v>7</v>
      </c>
      <c r="F258" s="10" t="s">
        <v>535</v>
      </c>
      <c r="G258" s="10" t="s">
        <v>11</v>
      </c>
      <c r="H258" s="10" t="s">
        <v>12</v>
      </c>
      <c r="I258" s="10"/>
    </row>
    <row r="259" spans="1:9" x14ac:dyDescent="0.25">
      <c r="A259" t="s">
        <v>536</v>
      </c>
      <c r="B259" s="14" cm="1">
        <f t="array" ref="B259">_xll.GetLatestPrice(F259,,G259)</f>
        <v>949</v>
      </c>
      <c r="C259" s="1" cm="1">
        <f t="array" ref="C259">_xll.GetLatestPrice(F259,"Actual","AssessmentDate")</f>
        <v>45849.444976851853</v>
      </c>
      <c r="D259">
        <f t="shared" si="8"/>
        <v>2025</v>
      </c>
      <c r="E259">
        <f t="shared" si="9"/>
        <v>7</v>
      </c>
      <c r="F259" s="10" t="s">
        <v>537</v>
      </c>
      <c r="G259" s="10" t="s">
        <v>11</v>
      </c>
      <c r="H259" s="10" t="s">
        <v>12</v>
      </c>
      <c r="I259" s="10"/>
    </row>
    <row r="260" spans="1:9" x14ac:dyDescent="0.25">
      <c r="A260" t="s">
        <v>538</v>
      </c>
      <c r="B260" s="14" cm="1">
        <f t="array" ref="B260">_xll.GetPrice(F260,,G260,_xll.GetPrice(F260,"Actual","AssessmentDate",C260-5))</f>
        <v>261</v>
      </c>
      <c r="C260" s="1" cm="1">
        <f t="array" ref="C260">_xll.GetLatestPrice(F260,"Actual","AssessmentDate")</f>
        <v>45849.444976851853</v>
      </c>
      <c r="D260">
        <f t="shared" si="8"/>
        <v>2025</v>
      </c>
      <c r="E260">
        <f t="shared" si="9"/>
        <v>7</v>
      </c>
      <c r="F260" s="10" t="s">
        <v>533</v>
      </c>
      <c r="G260" s="10" t="s">
        <v>11</v>
      </c>
      <c r="H260" s="10" t="s">
        <v>471</v>
      </c>
      <c r="I260" s="11" cm="1">
        <f t="array" ref="I260">_xll.GetPrice(F260,"Actual","AssessmentDate",C260-5)</f>
        <v>45841.442997685182</v>
      </c>
    </row>
    <row r="261" spans="1:9" x14ac:dyDescent="0.25">
      <c r="A261" t="s">
        <v>539</v>
      </c>
      <c r="B261" s="14" cm="1">
        <f t="array" ref="B261">_xll.GetPrice(F261,,G261,_xll.GetPrice(F261,"Actual","AssessmentDate",C261-5))</f>
        <v>689</v>
      </c>
      <c r="C261" s="1" cm="1">
        <f t="array" ref="C261">_xll.GetLatestPrice(F261,"Actual","AssessmentDate")</f>
        <v>45849.444976851853</v>
      </c>
      <c r="D261">
        <f t="shared" si="8"/>
        <v>2025</v>
      </c>
      <c r="E261">
        <f t="shared" si="9"/>
        <v>7</v>
      </c>
      <c r="F261" s="10" t="s">
        <v>535</v>
      </c>
      <c r="G261" s="10" t="s">
        <v>11</v>
      </c>
      <c r="H261" s="10" t="s">
        <v>471</v>
      </c>
      <c r="I261" s="11" cm="1">
        <f t="array" ref="I261">_xll.GetPrice(F261,"Actual","AssessmentDate",C261-5)</f>
        <v>45841.442997685182</v>
      </c>
    </row>
    <row r="262" spans="1:9" x14ac:dyDescent="0.25">
      <c r="A262" t="s">
        <v>540</v>
      </c>
      <c r="B262" s="14" cm="1">
        <f t="array" ref="B262">_xll.GetPrice(F262,,G262,_xll.GetPrice(F262,"Actual","AssessmentDate",C262-5))</f>
        <v>955</v>
      </c>
      <c r="C262" s="1" cm="1">
        <f t="array" ref="C262">_xll.GetLatestPrice(F262,"Actual","AssessmentDate")</f>
        <v>45849.444976851853</v>
      </c>
      <c r="D262">
        <f t="shared" si="8"/>
        <v>2025</v>
      </c>
      <c r="E262">
        <f t="shared" si="9"/>
        <v>7</v>
      </c>
      <c r="F262" s="10" t="s">
        <v>537</v>
      </c>
      <c r="G262" s="10" t="s">
        <v>11</v>
      </c>
      <c r="H262" s="10" t="s">
        <v>471</v>
      </c>
      <c r="I262" s="11" cm="1">
        <f t="array" ref="I262">_xll.GetPrice(F262,"Actual","AssessmentDate",C262-5)</f>
        <v>45841.442997685182</v>
      </c>
    </row>
    <row r="263" spans="1:9" x14ac:dyDescent="0.25">
      <c r="A263" t="s">
        <v>541</v>
      </c>
      <c r="B263" s="14" cm="1">
        <f t="array" ref="B263">_xll.GetPrice(F263,,G263,_xll.GetPrice(F263,"Actual","AssessmentDate",(_xll.GetPrice(F263,"Actual","AssessmentDate",IF(_xll.GetPrice(F263,"Actual","PreliminaryPrice",EDATE(C263,-12)),_xll.GetPrice(F263,"Actual","AssessmentDate",EDATE(C263,-12))-1,_xll.GetPrice(F263,"Actual","AssessmentDate",EDATE(C263,-12)))))))</f>
        <v>352</v>
      </c>
      <c r="C263" s="1" cm="1">
        <f t="array" ref="C263">_xll.GetLatestPrice(F263,"Actual","AssessmentDate")</f>
        <v>45849.444976851853</v>
      </c>
      <c r="D263">
        <f t="shared" si="8"/>
        <v>2025</v>
      </c>
      <c r="E263">
        <f t="shared" si="9"/>
        <v>7</v>
      </c>
      <c r="F263" s="10" t="s">
        <v>533</v>
      </c>
      <c r="G263" s="10" t="s">
        <v>11</v>
      </c>
      <c r="H263" s="10" t="s">
        <v>473</v>
      </c>
      <c r="I263" s="11" cm="1">
        <f t="array" ref="I263">_xll.GetPrice(F263,"Actual","AssessmentDate",(_xll.GetPrice(F263,"Actual","AssessmentDate",IF(_xll.GetPrice(F263,"Actual","PreliminaryPrice",EDATE(C263,-12)),_xll.GetPrice(F263,"Actual","AssessmentDate",EDATE(C263,-12))-1,_xll.GetPrice(F263,"Actual","AssessmentDate",EDATE(C263,-12))))))</f>
        <v>45476.441979166666</v>
      </c>
    </row>
    <row r="264" spans="1:9" x14ac:dyDescent="0.25">
      <c r="A264" t="s">
        <v>542</v>
      </c>
      <c r="B264" s="14" cm="1">
        <f t="array" ref="B264">_xll.GetPrice(F264,,G264,_xll.GetPrice(F264,"Actual","AssessmentDate",(_xll.GetPrice(F264,"Actual","AssessmentDate",IF(_xll.GetPrice(F264,"Actual","PreliminaryPrice",EDATE(C264,-12)),_xll.GetPrice(F264,"Actual","AssessmentDate",EDATE(C264,-12))-1,_xll.GetPrice(F264,"Actual","AssessmentDate",EDATE(C264,-12)))))))</f>
        <v>677</v>
      </c>
      <c r="C264" s="1" cm="1">
        <f t="array" ref="C264">_xll.GetLatestPrice(F264,"Actual","AssessmentDate")</f>
        <v>45849.444976851853</v>
      </c>
      <c r="D264">
        <f t="shared" si="8"/>
        <v>2025</v>
      </c>
      <c r="E264">
        <f t="shared" si="9"/>
        <v>7</v>
      </c>
      <c r="F264" s="10" t="s">
        <v>535</v>
      </c>
      <c r="G264" s="10" t="s">
        <v>11</v>
      </c>
      <c r="H264" s="10" t="s">
        <v>473</v>
      </c>
      <c r="I264" s="11" cm="1">
        <f t="array" ref="I264">_xll.GetPrice(F264,"Actual","AssessmentDate",(_xll.GetPrice(F264,"Actual","AssessmentDate",IF(_xll.GetPrice(F264,"Actual","PreliminaryPrice",EDATE(C264,-12)),_xll.GetPrice(F264,"Actual","AssessmentDate",EDATE(C264,-12))-1,_xll.GetPrice(F264,"Actual","AssessmentDate",EDATE(C264,-12))))))</f>
        <v>45476.441979166666</v>
      </c>
    </row>
    <row r="265" spans="1:9" x14ac:dyDescent="0.25">
      <c r="A265" t="s">
        <v>543</v>
      </c>
      <c r="B265" s="14" cm="1">
        <f t="array" ref="B265">_xll.GetPrice(F265,,G265,_xll.GetPrice(F265,"Actual","AssessmentDate",(_xll.GetPrice(F265,"Actual","AssessmentDate",IF(_xll.GetPrice(F265,"Actual","PreliminaryPrice",EDATE(C265,-12)),_xll.GetPrice(F265,"Actual","AssessmentDate",EDATE(C265,-12))-1,_xll.GetPrice(F265,"Actual","AssessmentDate",EDATE(C265,-12)))))))</f>
        <v>996</v>
      </c>
      <c r="C265" s="1" cm="1">
        <f t="array" ref="C265">_xll.GetLatestPrice(F265,"Actual","AssessmentDate")</f>
        <v>45849.444976851853</v>
      </c>
      <c r="D265">
        <f t="shared" si="8"/>
        <v>2025</v>
      </c>
      <c r="E265">
        <f t="shared" si="9"/>
        <v>7</v>
      </c>
      <c r="F265" s="10" t="s">
        <v>537</v>
      </c>
      <c r="G265" s="10" t="s">
        <v>11</v>
      </c>
      <c r="H265" s="10" t="s">
        <v>473</v>
      </c>
      <c r="I265" s="11" cm="1">
        <f t="array" ref="I265">_xll.GetPrice(F265,"Actual","AssessmentDate",(_xll.GetPrice(F265,"Actual","AssessmentDate",IF(_xll.GetPrice(F265,"Actual","PreliminaryPrice",EDATE(C265,-12)),_xll.GetPrice(F265,"Actual","AssessmentDate",EDATE(C265,-12))-1,_xll.GetPrice(F265,"Actual","AssessmentDate",EDATE(C265,-12))))))</f>
        <v>45476.441979166666</v>
      </c>
    </row>
    <row r="266" spans="1:9" x14ac:dyDescent="0.25">
      <c r="A266" t="s">
        <v>544</v>
      </c>
      <c r="B266" s="14" cm="1">
        <f t="array" ref="B266">_xll.GetLatestPrice(F266,,G266)</f>
        <v>335</v>
      </c>
      <c r="C266" s="1" cm="1">
        <f t="array" ref="C266">_xll.GetLatestPrice(F266,"Actual","AssessmentDate")</f>
        <v>45849.4375</v>
      </c>
      <c r="D266">
        <f t="shared" si="8"/>
        <v>2025</v>
      </c>
      <c r="E266">
        <f t="shared" si="9"/>
        <v>7</v>
      </c>
      <c r="F266" s="10" t="s">
        <v>545</v>
      </c>
      <c r="G266" s="10" t="s">
        <v>11</v>
      </c>
      <c r="H266" s="10" t="s">
        <v>12</v>
      </c>
      <c r="I266" s="10"/>
    </row>
    <row r="267" spans="1:9" x14ac:dyDescent="0.25">
      <c r="A267" t="s">
        <v>546</v>
      </c>
      <c r="B267" s="14" cm="1">
        <f t="array" ref="B267">_xll.GetLatestPrice(F267,,G267)</f>
        <v>385</v>
      </c>
      <c r="C267" s="1" cm="1">
        <f t="array" ref="C267">_xll.GetLatestPrice(F267,"Actual","AssessmentDate")</f>
        <v>45849.4375</v>
      </c>
      <c r="D267">
        <f t="shared" si="8"/>
        <v>2025</v>
      </c>
      <c r="E267">
        <f t="shared" si="9"/>
        <v>7</v>
      </c>
      <c r="F267" s="10" t="s">
        <v>547</v>
      </c>
      <c r="G267" s="10" t="s">
        <v>11</v>
      </c>
      <c r="H267" s="10" t="s">
        <v>12</v>
      </c>
      <c r="I267" s="10"/>
    </row>
    <row r="268" spans="1:9" x14ac:dyDescent="0.25">
      <c r="A268" t="s">
        <v>548</v>
      </c>
      <c r="B268" s="14" cm="1">
        <f t="array" ref="B268">_xll.GetLatestPrice(F268,,G268)</f>
        <v>865</v>
      </c>
      <c r="C268" s="1" cm="1">
        <f t="array" ref="C268">_xll.GetLatestPrice(F268,"Actual","AssessmentDate")</f>
        <v>45849.4375</v>
      </c>
      <c r="D268">
        <f t="shared" si="8"/>
        <v>2025</v>
      </c>
      <c r="E268">
        <f t="shared" si="9"/>
        <v>7</v>
      </c>
      <c r="F268" s="10" t="s">
        <v>549</v>
      </c>
      <c r="G268" s="10" t="s">
        <v>11</v>
      </c>
      <c r="H268" s="10" t="s">
        <v>12</v>
      </c>
      <c r="I268" s="10"/>
    </row>
    <row r="269" spans="1:9" x14ac:dyDescent="0.25">
      <c r="A269" t="s">
        <v>550</v>
      </c>
      <c r="B269" s="14" cm="1">
        <f t="array" ref="B269">_xll.GetLatestPrice(F269,,G269)</f>
        <v>810</v>
      </c>
      <c r="C269" s="1" cm="1">
        <f t="array" ref="C269">_xll.GetLatestPrice(F269,"Actual","AssessmentDate")</f>
        <v>45849.4375</v>
      </c>
      <c r="D269">
        <f t="shared" si="8"/>
        <v>2025</v>
      </c>
      <c r="E269">
        <f t="shared" si="9"/>
        <v>7</v>
      </c>
      <c r="F269" s="10" t="s">
        <v>551</v>
      </c>
      <c r="G269" s="10" t="s">
        <v>11</v>
      </c>
      <c r="H269" s="10" t="s">
        <v>12</v>
      </c>
      <c r="I269" s="10"/>
    </row>
    <row r="270" spans="1:9" x14ac:dyDescent="0.25">
      <c r="A270" t="s">
        <v>552</v>
      </c>
      <c r="B270" s="14" cm="1">
        <f t="array" ref="B270">_xll.GetLatestPrice(F270,,G270)</f>
        <v>895</v>
      </c>
      <c r="C270" s="1" cm="1">
        <f t="array" ref="C270">_xll.GetLatestPrice(F270,"Actual","AssessmentDate")</f>
        <v>45849.4375</v>
      </c>
      <c r="D270">
        <f t="shared" si="8"/>
        <v>2025</v>
      </c>
      <c r="E270">
        <f t="shared" si="9"/>
        <v>7</v>
      </c>
      <c r="F270" s="10" t="s">
        <v>553</v>
      </c>
      <c r="G270" s="10" t="s">
        <v>11</v>
      </c>
      <c r="H270" s="10" t="s">
        <v>12</v>
      </c>
      <c r="I270" s="10"/>
    </row>
    <row r="271" spans="1:9" x14ac:dyDescent="0.25">
      <c r="A271" t="s">
        <v>554</v>
      </c>
      <c r="B271" s="14" cm="1">
        <f t="array" ref="B271">_xll.GetLatestPrice(F271,,G271)</f>
        <v>835</v>
      </c>
      <c r="C271" s="1" cm="1">
        <f t="array" ref="C271">_xll.GetLatestPrice(F271,"Actual","AssessmentDate")</f>
        <v>45849.4375</v>
      </c>
      <c r="D271">
        <f t="shared" si="8"/>
        <v>2025</v>
      </c>
      <c r="E271">
        <f t="shared" si="9"/>
        <v>7</v>
      </c>
      <c r="F271" s="10" t="s">
        <v>555</v>
      </c>
      <c r="G271" s="10" t="s">
        <v>11</v>
      </c>
      <c r="H271" s="10" t="s">
        <v>12</v>
      </c>
      <c r="I271" s="10"/>
    </row>
    <row r="272" spans="1:9" x14ac:dyDescent="0.25">
      <c r="A272" t="s">
        <v>556</v>
      </c>
      <c r="B272" s="14" cm="1">
        <f t="array" ref="B272">_xll.GetLatestPrice(F272,,G272)</f>
        <v>330</v>
      </c>
      <c r="C272" s="1" cm="1">
        <f t="array" ref="C272">_xll.GetLatestPrice(F272,"Actual","AssessmentDate")</f>
        <v>45849.4375</v>
      </c>
      <c r="D272">
        <f t="shared" si="8"/>
        <v>2025</v>
      </c>
      <c r="E272">
        <f t="shared" si="9"/>
        <v>7</v>
      </c>
      <c r="F272" s="10" t="s">
        <v>557</v>
      </c>
      <c r="G272" s="10" t="s">
        <v>11</v>
      </c>
      <c r="H272" s="10" t="s">
        <v>12</v>
      </c>
      <c r="I272" s="10"/>
    </row>
    <row r="273" spans="1:9" x14ac:dyDescent="0.25">
      <c r="A273" t="s">
        <v>558</v>
      </c>
      <c r="B273" s="14" cm="1">
        <f t="array" ref="B273">_xll.GetLatestPrice(F273,,G273)</f>
        <v>330</v>
      </c>
      <c r="C273" s="1" cm="1">
        <f t="array" ref="C273">_xll.GetLatestPrice(F273,"Actual","AssessmentDate")</f>
        <v>45849.4375</v>
      </c>
      <c r="D273">
        <f t="shared" si="8"/>
        <v>2025</v>
      </c>
      <c r="E273">
        <f t="shared" si="9"/>
        <v>7</v>
      </c>
      <c r="F273" s="10" t="s">
        <v>559</v>
      </c>
      <c r="G273" s="10" t="s">
        <v>11</v>
      </c>
      <c r="H273" s="10" t="s">
        <v>12</v>
      </c>
      <c r="I273" s="10"/>
    </row>
    <row r="274" spans="1:9" x14ac:dyDescent="0.25">
      <c r="A274" t="s">
        <v>560</v>
      </c>
      <c r="B274" s="14" cm="1">
        <f t="array" ref="B274">_xll.GetLatestPrice(F274,,G274)</f>
        <v>360</v>
      </c>
      <c r="C274" s="1" cm="1">
        <f t="array" ref="C274">_xll.GetLatestPrice(F274,"Actual","AssessmentDate")</f>
        <v>45849.4375</v>
      </c>
      <c r="D274">
        <f t="shared" si="8"/>
        <v>2025</v>
      </c>
      <c r="E274">
        <f t="shared" si="9"/>
        <v>7</v>
      </c>
      <c r="F274" s="10" t="s">
        <v>561</v>
      </c>
      <c r="G274" s="10" t="s">
        <v>11</v>
      </c>
      <c r="H274" s="10" t="s">
        <v>12</v>
      </c>
      <c r="I274" s="10"/>
    </row>
    <row r="275" spans="1:9" x14ac:dyDescent="0.25">
      <c r="A275" t="s">
        <v>562</v>
      </c>
      <c r="B275" s="14" cm="1">
        <f t="array" ref="B275">_xll.GetLatestPrice(F275,,G275)</f>
        <v>505</v>
      </c>
      <c r="C275" s="1" cm="1">
        <f t="array" ref="C275">_xll.GetLatestPrice(F275,"Actual","AssessmentDate")</f>
        <v>45849.4375</v>
      </c>
      <c r="D275">
        <f t="shared" si="8"/>
        <v>2025</v>
      </c>
      <c r="E275">
        <f t="shared" si="9"/>
        <v>7</v>
      </c>
      <c r="F275" s="10" t="s">
        <v>563</v>
      </c>
      <c r="G275" s="10" t="s">
        <v>11</v>
      </c>
      <c r="H275" s="10" t="s">
        <v>12</v>
      </c>
      <c r="I275" s="10"/>
    </row>
    <row r="276" spans="1:9" x14ac:dyDescent="0.25">
      <c r="A276" t="s">
        <v>564</v>
      </c>
      <c r="B276" s="14" cm="1">
        <f t="array" ref="B276">_xll.GetLatestPrice(F276,,G276)</f>
        <v>620</v>
      </c>
      <c r="C276" s="1" cm="1">
        <f t="array" ref="C276">_xll.GetLatestPrice(F276,"Actual","AssessmentDate")</f>
        <v>45849.4375</v>
      </c>
      <c r="D276">
        <f t="shared" si="8"/>
        <v>2025</v>
      </c>
      <c r="E276">
        <f t="shared" si="9"/>
        <v>7</v>
      </c>
      <c r="F276" s="10" t="s">
        <v>565</v>
      </c>
      <c r="G276" s="10" t="s">
        <v>11</v>
      </c>
      <c r="H276" s="10" t="s">
        <v>12</v>
      </c>
      <c r="I276" s="10"/>
    </row>
    <row r="277" spans="1:9" x14ac:dyDescent="0.25">
      <c r="A277" t="s">
        <v>566</v>
      </c>
      <c r="B277" s="14" cm="1">
        <f t="array" ref="B277">_xll.GetLatestPrice(F277,,G277)</f>
        <v>25</v>
      </c>
      <c r="C277" s="1" cm="1">
        <f t="array" ref="C277">_xll.GetLatestPrice(F277,"Actual","AssessmentDate")</f>
        <v>45434.605266203704</v>
      </c>
      <c r="D277">
        <f t="shared" si="8"/>
        <v>2024</v>
      </c>
      <c r="E277">
        <f t="shared" si="9"/>
        <v>5</v>
      </c>
      <c r="F277" s="10" t="s">
        <v>567</v>
      </c>
      <c r="G277" s="10" t="s">
        <v>11</v>
      </c>
      <c r="H277" s="10" t="s">
        <v>12</v>
      </c>
      <c r="I277" s="10"/>
    </row>
    <row r="278" spans="1:9" x14ac:dyDescent="0.25">
      <c r="A278" t="s">
        <v>568</v>
      </c>
      <c r="B278" s="14" cm="1">
        <f t="array" ref="B278">_xll.GetLatestPrice(F278,,G278)</f>
        <v>340</v>
      </c>
      <c r="C278" s="1" cm="1">
        <f t="array" ref="C278">_xll.GetLatestPrice(F278,"Actual","AssessmentDate")</f>
        <v>45849.4375</v>
      </c>
      <c r="D278">
        <f t="shared" si="8"/>
        <v>2025</v>
      </c>
      <c r="E278">
        <f t="shared" si="9"/>
        <v>7</v>
      </c>
      <c r="F278" s="10" t="s">
        <v>569</v>
      </c>
      <c r="G278" s="10" t="s">
        <v>11</v>
      </c>
      <c r="H278" s="10" t="s">
        <v>12</v>
      </c>
      <c r="I278" s="10"/>
    </row>
    <row r="279" spans="1:9" x14ac:dyDescent="0.25">
      <c r="A279" t="s">
        <v>570</v>
      </c>
      <c r="B279" s="14" cm="1">
        <f t="array" ref="B279">_xll.GetLatestPrice(F279,,G279)</f>
        <v>340</v>
      </c>
      <c r="C279" s="1" cm="1">
        <f t="array" ref="C279">_xll.GetLatestPrice(F279,"Actual","AssessmentDate")</f>
        <v>45849.4375</v>
      </c>
      <c r="D279">
        <f t="shared" si="8"/>
        <v>2025</v>
      </c>
      <c r="E279">
        <f t="shared" si="9"/>
        <v>7</v>
      </c>
      <c r="F279" s="10" t="s">
        <v>571</v>
      </c>
      <c r="G279" s="10" t="s">
        <v>11</v>
      </c>
      <c r="H279" s="10" t="s">
        <v>12</v>
      </c>
      <c r="I279" s="10"/>
    </row>
    <row r="280" spans="1:9" x14ac:dyDescent="0.25">
      <c r="A280" t="s">
        <v>572</v>
      </c>
      <c r="B280" s="14" cm="1">
        <f t="array" ref="B280">_xll.GetLatestPrice(F280,,G280)</f>
        <v>370</v>
      </c>
      <c r="C280" s="1" cm="1">
        <f t="array" ref="C280">_xll.GetLatestPrice(F280,"Actual","AssessmentDate")</f>
        <v>45849.4375</v>
      </c>
      <c r="D280">
        <f t="shared" si="8"/>
        <v>2025</v>
      </c>
      <c r="E280">
        <f t="shared" si="9"/>
        <v>7</v>
      </c>
      <c r="F280" s="10" t="s">
        <v>573</v>
      </c>
      <c r="G280" s="10" t="s">
        <v>11</v>
      </c>
      <c r="H280" s="10" t="s">
        <v>12</v>
      </c>
      <c r="I280" s="10"/>
    </row>
    <row r="281" spans="1:9" x14ac:dyDescent="0.25">
      <c r="A281" t="s">
        <v>574</v>
      </c>
      <c r="B281" s="14" cm="1">
        <f t="array" ref="B281">_xll.GetLatestPrice(F281,,G281)</f>
        <v>390</v>
      </c>
      <c r="C281" s="1" cm="1">
        <f t="array" ref="C281">_xll.GetLatestPrice(F281,"Actual","AssessmentDate")</f>
        <v>45849.4375</v>
      </c>
      <c r="D281">
        <f t="shared" si="8"/>
        <v>2025</v>
      </c>
      <c r="E281">
        <f t="shared" si="9"/>
        <v>7</v>
      </c>
      <c r="F281" s="10" t="s">
        <v>575</v>
      </c>
      <c r="G281" s="10" t="s">
        <v>11</v>
      </c>
      <c r="H281" s="10" t="s">
        <v>12</v>
      </c>
      <c r="I281" s="10"/>
    </row>
    <row r="282" spans="1:9" x14ac:dyDescent="0.25">
      <c r="A282" t="s">
        <v>576</v>
      </c>
      <c r="B282" s="14" cm="1">
        <f t="array" ref="B282">_xll.GetLatestPrice(F282,,G282)</f>
        <v>510</v>
      </c>
      <c r="C282" s="1" cm="1">
        <f t="array" ref="C282">_xll.GetLatestPrice(F282,"Actual","AssessmentDate")</f>
        <v>45849.4375</v>
      </c>
      <c r="D282">
        <f t="shared" si="8"/>
        <v>2025</v>
      </c>
      <c r="E282">
        <f t="shared" si="9"/>
        <v>7</v>
      </c>
      <c r="F282" s="10" t="s">
        <v>577</v>
      </c>
      <c r="G282" s="10" t="s">
        <v>11</v>
      </c>
      <c r="H282" s="10" t="s">
        <v>12</v>
      </c>
      <c r="I282" s="10"/>
    </row>
    <row r="283" spans="1:9" x14ac:dyDescent="0.25">
      <c r="A283" t="s">
        <v>578</v>
      </c>
      <c r="B283" s="14" cm="1">
        <f t="array" ref="B283">_xll.GetLatestPrice(F283,,G283)</f>
        <v>630</v>
      </c>
      <c r="C283" s="1" cm="1">
        <f t="array" ref="C283">_xll.GetLatestPrice(F283,"Actual","AssessmentDate")</f>
        <v>45849.4375</v>
      </c>
      <c r="D283">
        <f t="shared" si="8"/>
        <v>2025</v>
      </c>
      <c r="E283">
        <f t="shared" si="9"/>
        <v>7</v>
      </c>
      <c r="F283" s="10" t="s">
        <v>579</v>
      </c>
      <c r="G283" s="10" t="s">
        <v>11</v>
      </c>
      <c r="H283" s="10" t="s">
        <v>12</v>
      </c>
      <c r="I283" s="10"/>
    </row>
    <row r="284" spans="1:9" x14ac:dyDescent="0.25">
      <c r="A284" t="s">
        <v>580</v>
      </c>
      <c r="B284" s="14" cm="1">
        <f t="array" ref="B284">_xll.GetLatestPrice(F284,,G284)</f>
        <v>315</v>
      </c>
      <c r="C284" s="1" cm="1">
        <f t="array" ref="C284">_xll.GetLatestPrice(F284,"Actual","AssessmentDate")</f>
        <v>45849.4375</v>
      </c>
      <c r="D284">
        <f t="shared" si="8"/>
        <v>2025</v>
      </c>
      <c r="E284">
        <f t="shared" si="9"/>
        <v>7</v>
      </c>
      <c r="F284" s="10" t="s">
        <v>581</v>
      </c>
      <c r="G284" s="10" t="s">
        <v>11</v>
      </c>
      <c r="H284" s="10" t="s">
        <v>12</v>
      </c>
      <c r="I284" s="10"/>
    </row>
    <row r="285" spans="1:9" x14ac:dyDescent="0.25">
      <c r="A285" t="s">
        <v>582</v>
      </c>
      <c r="B285" s="14" cm="1">
        <f t="array" ref="B285">_xll.GetLatestPrice(F285,,G285)</f>
        <v>315</v>
      </c>
      <c r="C285" s="1" cm="1">
        <f t="array" ref="C285">_xll.GetLatestPrice(F285,"Actual","AssessmentDate")</f>
        <v>45849.4375</v>
      </c>
      <c r="D285">
        <f t="shared" si="8"/>
        <v>2025</v>
      </c>
      <c r="E285">
        <f t="shared" si="9"/>
        <v>7</v>
      </c>
      <c r="F285" s="10" t="s">
        <v>583</v>
      </c>
      <c r="G285" s="10" t="s">
        <v>11</v>
      </c>
      <c r="H285" s="10" t="s">
        <v>12</v>
      </c>
      <c r="I285" s="10"/>
    </row>
    <row r="286" spans="1:9" x14ac:dyDescent="0.25">
      <c r="A286" t="s">
        <v>584</v>
      </c>
      <c r="B286" s="14" cm="1">
        <f t="array" ref="B286">_xll.GetLatestPrice(F286,,G286)</f>
        <v>345</v>
      </c>
      <c r="C286" s="1" cm="1">
        <f t="array" ref="C286">_xll.GetLatestPrice(F286,"Actual","AssessmentDate")</f>
        <v>45849.4375</v>
      </c>
      <c r="D286">
        <f t="shared" si="8"/>
        <v>2025</v>
      </c>
      <c r="E286">
        <f t="shared" si="9"/>
        <v>7</v>
      </c>
      <c r="F286" s="10" t="s">
        <v>585</v>
      </c>
      <c r="G286" s="10" t="s">
        <v>11</v>
      </c>
      <c r="H286" s="10" t="s">
        <v>12</v>
      </c>
      <c r="I286" s="10"/>
    </row>
    <row r="287" spans="1:9" x14ac:dyDescent="0.25">
      <c r="A287" t="s">
        <v>586</v>
      </c>
      <c r="B287" s="14" cm="1">
        <f t="array" ref="B287">_xll.GetLatestPrice(F287,,G287)</f>
        <v>365</v>
      </c>
      <c r="C287" s="1" cm="1">
        <f t="array" ref="C287">_xll.GetLatestPrice(F287,"Actual","AssessmentDate")</f>
        <v>45849.4375</v>
      </c>
      <c r="D287">
        <f t="shared" si="8"/>
        <v>2025</v>
      </c>
      <c r="E287">
        <f t="shared" si="9"/>
        <v>7</v>
      </c>
      <c r="F287" s="10" t="s">
        <v>587</v>
      </c>
      <c r="G287" s="10" t="s">
        <v>11</v>
      </c>
      <c r="H287" s="10" t="s">
        <v>12</v>
      </c>
      <c r="I287" s="10"/>
    </row>
    <row r="288" spans="1:9" x14ac:dyDescent="0.25">
      <c r="A288" t="s">
        <v>588</v>
      </c>
      <c r="B288" s="14" cm="1">
        <f t="array" ref="B288">_xll.GetLatestPrice(F288,,G288)</f>
        <v>495</v>
      </c>
      <c r="C288" s="1" cm="1">
        <f t="array" ref="C288">_xll.GetLatestPrice(F288,"Actual","AssessmentDate")</f>
        <v>45849.4375</v>
      </c>
      <c r="D288">
        <f t="shared" si="8"/>
        <v>2025</v>
      </c>
      <c r="E288">
        <f t="shared" si="9"/>
        <v>7</v>
      </c>
      <c r="F288" s="10" t="s">
        <v>589</v>
      </c>
      <c r="G288" s="10" t="s">
        <v>11</v>
      </c>
      <c r="H288" s="10" t="s">
        <v>12</v>
      </c>
      <c r="I288" s="10"/>
    </row>
    <row r="289" spans="1:9" x14ac:dyDescent="0.25">
      <c r="A289" t="s">
        <v>590</v>
      </c>
      <c r="B289" s="14" cm="1">
        <f t="array" ref="B289">_xll.GetLatestPrice(F289,,G289)</f>
        <v>615</v>
      </c>
      <c r="C289" s="1" cm="1">
        <f t="array" ref="C289">_xll.GetLatestPrice(F289,"Actual","AssessmentDate")</f>
        <v>45849.4375</v>
      </c>
      <c r="D289">
        <f t="shared" si="8"/>
        <v>2025</v>
      </c>
      <c r="E289">
        <f t="shared" si="9"/>
        <v>7</v>
      </c>
      <c r="F289" s="10" t="s">
        <v>591</v>
      </c>
      <c r="G289" s="10" t="s">
        <v>11</v>
      </c>
      <c r="H289" s="10" t="s">
        <v>12</v>
      </c>
      <c r="I289" s="10"/>
    </row>
    <row r="290" spans="1:9" x14ac:dyDescent="0.25">
      <c r="A290" t="s">
        <v>592</v>
      </c>
      <c r="B290" s="14" cm="1">
        <f t="array" ref="B290">_xll.GetLatestPrice(F290,,G290)</f>
        <v>325</v>
      </c>
      <c r="C290" s="1" cm="1">
        <f t="array" ref="C290">_xll.GetLatestPrice(F290,"Actual","AssessmentDate")</f>
        <v>45849.4375</v>
      </c>
      <c r="D290">
        <f t="shared" si="8"/>
        <v>2025</v>
      </c>
      <c r="E290">
        <f t="shared" si="9"/>
        <v>7</v>
      </c>
      <c r="F290" s="10" t="s">
        <v>593</v>
      </c>
      <c r="G290" s="10" t="s">
        <v>11</v>
      </c>
      <c r="H290" s="10" t="s">
        <v>12</v>
      </c>
      <c r="I290" s="10"/>
    </row>
    <row r="291" spans="1:9" x14ac:dyDescent="0.25">
      <c r="A291" t="s">
        <v>594</v>
      </c>
      <c r="B291" s="14" cm="1">
        <f t="array" ref="B291">_xll.GetLatestPrice(F291,,G291)</f>
        <v>325</v>
      </c>
      <c r="C291" s="1" cm="1">
        <f t="array" ref="C291">_xll.GetLatestPrice(F291,"Actual","AssessmentDate")</f>
        <v>45849.4375</v>
      </c>
      <c r="D291">
        <f t="shared" si="8"/>
        <v>2025</v>
      </c>
      <c r="E291">
        <f t="shared" si="9"/>
        <v>7</v>
      </c>
      <c r="F291" s="10" t="s">
        <v>595</v>
      </c>
      <c r="G291" s="10" t="s">
        <v>11</v>
      </c>
      <c r="H291" s="10" t="s">
        <v>12</v>
      </c>
      <c r="I291" s="10"/>
    </row>
    <row r="292" spans="1:9" x14ac:dyDescent="0.25">
      <c r="A292" t="s">
        <v>596</v>
      </c>
      <c r="B292" s="14" cm="1">
        <f t="array" ref="B292">_xll.GetLatestPrice(F292,,G292)</f>
        <v>355</v>
      </c>
      <c r="C292" s="1" cm="1">
        <f t="array" ref="C292">_xll.GetLatestPrice(F292,"Actual","AssessmentDate")</f>
        <v>45849.4375</v>
      </c>
      <c r="D292">
        <f t="shared" si="8"/>
        <v>2025</v>
      </c>
      <c r="E292">
        <f t="shared" si="9"/>
        <v>7</v>
      </c>
      <c r="F292" s="10" t="s">
        <v>597</v>
      </c>
      <c r="G292" s="10" t="s">
        <v>11</v>
      </c>
      <c r="H292" s="10" t="s">
        <v>12</v>
      </c>
      <c r="I292" s="10"/>
    </row>
    <row r="293" spans="1:9" x14ac:dyDescent="0.25">
      <c r="A293" t="s">
        <v>598</v>
      </c>
      <c r="B293" s="14" cm="1">
        <f t="array" ref="B293">_xll.GetLatestPrice(F293,,G293)</f>
        <v>375</v>
      </c>
      <c r="C293" s="1" cm="1">
        <f t="array" ref="C293">_xll.GetLatestPrice(F293,"Actual","AssessmentDate")</f>
        <v>45849.4375</v>
      </c>
      <c r="D293">
        <f t="shared" si="8"/>
        <v>2025</v>
      </c>
      <c r="E293">
        <f t="shared" si="9"/>
        <v>7</v>
      </c>
      <c r="F293" s="10" t="s">
        <v>599</v>
      </c>
      <c r="G293" s="10" t="s">
        <v>11</v>
      </c>
      <c r="H293" s="10" t="s">
        <v>12</v>
      </c>
      <c r="I293" s="10"/>
    </row>
    <row r="294" spans="1:9" x14ac:dyDescent="0.25">
      <c r="A294" t="s">
        <v>600</v>
      </c>
      <c r="B294" s="14" cm="1">
        <f t="array" ref="B294">_xll.GetLatestPrice(F294,,G294)</f>
        <v>500</v>
      </c>
      <c r="C294" s="1" cm="1">
        <f t="array" ref="C294">_xll.GetLatestPrice(F294,"Actual","AssessmentDate")</f>
        <v>45849.4375</v>
      </c>
      <c r="D294">
        <f t="shared" si="8"/>
        <v>2025</v>
      </c>
      <c r="E294">
        <f t="shared" si="9"/>
        <v>7</v>
      </c>
      <c r="F294" s="10" t="s">
        <v>601</v>
      </c>
      <c r="G294" s="10" t="s">
        <v>11</v>
      </c>
      <c r="H294" s="10" t="s">
        <v>12</v>
      </c>
      <c r="I294" s="10"/>
    </row>
    <row r="295" spans="1:9" x14ac:dyDescent="0.25">
      <c r="A295" t="s">
        <v>602</v>
      </c>
      <c r="B295" s="14" cm="1">
        <f t="array" ref="B295">_xll.GetLatestPrice(F295,,G295)</f>
        <v>620</v>
      </c>
      <c r="C295" s="1" cm="1">
        <f t="array" ref="C295">_xll.GetLatestPrice(F295,"Actual","AssessmentDate")</f>
        <v>45849.4375</v>
      </c>
      <c r="D295">
        <f t="shared" si="8"/>
        <v>2025</v>
      </c>
      <c r="E295">
        <f t="shared" si="9"/>
        <v>7</v>
      </c>
      <c r="F295" s="10" t="s">
        <v>603</v>
      </c>
      <c r="G295" s="10" t="s">
        <v>11</v>
      </c>
      <c r="H295" s="10" t="s">
        <v>12</v>
      </c>
      <c r="I295" s="10"/>
    </row>
    <row r="296" spans="1:9" x14ac:dyDescent="0.25">
      <c r="A296" t="s">
        <v>604</v>
      </c>
      <c r="B296" s="14" cm="1">
        <f t="array" ref="B296">_xll.GetLatestPrice(F296,,G296)</f>
        <v>360</v>
      </c>
      <c r="C296" s="1" cm="1">
        <f t="array" ref="C296">_xll.GetLatestPrice(F296,"Actual","AssessmentDate")</f>
        <v>45849.4375</v>
      </c>
      <c r="D296">
        <f t="shared" si="8"/>
        <v>2025</v>
      </c>
      <c r="E296">
        <f t="shared" si="9"/>
        <v>7</v>
      </c>
      <c r="F296" s="10" t="s">
        <v>605</v>
      </c>
      <c r="G296" s="10" t="s">
        <v>11</v>
      </c>
      <c r="H296" s="10" t="s">
        <v>12</v>
      </c>
      <c r="I296" s="10"/>
    </row>
    <row r="297" spans="1:9" x14ac:dyDescent="0.25">
      <c r="A297" t="s">
        <v>606</v>
      </c>
      <c r="B297" s="14" cm="1">
        <f t="array" ref="B297">_xll.GetLatestPrice(F297,,G297)</f>
        <v>360</v>
      </c>
      <c r="C297" s="1" cm="1">
        <f t="array" ref="C297">_xll.GetLatestPrice(F297,"Actual","AssessmentDate")</f>
        <v>45849.4375</v>
      </c>
      <c r="D297">
        <f t="shared" si="8"/>
        <v>2025</v>
      </c>
      <c r="E297">
        <f t="shared" si="9"/>
        <v>7</v>
      </c>
      <c r="F297" s="10" t="s">
        <v>607</v>
      </c>
      <c r="G297" s="10" t="s">
        <v>11</v>
      </c>
      <c r="H297" s="10" t="s">
        <v>12</v>
      </c>
      <c r="I297" s="10"/>
    </row>
    <row r="298" spans="1:9" x14ac:dyDescent="0.25">
      <c r="A298" t="s">
        <v>608</v>
      </c>
      <c r="B298" s="14" cm="1">
        <f t="array" ref="B298">_xll.GetLatestPrice(F298,,G298)</f>
        <v>380</v>
      </c>
      <c r="C298" s="1" cm="1">
        <f t="array" ref="C298">_xll.GetLatestPrice(F298,"Actual","AssessmentDate")</f>
        <v>45849.4375</v>
      </c>
      <c r="D298">
        <f t="shared" si="8"/>
        <v>2025</v>
      </c>
      <c r="E298">
        <f t="shared" si="9"/>
        <v>7</v>
      </c>
      <c r="F298" s="10" t="s">
        <v>609</v>
      </c>
      <c r="G298" s="10" t="s">
        <v>11</v>
      </c>
      <c r="H298" s="10" t="s">
        <v>12</v>
      </c>
      <c r="I298" s="10"/>
    </row>
    <row r="299" spans="1:9" x14ac:dyDescent="0.25">
      <c r="A299" t="s">
        <v>610</v>
      </c>
      <c r="B299" s="14" cm="1">
        <f t="array" ref="B299">_xll.GetLatestPrice(F299,,G299)</f>
        <v>400</v>
      </c>
      <c r="C299" s="1" cm="1">
        <f t="array" ref="C299">_xll.GetLatestPrice(F299,"Actual","AssessmentDate")</f>
        <v>45849.4375</v>
      </c>
      <c r="D299">
        <f t="shared" si="8"/>
        <v>2025</v>
      </c>
      <c r="E299">
        <f t="shared" si="9"/>
        <v>7</v>
      </c>
      <c r="F299" s="10" t="s">
        <v>611</v>
      </c>
      <c r="G299" s="10" t="s">
        <v>11</v>
      </c>
      <c r="H299" s="10" t="s">
        <v>12</v>
      </c>
      <c r="I299" s="10"/>
    </row>
    <row r="300" spans="1:9" x14ac:dyDescent="0.25">
      <c r="A300" t="s">
        <v>612</v>
      </c>
      <c r="B300" s="14" cm="1">
        <f t="array" ref="B300">_xll.GetLatestPrice(F300,,G300)</f>
        <v>555</v>
      </c>
      <c r="C300" s="1" cm="1">
        <f t="array" ref="C300">_xll.GetLatestPrice(F300,"Actual","AssessmentDate")</f>
        <v>45849.4375</v>
      </c>
      <c r="D300">
        <f t="shared" si="8"/>
        <v>2025</v>
      </c>
      <c r="E300">
        <f t="shared" si="9"/>
        <v>7</v>
      </c>
      <c r="F300" s="10" t="s">
        <v>613</v>
      </c>
      <c r="G300" s="10" t="s">
        <v>11</v>
      </c>
      <c r="H300" s="10" t="s">
        <v>12</v>
      </c>
      <c r="I300" s="10"/>
    </row>
    <row r="301" spans="1:9" x14ac:dyDescent="0.25">
      <c r="A301" t="s">
        <v>614</v>
      </c>
      <c r="B301" s="14" cm="1">
        <f t="array" ref="B301">_xll.GetLatestPrice(F301,,G301)</f>
        <v>660</v>
      </c>
      <c r="C301" s="1" cm="1">
        <f t="array" ref="C301">_xll.GetLatestPrice(F301,"Actual","AssessmentDate")</f>
        <v>45849.4375</v>
      </c>
      <c r="D301">
        <f t="shared" si="8"/>
        <v>2025</v>
      </c>
      <c r="E301">
        <f t="shared" si="9"/>
        <v>7</v>
      </c>
      <c r="F301" s="10" t="s">
        <v>615</v>
      </c>
      <c r="G301" s="10" t="s">
        <v>11</v>
      </c>
      <c r="H301" s="10" t="s">
        <v>12</v>
      </c>
      <c r="I301" s="10"/>
    </row>
    <row r="302" spans="1:9" x14ac:dyDescent="0.25">
      <c r="A302" t="s">
        <v>616</v>
      </c>
      <c r="B302" s="14" cm="1">
        <f t="array" ref="B302">_xll.GetLatestPrice(F302,,G302)</f>
        <v>377</v>
      </c>
      <c r="C302" s="1" cm="1">
        <f t="array" ref="C302">_xll.GetLatestPrice(F302,"Actual","AssessmentDate")</f>
        <v>45849.4375</v>
      </c>
      <c r="D302">
        <f t="shared" si="8"/>
        <v>2025</v>
      </c>
      <c r="E302">
        <f t="shared" si="9"/>
        <v>7</v>
      </c>
      <c r="F302" s="10" t="s">
        <v>617</v>
      </c>
      <c r="G302" s="10" t="s">
        <v>11</v>
      </c>
      <c r="H302" s="10" t="s">
        <v>12</v>
      </c>
      <c r="I302" s="10"/>
    </row>
    <row r="303" spans="1:9" x14ac:dyDescent="0.25">
      <c r="A303" t="s">
        <v>618</v>
      </c>
      <c r="B303" s="14" cm="1">
        <f t="array" ref="B303">_xll.GetLatestPrice(F303,,G303)</f>
        <v>377</v>
      </c>
      <c r="C303" s="1" cm="1">
        <f t="array" ref="C303">_xll.GetLatestPrice(F303,"Actual","AssessmentDate")</f>
        <v>45849.4375</v>
      </c>
      <c r="D303">
        <f t="shared" si="8"/>
        <v>2025</v>
      </c>
      <c r="E303">
        <f t="shared" si="9"/>
        <v>7</v>
      </c>
      <c r="F303" s="10" t="s">
        <v>619</v>
      </c>
      <c r="G303" s="10" t="s">
        <v>11</v>
      </c>
      <c r="H303" s="10" t="s">
        <v>12</v>
      </c>
      <c r="I303" s="10"/>
    </row>
    <row r="304" spans="1:9" x14ac:dyDescent="0.25">
      <c r="A304" t="s">
        <v>620</v>
      </c>
      <c r="B304" s="14" cm="1">
        <f t="array" ref="B304">_xll.GetLatestPrice(F304,,G304)</f>
        <v>402</v>
      </c>
      <c r="C304" s="1" cm="1">
        <f t="array" ref="C304">_xll.GetLatestPrice(F304,"Actual","AssessmentDate")</f>
        <v>45849.4375</v>
      </c>
      <c r="D304">
        <f t="shared" si="8"/>
        <v>2025</v>
      </c>
      <c r="E304">
        <f t="shared" si="9"/>
        <v>7</v>
      </c>
      <c r="F304" s="10" t="s">
        <v>621</v>
      </c>
      <c r="G304" s="10" t="s">
        <v>11</v>
      </c>
      <c r="H304" s="10" t="s">
        <v>12</v>
      </c>
      <c r="I304" s="10"/>
    </row>
    <row r="305" spans="1:9" x14ac:dyDescent="0.25">
      <c r="A305" t="s">
        <v>622</v>
      </c>
      <c r="B305" s="14" cm="1">
        <f t="array" ref="B305">_xll.GetLatestPrice(F305,,G305)</f>
        <v>422</v>
      </c>
      <c r="C305" s="1" cm="1">
        <f t="array" ref="C305">_xll.GetLatestPrice(F305,"Actual","AssessmentDate")</f>
        <v>45849.4375</v>
      </c>
      <c r="D305">
        <f t="shared" si="8"/>
        <v>2025</v>
      </c>
      <c r="E305">
        <f t="shared" si="9"/>
        <v>7</v>
      </c>
      <c r="F305" s="10" t="s">
        <v>623</v>
      </c>
      <c r="G305" s="10" t="s">
        <v>11</v>
      </c>
      <c r="H305" s="10" t="s">
        <v>12</v>
      </c>
      <c r="I305" s="10"/>
    </row>
    <row r="306" spans="1:9" x14ac:dyDescent="0.25">
      <c r="A306" t="s">
        <v>624</v>
      </c>
      <c r="B306" s="14" cm="1">
        <f t="array" ref="B306">_xll.GetLatestPrice(F306,,G306)</f>
        <v>574</v>
      </c>
      <c r="C306" s="1" cm="1">
        <f t="array" ref="C306">_xll.GetLatestPrice(F306,"Actual","AssessmentDate")</f>
        <v>45849.4375</v>
      </c>
      <c r="D306">
        <f t="shared" si="8"/>
        <v>2025</v>
      </c>
      <c r="E306">
        <f t="shared" si="9"/>
        <v>7</v>
      </c>
      <c r="F306" s="10" t="s">
        <v>625</v>
      </c>
      <c r="G306" s="10" t="s">
        <v>11</v>
      </c>
      <c r="H306" s="10" t="s">
        <v>12</v>
      </c>
      <c r="I306" s="10"/>
    </row>
    <row r="307" spans="1:9" x14ac:dyDescent="0.25">
      <c r="A307" t="s">
        <v>626</v>
      </c>
      <c r="B307" s="14" cm="1">
        <f t="array" ref="B307">_xll.GetLatestPrice(F307,,G307)</f>
        <v>679</v>
      </c>
      <c r="C307" s="1" cm="1">
        <f t="array" ref="C307">_xll.GetLatestPrice(F307,"Actual","AssessmentDate")</f>
        <v>45849.4375</v>
      </c>
      <c r="D307">
        <f t="shared" si="8"/>
        <v>2025</v>
      </c>
      <c r="E307">
        <f t="shared" si="9"/>
        <v>7</v>
      </c>
      <c r="F307" s="10" t="s">
        <v>627</v>
      </c>
      <c r="G307" s="10" t="s">
        <v>11</v>
      </c>
      <c r="H307" s="10" t="s">
        <v>12</v>
      </c>
      <c r="I307" s="10"/>
    </row>
    <row r="308" spans="1:9" x14ac:dyDescent="0.25">
      <c r="A308" t="s">
        <v>628</v>
      </c>
      <c r="B308" s="14" cm="1">
        <f t="array" ref="B308">_xll.GetLatestPrice(F308,,G308)</f>
        <v>618</v>
      </c>
      <c r="C308" s="1" cm="1">
        <f t="array" ref="C308">_xll.GetLatestPrice(F308,"Actual","AssessmentDate")</f>
        <v>45849.4375</v>
      </c>
      <c r="D308">
        <f t="shared" si="8"/>
        <v>2025</v>
      </c>
      <c r="E308">
        <f t="shared" si="9"/>
        <v>7</v>
      </c>
      <c r="F308" s="10" t="s">
        <v>629</v>
      </c>
      <c r="G308" s="10" t="s">
        <v>11</v>
      </c>
      <c r="H308" s="10" t="s">
        <v>12</v>
      </c>
      <c r="I308" s="10"/>
    </row>
    <row r="309" spans="1:9" x14ac:dyDescent="0.25">
      <c r="A309" t="s">
        <v>630</v>
      </c>
      <c r="B309" s="14" cm="1">
        <f t="array" ref="B309">_xll.GetLatestPrice(F309,,G309)</f>
        <v>824</v>
      </c>
      <c r="C309" s="1" cm="1">
        <f t="array" ref="C309">_xll.GetLatestPrice(F309,"Actual","AssessmentDate")</f>
        <v>45849.442118055558</v>
      </c>
      <c r="D309">
        <f t="shared" si="8"/>
        <v>2025</v>
      </c>
      <c r="E309">
        <f t="shared" si="9"/>
        <v>7</v>
      </c>
      <c r="F309" s="10" t="s">
        <v>631</v>
      </c>
      <c r="G309" s="10" t="s">
        <v>11</v>
      </c>
      <c r="H309" s="10" t="s">
        <v>12</v>
      </c>
      <c r="I309" s="10"/>
    </row>
    <row r="310" spans="1:9" x14ac:dyDescent="0.25">
      <c r="A310" t="s">
        <v>632</v>
      </c>
      <c r="B310" s="14" cm="1">
        <f t="array" ref="B310">_xll.GetLatestPrice(F310,,G310)</f>
        <v>1030</v>
      </c>
      <c r="C310" s="1" cm="1">
        <f t="array" ref="C310">_xll.GetLatestPrice(F310,"Actual","AssessmentDate")</f>
        <v>45849.442118055558</v>
      </c>
      <c r="D310">
        <f t="shared" si="8"/>
        <v>2025</v>
      </c>
      <c r="E310">
        <f t="shared" si="9"/>
        <v>7</v>
      </c>
      <c r="F310" s="10" t="s">
        <v>633</v>
      </c>
      <c r="G310" s="10" t="s">
        <v>11</v>
      </c>
      <c r="H310" s="10" t="s">
        <v>12</v>
      </c>
      <c r="I310" s="10"/>
    </row>
    <row r="311" spans="1:9" x14ac:dyDescent="0.25">
      <c r="A311" t="s">
        <v>634</v>
      </c>
      <c r="B311" s="14" cm="1">
        <f t="array" ref="B311">_xll.GetLatestPrice(F311,,G311)</f>
        <v>1236</v>
      </c>
      <c r="C311" s="1" cm="1">
        <f t="array" ref="C311">_xll.GetLatestPrice(F311,"Actual","AssessmentDate")</f>
        <v>45849.442118055558</v>
      </c>
      <c r="D311">
        <f t="shared" si="8"/>
        <v>2025</v>
      </c>
      <c r="E311">
        <f t="shared" si="9"/>
        <v>7</v>
      </c>
      <c r="F311" s="10" t="s">
        <v>635</v>
      </c>
      <c r="G311" s="10" t="s">
        <v>11</v>
      </c>
      <c r="H311" s="10" t="s">
        <v>12</v>
      </c>
      <c r="I311" s="10"/>
    </row>
    <row r="312" spans="1:9" x14ac:dyDescent="0.25">
      <c r="A312" t="s">
        <v>636</v>
      </c>
      <c r="B312" s="14" cm="1">
        <f t="array" ref="B312">_xll.GetLatestPrice(F312,,G312)</f>
        <v>1870</v>
      </c>
      <c r="C312" s="1" cm="1">
        <f t="array" ref="C312">_xll.GetLatestPrice(F312,"Actual","AssessmentDate")</f>
        <v>45849.442118055558</v>
      </c>
      <c r="D312">
        <f t="shared" ref="D312:D375" si="10">YEAR(C312)</f>
        <v>2025</v>
      </c>
      <c r="E312">
        <f t="shared" ref="E312:E375" si="11">MONTH(C312)</f>
        <v>7</v>
      </c>
      <c r="F312" s="10" t="s">
        <v>637</v>
      </c>
      <c r="G312" s="10" t="s">
        <v>11</v>
      </c>
      <c r="H312" s="10" t="s">
        <v>12</v>
      </c>
      <c r="I312" s="10"/>
    </row>
    <row r="313" spans="1:9" x14ac:dyDescent="0.25">
      <c r="A313" t="s">
        <v>638</v>
      </c>
      <c r="B313" s="14" cm="1">
        <f t="array" ref="B313">_xll.GetLatestPrice(F313,,G313)</f>
        <v>633</v>
      </c>
      <c r="C313" s="1" cm="1">
        <f t="array" ref="C313">_xll.GetLatestPrice(F313,"Actual","AssessmentDate")</f>
        <v>45849.442118055558</v>
      </c>
      <c r="D313">
        <f t="shared" si="10"/>
        <v>2025</v>
      </c>
      <c r="E313">
        <f t="shared" si="11"/>
        <v>7</v>
      </c>
      <c r="F313" s="10" t="s">
        <v>639</v>
      </c>
      <c r="G313" s="10" t="s">
        <v>11</v>
      </c>
      <c r="H313" s="10" t="s">
        <v>12</v>
      </c>
      <c r="I313" s="10"/>
    </row>
    <row r="314" spans="1:9" x14ac:dyDescent="0.25">
      <c r="A314" t="s">
        <v>640</v>
      </c>
      <c r="B314" s="14" cm="1">
        <f t="array" ref="B314">_xll.GetLatestPrice(F314,,G314)</f>
        <v>844</v>
      </c>
      <c r="C314" s="1" cm="1">
        <f t="array" ref="C314">_xll.GetLatestPrice(F314,"Actual","AssessmentDate")</f>
        <v>45849.442118055558</v>
      </c>
      <c r="D314">
        <f t="shared" si="10"/>
        <v>2025</v>
      </c>
      <c r="E314">
        <f t="shared" si="11"/>
        <v>7</v>
      </c>
      <c r="F314" s="10" t="s">
        <v>641</v>
      </c>
      <c r="G314" s="10" t="s">
        <v>11</v>
      </c>
      <c r="H314" s="10" t="s">
        <v>12</v>
      </c>
      <c r="I314" s="10"/>
    </row>
    <row r="315" spans="1:9" x14ac:dyDescent="0.25">
      <c r="A315" t="s">
        <v>642</v>
      </c>
      <c r="B315" s="14" cm="1">
        <f t="array" ref="B315">_xll.GetLatestPrice(F315,,G315)</f>
        <v>1055</v>
      </c>
      <c r="C315" s="1" cm="1">
        <f t="array" ref="C315">_xll.GetLatestPrice(F315,"Actual","AssessmentDate")</f>
        <v>45849.442118055558</v>
      </c>
      <c r="D315">
        <f t="shared" si="10"/>
        <v>2025</v>
      </c>
      <c r="E315">
        <f t="shared" si="11"/>
        <v>7</v>
      </c>
      <c r="F315" s="10" t="s">
        <v>643</v>
      </c>
      <c r="G315" s="10" t="s">
        <v>11</v>
      </c>
      <c r="H315" s="10" t="s">
        <v>12</v>
      </c>
      <c r="I315" s="10"/>
    </row>
    <row r="316" spans="1:9" x14ac:dyDescent="0.25">
      <c r="A316" t="s">
        <v>644</v>
      </c>
      <c r="B316" s="14" cm="1">
        <f t="array" ref="B316">_xll.GetLatestPrice(F316,,G316)</f>
        <v>1266</v>
      </c>
      <c r="C316" s="1" cm="1">
        <f t="array" ref="C316">_xll.GetLatestPrice(F316,"Actual","AssessmentDate")</f>
        <v>45849.442118055558</v>
      </c>
      <c r="D316">
        <f t="shared" si="10"/>
        <v>2025</v>
      </c>
      <c r="E316">
        <f t="shared" si="11"/>
        <v>7</v>
      </c>
      <c r="F316" s="10" t="s">
        <v>645</v>
      </c>
      <c r="G316" s="10" t="s">
        <v>11</v>
      </c>
      <c r="H316" s="10" t="s">
        <v>12</v>
      </c>
      <c r="I316" s="10"/>
    </row>
    <row r="317" spans="1:9" x14ac:dyDescent="0.25">
      <c r="A317" t="s">
        <v>646</v>
      </c>
      <c r="B317" s="14" cm="1">
        <f t="array" ref="B317">_xll.GetLatestPrice(F317,,G317)</f>
        <v>1911</v>
      </c>
      <c r="C317" s="1" cm="1">
        <f t="array" ref="C317">_xll.GetLatestPrice(F317,"Actual","AssessmentDate")</f>
        <v>45849.442118055558</v>
      </c>
      <c r="D317">
        <f t="shared" si="10"/>
        <v>2025</v>
      </c>
      <c r="E317">
        <f t="shared" si="11"/>
        <v>7</v>
      </c>
      <c r="F317" s="10" t="s">
        <v>647</v>
      </c>
      <c r="G317" s="10" t="s">
        <v>11</v>
      </c>
      <c r="H317" s="10" t="s">
        <v>12</v>
      </c>
      <c r="I317" s="10"/>
    </row>
    <row r="318" spans="1:9" x14ac:dyDescent="0.25">
      <c r="A318" t="s">
        <v>648</v>
      </c>
      <c r="B318" s="14" cm="1">
        <f t="array" ref="B318">_xll.GetLatestPrice(F318,,G318)</f>
        <v>648</v>
      </c>
      <c r="C318" s="1" cm="1">
        <f t="array" ref="C318">_xll.GetLatestPrice(F318,"Actual","AssessmentDate")</f>
        <v>45849.442118055558</v>
      </c>
      <c r="D318">
        <f t="shared" si="10"/>
        <v>2025</v>
      </c>
      <c r="E318">
        <f t="shared" si="11"/>
        <v>7</v>
      </c>
      <c r="F318" s="10" t="s">
        <v>649</v>
      </c>
      <c r="G318" s="10" t="s">
        <v>11</v>
      </c>
      <c r="H318" s="10" t="s">
        <v>12</v>
      </c>
      <c r="I318" s="10"/>
    </row>
    <row r="319" spans="1:9" x14ac:dyDescent="0.25">
      <c r="A319" t="s">
        <v>650</v>
      </c>
      <c r="B319" s="14" cm="1">
        <f t="array" ref="B319">_xll.GetLatestPrice(F319,,G319)</f>
        <v>864</v>
      </c>
      <c r="C319" s="1" cm="1">
        <f t="array" ref="C319">_xll.GetLatestPrice(F319,"Actual","AssessmentDate")</f>
        <v>45849.442118055558</v>
      </c>
      <c r="D319">
        <f t="shared" si="10"/>
        <v>2025</v>
      </c>
      <c r="E319">
        <f t="shared" si="11"/>
        <v>7</v>
      </c>
      <c r="F319" s="10" t="s">
        <v>651</v>
      </c>
      <c r="G319" s="10" t="s">
        <v>11</v>
      </c>
      <c r="H319" s="10" t="s">
        <v>12</v>
      </c>
      <c r="I319" s="10"/>
    </row>
    <row r="320" spans="1:9" x14ac:dyDescent="0.25">
      <c r="A320" t="s">
        <v>652</v>
      </c>
      <c r="B320" s="14" cm="1">
        <f t="array" ref="B320">_xll.GetLatestPrice(F320,,G320)</f>
        <v>1080</v>
      </c>
      <c r="C320" s="1" cm="1">
        <f t="array" ref="C320">_xll.GetLatestPrice(F320,"Actual","AssessmentDate")</f>
        <v>45849.442118055558</v>
      </c>
      <c r="D320">
        <f t="shared" si="10"/>
        <v>2025</v>
      </c>
      <c r="E320">
        <f t="shared" si="11"/>
        <v>7</v>
      </c>
      <c r="F320" s="10" t="s">
        <v>653</v>
      </c>
      <c r="G320" s="10" t="s">
        <v>11</v>
      </c>
      <c r="H320" s="10" t="s">
        <v>12</v>
      </c>
      <c r="I320" s="10"/>
    </row>
    <row r="321" spans="1:9" x14ac:dyDescent="0.25">
      <c r="A321" t="s">
        <v>654</v>
      </c>
      <c r="B321" s="14" cm="1">
        <f t="array" ref="B321">_xll.GetLatestPrice(F321,,G321)</f>
        <v>1296</v>
      </c>
      <c r="C321" s="1" cm="1">
        <f t="array" ref="C321">_xll.GetLatestPrice(F321,"Actual","AssessmentDate")</f>
        <v>45849.442118055558</v>
      </c>
      <c r="D321">
        <f t="shared" si="10"/>
        <v>2025</v>
      </c>
      <c r="E321">
        <f t="shared" si="11"/>
        <v>7</v>
      </c>
      <c r="F321" s="10" t="s">
        <v>655</v>
      </c>
      <c r="G321" s="10" t="s">
        <v>11</v>
      </c>
      <c r="H321" s="10" t="s">
        <v>12</v>
      </c>
      <c r="I321" s="10"/>
    </row>
    <row r="322" spans="1:9" x14ac:dyDescent="0.25">
      <c r="A322" t="s">
        <v>656</v>
      </c>
      <c r="B322" s="14" cm="1">
        <f t="array" ref="B322">_xll.GetLatestPrice(F322,,G322)</f>
        <v>1951</v>
      </c>
      <c r="C322" s="1" cm="1">
        <f t="array" ref="C322">_xll.GetLatestPrice(F322,"Actual","AssessmentDate")</f>
        <v>45849.442118055558</v>
      </c>
      <c r="D322">
        <f t="shared" si="10"/>
        <v>2025</v>
      </c>
      <c r="E322">
        <f t="shared" si="11"/>
        <v>7</v>
      </c>
      <c r="F322" s="10" t="s">
        <v>657</v>
      </c>
      <c r="G322" s="10" t="s">
        <v>11</v>
      </c>
      <c r="H322" s="10" t="s">
        <v>12</v>
      </c>
      <c r="I322" s="10"/>
    </row>
    <row r="323" spans="1:9" x14ac:dyDescent="0.25">
      <c r="A323" t="s">
        <v>658</v>
      </c>
      <c r="B323" s="14" cm="1">
        <f t="array" ref="B323">_xll.GetLatestPrice(F323,,G323)</f>
        <v>658</v>
      </c>
      <c r="C323" s="1" cm="1">
        <f t="array" ref="C323">_xll.GetLatestPrice(F323,"Actual","AssessmentDate")</f>
        <v>45849.442118055558</v>
      </c>
      <c r="D323">
        <f t="shared" si="10"/>
        <v>2025</v>
      </c>
      <c r="E323">
        <f t="shared" si="11"/>
        <v>7</v>
      </c>
      <c r="F323" s="10" t="s">
        <v>659</v>
      </c>
      <c r="G323" s="10" t="s">
        <v>11</v>
      </c>
      <c r="H323" s="10" t="s">
        <v>12</v>
      </c>
      <c r="I323" s="10"/>
    </row>
    <row r="324" spans="1:9" x14ac:dyDescent="0.25">
      <c r="A324" t="s">
        <v>660</v>
      </c>
      <c r="B324" s="14" cm="1">
        <f t="array" ref="B324">_xll.GetLatestPrice(F324,,G324)</f>
        <v>877</v>
      </c>
      <c r="C324" s="1" cm="1">
        <f t="array" ref="C324">_xll.GetLatestPrice(F324,"Actual","AssessmentDate")</f>
        <v>45849.442118055558</v>
      </c>
      <c r="D324">
        <f t="shared" si="10"/>
        <v>2025</v>
      </c>
      <c r="E324">
        <f t="shared" si="11"/>
        <v>7</v>
      </c>
      <c r="F324" s="10" t="s">
        <v>661</v>
      </c>
      <c r="G324" s="10" t="s">
        <v>11</v>
      </c>
      <c r="H324" s="10" t="s">
        <v>12</v>
      </c>
      <c r="I324" s="10"/>
    </row>
    <row r="325" spans="1:9" x14ac:dyDescent="0.25">
      <c r="A325" t="s">
        <v>662</v>
      </c>
      <c r="B325" s="14" cm="1">
        <f t="array" ref="B325">_xll.GetLatestPrice(F325,,G325)</f>
        <v>1097</v>
      </c>
      <c r="C325" s="1" cm="1">
        <f t="array" ref="C325">_xll.GetLatestPrice(F325,"Actual","AssessmentDate")</f>
        <v>45849.442118055558</v>
      </c>
      <c r="D325">
        <f t="shared" si="10"/>
        <v>2025</v>
      </c>
      <c r="E325">
        <f t="shared" si="11"/>
        <v>7</v>
      </c>
      <c r="F325" s="10" t="s">
        <v>663</v>
      </c>
      <c r="G325" s="10" t="s">
        <v>11</v>
      </c>
      <c r="H325" s="10" t="s">
        <v>12</v>
      </c>
      <c r="I325" s="10"/>
    </row>
    <row r="326" spans="1:9" x14ac:dyDescent="0.25">
      <c r="A326" t="s">
        <v>664</v>
      </c>
      <c r="B326" s="14" cm="1">
        <f t="array" ref="B326">_xll.GetLatestPrice(F326,,G326)</f>
        <v>1316</v>
      </c>
      <c r="C326" s="1" cm="1">
        <f t="array" ref="C326">_xll.GetLatestPrice(F326,"Actual","AssessmentDate")</f>
        <v>45849.442118055558</v>
      </c>
      <c r="D326">
        <f t="shared" si="10"/>
        <v>2025</v>
      </c>
      <c r="E326">
        <f t="shared" si="11"/>
        <v>7</v>
      </c>
      <c r="F326" s="10" t="s">
        <v>665</v>
      </c>
      <c r="G326" s="10" t="s">
        <v>11</v>
      </c>
      <c r="H326" s="10" t="s">
        <v>12</v>
      </c>
      <c r="I326" s="10"/>
    </row>
    <row r="327" spans="1:9" x14ac:dyDescent="0.25">
      <c r="A327" t="s">
        <v>666</v>
      </c>
      <c r="B327" s="14" cm="1">
        <f t="array" ref="B327">_xll.GetLatestPrice(F327,,G327)</f>
        <v>1977</v>
      </c>
      <c r="C327" s="1" cm="1">
        <f t="array" ref="C327">_xll.GetLatestPrice(F327,"Actual","AssessmentDate")</f>
        <v>45849.442118055558</v>
      </c>
      <c r="D327">
        <f t="shared" si="10"/>
        <v>2025</v>
      </c>
      <c r="E327">
        <f t="shared" si="11"/>
        <v>7</v>
      </c>
      <c r="F327" s="10" t="s">
        <v>667</v>
      </c>
      <c r="G327" s="10" t="s">
        <v>11</v>
      </c>
      <c r="H327" s="10" t="s">
        <v>12</v>
      </c>
      <c r="I327" s="10"/>
    </row>
    <row r="328" spans="1:9" x14ac:dyDescent="0.25">
      <c r="A328" t="s">
        <v>668</v>
      </c>
      <c r="B328" s="14" cm="1">
        <f t="array" ref="B328">_xll.GetLatestPrice(F328,,G328)</f>
        <v>651</v>
      </c>
      <c r="C328" s="1" cm="1">
        <f t="array" ref="C328">_xll.GetLatestPrice(F328,"Actual","AssessmentDate")</f>
        <v>45849.4375</v>
      </c>
      <c r="D328">
        <f t="shared" si="10"/>
        <v>2025</v>
      </c>
      <c r="E328">
        <f t="shared" si="11"/>
        <v>7</v>
      </c>
      <c r="F328" s="10" t="s">
        <v>669</v>
      </c>
      <c r="G328" s="10" t="s">
        <v>11</v>
      </c>
      <c r="H328" s="10" t="s">
        <v>12</v>
      </c>
      <c r="I328" s="10"/>
    </row>
    <row r="329" spans="1:9" x14ac:dyDescent="0.25">
      <c r="A329" t="s">
        <v>670</v>
      </c>
      <c r="B329" s="14" cm="1">
        <f t="array" ref="B329">_xll.GetLatestPrice(F329,,G329)</f>
        <v>868</v>
      </c>
      <c r="C329" s="1" cm="1">
        <f t="array" ref="C329">_xll.GetLatestPrice(F329,"Actual","AssessmentDate")</f>
        <v>45849.442118055558</v>
      </c>
      <c r="D329">
        <f t="shared" si="10"/>
        <v>2025</v>
      </c>
      <c r="E329">
        <f t="shared" si="11"/>
        <v>7</v>
      </c>
      <c r="F329" s="10" t="s">
        <v>671</v>
      </c>
      <c r="G329" s="10" t="s">
        <v>11</v>
      </c>
      <c r="H329" s="10" t="s">
        <v>12</v>
      </c>
      <c r="I329" s="10"/>
    </row>
    <row r="330" spans="1:9" x14ac:dyDescent="0.25">
      <c r="A330" t="s">
        <v>672</v>
      </c>
      <c r="B330" s="14" cm="1">
        <f t="array" ref="B330">_xll.GetLatestPrice(F330,,G330)</f>
        <v>1085</v>
      </c>
      <c r="C330" s="1" cm="1">
        <f t="array" ref="C330">_xll.GetLatestPrice(F330,"Actual","AssessmentDate")</f>
        <v>45849.442118055558</v>
      </c>
      <c r="D330">
        <f t="shared" si="10"/>
        <v>2025</v>
      </c>
      <c r="E330">
        <f t="shared" si="11"/>
        <v>7</v>
      </c>
      <c r="F330" s="10" t="s">
        <v>673</v>
      </c>
      <c r="G330" s="10" t="s">
        <v>11</v>
      </c>
      <c r="H330" s="10" t="s">
        <v>12</v>
      </c>
      <c r="I330" s="10"/>
    </row>
    <row r="331" spans="1:9" x14ac:dyDescent="0.25">
      <c r="A331" t="s">
        <v>674</v>
      </c>
      <c r="B331" s="14" cm="1">
        <f t="array" ref="B331">_xll.GetLatestPrice(F331,,G331)</f>
        <v>1302</v>
      </c>
      <c r="C331" s="1" cm="1">
        <f t="array" ref="C331">_xll.GetLatestPrice(F331,"Actual","AssessmentDate")</f>
        <v>45849.442118055558</v>
      </c>
      <c r="D331">
        <f t="shared" si="10"/>
        <v>2025</v>
      </c>
      <c r="E331">
        <f t="shared" si="11"/>
        <v>7</v>
      </c>
      <c r="F331" s="10" t="s">
        <v>675</v>
      </c>
      <c r="G331" s="10" t="s">
        <v>11</v>
      </c>
      <c r="H331" s="10" t="s">
        <v>12</v>
      </c>
      <c r="I331" s="10"/>
    </row>
    <row r="332" spans="1:9" x14ac:dyDescent="0.25">
      <c r="A332" t="s">
        <v>676</v>
      </c>
      <c r="B332" s="14" cm="1">
        <f t="array" ref="B332">_xll.GetLatestPrice(F332,,G332)</f>
        <v>1953</v>
      </c>
      <c r="C332" s="1" cm="1">
        <f t="array" ref="C332">_xll.GetLatestPrice(F332,"Actual","AssessmentDate")</f>
        <v>45849.442118055558</v>
      </c>
      <c r="D332">
        <f t="shared" si="10"/>
        <v>2025</v>
      </c>
      <c r="E332">
        <f t="shared" si="11"/>
        <v>7</v>
      </c>
      <c r="F332" s="10" t="s">
        <v>677</v>
      </c>
      <c r="G332" s="10" t="s">
        <v>11</v>
      </c>
      <c r="H332" s="10" t="s">
        <v>12</v>
      </c>
      <c r="I332" s="10"/>
    </row>
    <row r="333" spans="1:9" x14ac:dyDescent="0.25">
      <c r="A333" t="s">
        <v>678</v>
      </c>
      <c r="B333" s="14" cm="1">
        <f t="array" ref="B333">_xll.GetLatestPrice(F333,,G333)</f>
        <v>661</v>
      </c>
      <c r="C333" s="1" cm="1">
        <f t="array" ref="C333">_xll.GetLatestPrice(F333,"Actual","AssessmentDate")</f>
        <v>45849.442118055558</v>
      </c>
      <c r="D333">
        <f t="shared" si="10"/>
        <v>2025</v>
      </c>
      <c r="E333">
        <f t="shared" si="11"/>
        <v>7</v>
      </c>
      <c r="F333" s="10" t="s">
        <v>679</v>
      </c>
      <c r="G333" s="10" t="s">
        <v>11</v>
      </c>
      <c r="H333" s="10" t="s">
        <v>12</v>
      </c>
      <c r="I333" s="10"/>
    </row>
    <row r="334" spans="1:9" x14ac:dyDescent="0.25">
      <c r="A334" t="s">
        <v>680</v>
      </c>
      <c r="B334" s="14" cm="1">
        <f t="array" ref="B334">_xll.GetLatestPrice(F334,,G334)</f>
        <v>881</v>
      </c>
      <c r="C334" s="1" cm="1">
        <f t="array" ref="C334">_xll.GetLatestPrice(F334,"Actual","AssessmentDate")</f>
        <v>45849.442118055558</v>
      </c>
      <c r="D334">
        <f t="shared" si="10"/>
        <v>2025</v>
      </c>
      <c r="E334">
        <f t="shared" si="11"/>
        <v>7</v>
      </c>
      <c r="F334" s="10" t="s">
        <v>681</v>
      </c>
      <c r="G334" s="10" t="s">
        <v>11</v>
      </c>
      <c r="H334" s="10" t="s">
        <v>12</v>
      </c>
      <c r="I334" s="10"/>
    </row>
    <row r="335" spans="1:9" x14ac:dyDescent="0.25">
      <c r="A335" t="s">
        <v>682</v>
      </c>
      <c r="B335" s="14" cm="1">
        <f t="array" ref="B335">_xll.GetLatestPrice(F335,,G335)</f>
        <v>1102</v>
      </c>
      <c r="C335" s="1" cm="1">
        <f t="array" ref="C335">_xll.GetLatestPrice(F335,"Actual","AssessmentDate")</f>
        <v>45849.442118055558</v>
      </c>
      <c r="D335">
        <f t="shared" si="10"/>
        <v>2025</v>
      </c>
      <c r="E335">
        <f t="shared" si="11"/>
        <v>7</v>
      </c>
      <c r="F335" s="10" t="s">
        <v>683</v>
      </c>
      <c r="G335" s="10" t="s">
        <v>11</v>
      </c>
      <c r="H335" s="10" t="s">
        <v>12</v>
      </c>
      <c r="I335" s="10"/>
    </row>
    <row r="336" spans="1:9" x14ac:dyDescent="0.25">
      <c r="A336" t="s">
        <v>684</v>
      </c>
      <c r="B336" s="14" cm="1">
        <f t="array" ref="B336">_xll.GetLatestPrice(F336,,G336)</f>
        <v>1322</v>
      </c>
      <c r="C336" s="1" cm="1">
        <f t="array" ref="C336">_xll.GetLatestPrice(F336,"Actual","AssessmentDate")</f>
        <v>45849.442118055558</v>
      </c>
      <c r="D336">
        <f t="shared" si="10"/>
        <v>2025</v>
      </c>
      <c r="E336">
        <f t="shared" si="11"/>
        <v>7</v>
      </c>
      <c r="F336" s="10" t="s">
        <v>685</v>
      </c>
      <c r="G336" s="10" t="s">
        <v>11</v>
      </c>
      <c r="H336" s="10" t="s">
        <v>12</v>
      </c>
      <c r="I336" s="10"/>
    </row>
    <row r="337" spans="1:9" x14ac:dyDescent="0.25">
      <c r="A337" t="s">
        <v>686</v>
      </c>
      <c r="B337" s="14" cm="1">
        <f t="array" ref="B337">_xll.GetLatestPrice(F337,,G337)</f>
        <v>1980</v>
      </c>
      <c r="C337" s="1" cm="1">
        <f t="array" ref="C337">_xll.GetLatestPrice(F337,"Actual","AssessmentDate")</f>
        <v>45849.442118055558</v>
      </c>
      <c r="D337">
        <f t="shared" si="10"/>
        <v>2025</v>
      </c>
      <c r="E337">
        <f t="shared" si="11"/>
        <v>7</v>
      </c>
      <c r="F337" s="10" t="s">
        <v>687</v>
      </c>
      <c r="G337" s="10" t="s">
        <v>11</v>
      </c>
      <c r="H337" s="10" t="s">
        <v>12</v>
      </c>
      <c r="I337" s="10"/>
    </row>
    <row r="338" spans="1:9" x14ac:dyDescent="0.25">
      <c r="A338" t="s">
        <v>688</v>
      </c>
      <c r="B338" s="14" cm="1">
        <f t="array" ref="B338">_xll.GetLatestPrice(F338,,G338)</f>
        <v>686</v>
      </c>
      <c r="C338" s="1" cm="1">
        <f t="array" ref="C338">_xll.GetLatestPrice(F338,"Actual","AssessmentDate")</f>
        <v>45849.442118055558</v>
      </c>
      <c r="D338">
        <f t="shared" si="10"/>
        <v>2025</v>
      </c>
      <c r="E338">
        <f t="shared" si="11"/>
        <v>7</v>
      </c>
      <c r="F338" s="10" t="s">
        <v>689</v>
      </c>
      <c r="G338" s="10" t="s">
        <v>11</v>
      </c>
      <c r="H338" s="10" t="s">
        <v>12</v>
      </c>
      <c r="I338" s="10"/>
    </row>
    <row r="339" spans="1:9" x14ac:dyDescent="0.25">
      <c r="A339" t="s">
        <v>690</v>
      </c>
      <c r="B339" s="14" cm="1">
        <f t="array" ref="B339">_xll.GetLatestPrice(F339,,G339)</f>
        <v>915</v>
      </c>
      <c r="C339" s="1" cm="1">
        <f t="array" ref="C339">_xll.GetLatestPrice(F339,"Actual","AssessmentDate")</f>
        <v>45849.442118055558</v>
      </c>
      <c r="D339">
        <f t="shared" si="10"/>
        <v>2025</v>
      </c>
      <c r="E339">
        <f t="shared" si="11"/>
        <v>7</v>
      </c>
      <c r="F339" s="10" t="s">
        <v>691</v>
      </c>
      <c r="G339" s="10" t="s">
        <v>11</v>
      </c>
      <c r="H339" s="10" t="s">
        <v>12</v>
      </c>
      <c r="I339" s="10"/>
    </row>
    <row r="340" spans="1:9" x14ac:dyDescent="0.25">
      <c r="A340" t="s">
        <v>692</v>
      </c>
      <c r="B340" s="14" cm="1">
        <f t="array" ref="B340">_xll.GetLatestPrice(F340,,G340)</f>
        <v>1143</v>
      </c>
      <c r="C340" s="1" cm="1">
        <f t="array" ref="C340">_xll.GetLatestPrice(F340,"Actual","AssessmentDate")</f>
        <v>45849.442118055558</v>
      </c>
      <c r="D340">
        <f t="shared" si="10"/>
        <v>2025</v>
      </c>
      <c r="E340">
        <f t="shared" si="11"/>
        <v>7</v>
      </c>
      <c r="F340" s="10" t="s">
        <v>693</v>
      </c>
      <c r="G340" s="10" t="s">
        <v>11</v>
      </c>
      <c r="H340" s="10" t="s">
        <v>12</v>
      </c>
      <c r="I340" s="10"/>
    </row>
    <row r="341" spans="1:9" x14ac:dyDescent="0.25">
      <c r="A341" t="s">
        <v>694</v>
      </c>
      <c r="B341" s="14" cm="1">
        <f t="array" ref="B341">_xll.GetLatestPrice(F341,,G341)</f>
        <v>1372</v>
      </c>
      <c r="C341" s="1" cm="1">
        <f t="array" ref="C341">_xll.GetLatestPrice(F341,"Actual","AssessmentDate")</f>
        <v>45849.442118055558</v>
      </c>
      <c r="D341">
        <f t="shared" si="10"/>
        <v>2025</v>
      </c>
      <c r="E341">
        <f t="shared" si="11"/>
        <v>7</v>
      </c>
      <c r="F341" s="10" t="s">
        <v>695</v>
      </c>
      <c r="G341" s="10" t="s">
        <v>11</v>
      </c>
      <c r="H341" s="10" t="s">
        <v>12</v>
      </c>
      <c r="I341" s="10"/>
    </row>
    <row r="342" spans="1:9" x14ac:dyDescent="0.25">
      <c r="A342" t="s">
        <v>696</v>
      </c>
      <c r="B342" s="14" cm="1">
        <f t="array" ref="B342">_xll.GetLatestPrice(F342,,G342)</f>
        <v>2046</v>
      </c>
      <c r="C342" s="1" cm="1">
        <f t="array" ref="C342">_xll.GetLatestPrice(F342,"Actual","AssessmentDate")</f>
        <v>45849.442118055558</v>
      </c>
      <c r="D342">
        <f t="shared" si="10"/>
        <v>2025</v>
      </c>
      <c r="E342">
        <f t="shared" si="11"/>
        <v>7</v>
      </c>
      <c r="F342" s="10" t="s">
        <v>697</v>
      </c>
      <c r="G342" s="10" t="s">
        <v>11</v>
      </c>
      <c r="H342" s="10" t="s">
        <v>12</v>
      </c>
      <c r="I342" s="10"/>
    </row>
    <row r="343" spans="1:9" x14ac:dyDescent="0.25">
      <c r="A343" t="s">
        <v>698</v>
      </c>
      <c r="B343" s="14" cm="1">
        <f t="array" ref="B343">_xll.GetLatestPrice(F343,,G343)</f>
        <v>696</v>
      </c>
      <c r="C343" s="1" cm="1">
        <f t="array" ref="C343">_xll.GetLatestPrice(F343,"Actual","AssessmentDate")</f>
        <v>45849.442118055558</v>
      </c>
      <c r="D343">
        <f t="shared" si="10"/>
        <v>2025</v>
      </c>
      <c r="E343">
        <f t="shared" si="11"/>
        <v>7</v>
      </c>
      <c r="F343" s="10" t="s">
        <v>699</v>
      </c>
      <c r="G343" s="10" t="s">
        <v>11</v>
      </c>
      <c r="H343" s="10" t="s">
        <v>12</v>
      </c>
      <c r="I343" s="10"/>
    </row>
    <row r="344" spans="1:9" x14ac:dyDescent="0.25">
      <c r="A344" t="s">
        <v>700</v>
      </c>
      <c r="B344" s="14" cm="1">
        <f t="array" ref="B344">_xll.GetLatestPrice(F344,,G344)</f>
        <v>928</v>
      </c>
      <c r="C344" s="1" cm="1">
        <f t="array" ref="C344">_xll.GetLatestPrice(F344,"Actual","AssessmentDate")</f>
        <v>45849.442118055558</v>
      </c>
      <c r="D344">
        <f t="shared" si="10"/>
        <v>2025</v>
      </c>
      <c r="E344">
        <f t="shared" si="11"/>
        <v>7</v>
      </c>
      <c r="F344" s="10" t="s">
        <v>701</v>
      </c>
      <c r="G344" s="10" t="s">
        <v>11</v>
      </c>
      <c r="H344" s="10" t="s">
        <v>12</v>
      </c>
      <c r="I344" s="10"/>
    </row>
    <row r="345" spans="1:9" x14ac:dyDescent="0.25">
      <c r="A345" t="s">
        <v>702</v>
      </c>
      <c r="B345" s="14" cm="1">
        <f t="array" ref="B345">_xll.GetLatestPrice(F345,,G345)</f>
        <v>1160</v>
      </c>
      <c r="C345" s="1" cm="1">
        <f t="array" ref="C345">_xll.GetLatestPrice(F345,"Actual","AssessmentDate")</f>
        <v>45849.442118055558</v>
      </c>
      <c r="D345">
        <f t="shared" si="10"/>
        <v>2025</v>
      </c>
      <c r="E345">
        <f t="shared" si="11"/>
        <v>7</v>
      </c>
      <c r="F345" s="10" t="s">
        <v>703</v>
      </c>
      <c r="G345" s="10" t="s">
        <v>11</v>
      </c>
      <c r="H345" s="10" t="s">
        <v>12</v>
      </c>
      <c r="I345" s="10"/>
    </row>
    <row r="346" spans="1:9" x14ac:dyDescent="0.25">
      <c r="A346" t="s">
        <v>704</v>
      </c>
      <c r="B346" s="14" cm="1">
        <f t="array" ref="B346">_xll.GetLatestPrice(F346,,G346)</f>
        <v>1392</v>
      </c>
      <c r="C346" s="1" cm="1">
        <f t="array" ref="C346">_xll.GetLatestPrice(F346,"Actual","AssessmentDate")</f>
        <v>45849.442118055558</v>
      </c>
      <c r="D346">
        <f t="shared" si="10"/>
        <v>2025</v>
      </c>
      <c r="E346">
        <f t="shared" si="11"/>
        <v>7</v>
      </c>
      <c r="F346" s="10" t="s">
        <v>705</v>
      </c>
      <c r="G346" s="10" t="s">
        <v>11</v>
      </c>
      <c r="H346" s="10" t="s">
        <v>12</v>
      </c>
      <c r="I346" s="10"/>
    </row>
    <row r="347" spans="1:9" x14ac:dyDescent="0.25">
      <c r="A347" t="s">
        <v>706</v>
      </c>
      <c r="B347" s="14" cm="1">
        <f t="array" ref="B347">_xll.GetLatestPrice(F347,,G347)</f>
        <v>2073</v>
      </c>
      <c r="C347" s="1" cm="1">
        <f t="array" ref="C347">_xll.GetLatestPrice(F347,"Actual","AssessmentDate")</f>
        <v>45849.442118055558</v>
      </c>
      <c r="D347">
        <f t="shared" si="10"/>
        <v>2025</v>
      </c>
      <c r="E347">
        <f t="shared" si="11"/>
        <v>7</v>
      </c>
      <c r="F347" s="10" t="s">
        <v>707</v>
      </c>
      <c r="G347" s="10" t="s">
        <v>11</v>
      </c>
      <c r="H347" s="10" t="s">
        <v>12</v>
      </c>
      <c r="I347" s="10"/>
    </row>
    <row r="348" spans="1:9" x14ac:dyDescent="0.25">
      <c r="A348" t="s">
        <v>708</v>
      </c>
      <c r="B348" s="14" cm="1">
        <f t="array" ref="B348">_xll.GetLatestPrice(F348,,G348)</f>
        <v>60</v>
      </c>
      <c r="C348" s="1" cm="1">
        <f t="array" ref="C348">_xll.GetLatestPrice(F348,"Actual","AssessmentDate")</f>
        <v>45798.366585648146</v>
      </c>
      <c r="D348">
        <f t="shared" si="10"/>
        <v>2025</v>
      </c>
      <c r="E348">
        <f t="shared" si="11"/>
        <v>5</v>
      </c>
      <c r="F348" s="10" t="s">
        <v>709</v>
      </c>
      <c r="G348" s="10" t="s">
        <v>11</v>
      </c>
      <c r="H348" s="10" t="s">
        <v>12</v>
      </c>
      <c r="I348" s="10"/>
    </row>
    <row r="349" spans="1:9" x14ac:dyDescent="0.25">
      <c r="A349" t="s">
        <v>710</v>
      </c>
      <c r="B349" s="14" cm="1">
        <f t="array" ref="B349">_xll.GetLatestPrice(F349,,G349)</f>
        <v>618</v>
      </c>
      <c r="C349" s="1" cm="1">
        <f t="array" ref="C349">_xll.GetLatestPrice(F349,"Actual","AssessmentDate")</f>
        <v>45849.4375</v>
      </c>
      <c r="D349">
        <f t="shared" si="10"/>
        <v>2025</v>
      </c>
      <c r="E349">
        <f t="shared" si="11"/>
        <v>7</v>
      </c>
      <c r="F349" s="10" t="s">
        <v>711</v>
      </c>
      <c r="G349" s="10" t="s">
        <v>11</v>
      </c>
      <c r="H349" s="10" t="s">
        <v>12</v>
      </c>
      <c r="I349" s="10"/>
    </row>
    <row r="350" spans="1:9" x14ac:dyDescent="0.25">
      <c r="A350" t="s">
        <v>712</v>
      </c>
      <c r="B350" s="14" cm="1">
        <f t="array" ref="B350">_xll.GetLatestPrice(F350,,G350)</f>
        <v>824</v>
      </c>
      <c r="C350" s="1" cm="1">
        <f t="array" ref="C350">_xll.GetLatestPrice(F350,"Actual","AssessmentDate")</f>
        <v>45849.442118055558</v>
      </c>
      <c r="D350">
        <f t="shared" si="10"/>
        <v>2025</v>
      </c>
      <c r="E350">
        <f t="shared" si="11"/>
        <v>7</v>
      </c>
      <c r="F350" s="10" t="s">
        <v>713</v>
      </c>
      <c r="G350" s="10" t="s">
        <v>11</v>
      </c>
      <c r="H350" s="10" t="s">
        <v>12</v>
      </c>
      <c r="I350" s="10"/>
    </row>
    <row r="351" spans="1:9" x14ac:dyDescent="0.25">
      <c r="A351" t="s">
        <v>714</v>
      </c>
      <c r="B351" s="14" cm="1">
        <f t="array" ref="B351">_xll.GetLatestPrice(F351,,G351)</f>
        <v>1030</v>
      </c>
      <c r="C351" s="1" cm="1">
        <f t="array" ref="C351">_xll.GetLatestPrice(F351,"Actual","AssessmentDate")</f>
        <v>45849.442118055558</v>
      </c>
      <c r="D351">
        <f t="shared" si="10"/>
        <v>2025</v>
      </c>
      <c r="E351">
        <f t="shared" si="11"/>
        <v>7</v>
      </c>
      <c r="F351" s="10" t="s">
        <v>715</v>
      </c>
      <c r="G351" s="10" t="s">
        <v>11</v>
      </c>
      <c r="H351" s="10" t="s">
        <v>12</v>
      </c>
      <c r="I351" s="10"/>
    </row>
    <row r="352" spans="1:9" x14ac:dyDescent="0.25">
      <c r="A352" t="s">
        <v>716</v>
      </c>
      <c r="B352" s="14" cm="1">
        <f t="array" ref="B352">_xll.GetLatestPrice(F352,,G352)</f>
        <v>1236</v>
      </c>
      <c r="C352" s="1" cm="1">
        <f t="array" ref="C352">_xll.GetLatestPrice(F352,"Actual","AssessmentDate")</f>
        <v>45849.442118055558</v>
      </c>
      <c r="D352">
        <f t="shared" si="10"/>
        <v>2025</v>
      </c>
      <c r="E352">
        <f t="shared" si="11"/>
        <v>7</v>
      </c>
      <c r="F352" s="10" t="s">
        <v>717</v>
      </c>
      <c r="G352" s="10" t="s">
        <v>11</v>
      </c>
      <c r="H352" s="10" t="s">
        <v>12</v>
      </c>
      <c r="I352" s="10"/>
    </row>
    <row r="353" spans="1:9" x14ac:dyDescent="0.25">
      <c r="A353" t="s">
        <v>718</v>
      </c>
      <c r="B353" s="14" cm="1">
        <f t="array" ref="B353">_xll.GetLatestPrice(F353,,G353)</f>
        <v>1870</v>
      </c>
      <c r="C353" s="1" cm="1">
        <f t="array" ref="C353">_xll.GetLatestPrice(F353,"Actual","AssessmentDate")</f>
        <v>45849.442118055558</v>
      </c>
      <c r="D353">
        <f t="shared" si="10"/>
        <v>2025</v>
      </c>
      <c r="E353">
        <f t="shared" si="11"/>
        <v>7</v>
      </c>
      <c r="F353" s="10" t="s">
        <v>719</v>
      </c>
      <c r="G353" s="10" t="s">
        <v>11</v>
      </c>
      <c r="H353" s="10" t="s">
        <v>12</v>
      </c>
      <c r="I353" s="10"/>
    </row>
    <row r="354" spans="1:9" x14ac:dyDescent="0.25">
      <c r="A354" t="s">
        <v>720</v>
      </c>
      <c r="B354" s="14" cm="1">
        <f t="array" ref="B354">_xll.GetLatestPrice(F354,,G354)</f>
        <v>633</v>
      </c>
      <c r="C354" s="1" cm="1">
        <f t="array" ref="C354">_xll.GetLatestPrice(F354,"Actual","AssessmentDate")</f>
        <v>45849.442118055558</v>
      </c>
      <c r="D354">
        <f t="shared" si="10"/>
        <v>2025</v>
      </c>
      <c r="E354">
        <f t="shared" si="11"/>
        <v>7</v>
      </c>
      <c r="F354" s="10" t="s">
        <v>721</v>
      </c>
      <c r="G354" s="10" t="s">
        <v>11</v>
      </c>
      <c r="H354" s="10" t="s">
        <v>12</v>
      </c>
      <c r="I354" s="10"/>
    </row>
    <row r="355" spans="1:9" x14ac:dyDescent="0.25">
      <c r="A355" t="s">
        <v>722</v>
      </c>
      <c r="B355" s="14" cm="1">
        <f t="array" ref="B355">_xll.GetLatestPrice(F355,,G355)</f>
        <v>844</v>
      </c>
      <c r="C355" s="1" cm="1">
        <f t="array" ref="C355">_xll.GetLatestPrice(F355,"Actual","AssessmentDate")</f>
        <v>45849.442118055558</v>
      </c>
      <c r="D355">
        <f t="shared" si="10"/>
        <v>2025</v>
      </c>
      <c r="E355">
        <f t="shared" si="11"/>
        <v>7</v>
      </c>
      <c r="F355" s="10" t="s">
        <v>723</v>
      </c>
      <c r="G355" s="10" t="s">
        <v>11</v>
      </c>
      <c r="H355" s="10" t="s">
        <v>12</v>
      </c>
      <c r="I355" s="10"/>
    </row>
    <row r="356" spans="1:9" x14ac:dyDescent="0.25">
      <c r="A356" t="s">
        <v>724</v>
      </c>
      <c r="B356" s="14" cm="1">
        <f t="array" ref="B356">_xll.GetLatestPrice(F356,,G356)</f>
        <v>1055</v>
      </c>
      <c r="C356" s="1" cm="1">
        <f t="array" ref="C356">_xll.GetLatestPrice(F356,"Actual","AssessmentDate")</f>
        <v>45849.442118055558</v>
      </c>
      <c r="D356">
        <f t="shared" si="10"/>
        <v>2025</v>
      </c>
      <c r="E356">
        <f t="shared" si="11"/>
        <v>7</v>
      </c>
      <c r="F356" s="10" t="s">
        <v>725</v>
      </c>
      <c r="G356" s="10" t="s">
        <v>11</v>
      </c>
      <c r="H356" s="10" t="s">
        <v>12</v>
      </c>
      <c r="I356" s="10"/>
    </row>
    <row r="357" spans="1:9" x14ac:dyDescent="0.25">
      <c r="A357" t="s">
        <v>726</v>
      </c>
      <c r="B357" s="14" cm="1">
        <f t="array" ref="B357">_xll.GetLatestPrice(F357,,G357)</f>
        <v>1266</v>
      </c>
      <c r="C357" s="1" cm="1">
        <f t="array" ref="C357">_xll.GetLatestPrice(F357,"Actual","AssessmentDate")</f>
        <v>45849.442118055558</v>
      </c>
      <c r="D357">
        <f t="shared" si="10"/>
        <v>2025</v>
      </c>
      <c r="E357">
        <f t="shared" si="11"/>
        <v>7</v>
      </c>
      <c r="F357" s="10" t="s">
        <v>727</v>
      </c>
      <c r="G357" s="10" t="s">
        <v>11</v>
      </c>
      <c r="H357" s="10" t="s">
        <v>12</v>
      </c>
      <c r="I357" s="10"/>
    </row>
    <row r="358" spans="1:9" x14ac:dyDescent="0.25">
      <c r="A358" t="s">
        <v>728</v>
      </c>
      <c r="B358" s="14" cm="1">
        <f t="array" ref="B358">_xll.GetLatestPrice(F358,,G358)</f>
        <v>1911</v>
      </c>
      <c r="C358" s="1" cm="1">
        <f t="array" ref="C358">_xll.GetLatestPrice(F358,"Actual","AssessmentDate")</f>
        <v>45849.442118055558</v>
      </c>
      <c r="D358">
        <f t="shared" si="10"/>
        <v>2025</v>
      </c>
      <c r="E358">
        <f t="shared" si="11"/>
        <v>7</v>
      </c>
      <c r="F358" s="10" t="s">
        <v>729</v>
      </c>
      <c r="G358" s="10" t="s">
        <v>11</v>
      </c>
      <c r="H358" s="10" t="s">
        <v>12</v>
      </c>
      <c r="I358" s="10"/>
    </row>
    <row r="359" spans="1:9" x14ac:dyDescent="0.25">
      <c r="A359" t="s">
        <v>730</v>
      </c>
      <c r="B359" s="14" cm="1">
        <f t="array" ref="B359">_xll.GetLatestPrice(F359,,G359)</f>
        <v>648</v>
      </c>
      <c r="C359" s="1" cm="1">
        <f t="array" ref="C359">_xll.GetLatestPrice(F359,"Actual","AssessmentDate")</f>
        <v>45849.442118055558</v>
      </c>
      <c r="D359">
        <f t="shared" si="10"/>
        <v>2025</v>
      </c>
      <c r="E359">
        <f t="shared" si="11"/>
        <v>7</v>
      </c>
      <c r="F359" s="10" t="s">
        <v>731</v>
      </c>
      <c r="G359" s="10" t="s">
        <v>11</v>
      </c>
      <c r="H359" s="10" t="s">
        <v>12</v>
      </c>
      <c r="I359" s="10"/>
    </row>
    <row r="360" spans="1:9" x14ac:dyDescent="0.25">
      <c r="A360" t="s">
        <v>732</v>
      </c>
      <c r="B360" s="14" cm="1">
        <f t="array" ref="B360">_xll.GetLatestPrice(F360,,G360)</f>
        <v>864</v>
      </c>
      <c r="C360" s="1" cm="1">
        <f t="array" ref="C360">_xll.GetLatestPrice(F360,"Actual","AssessmentDate")</f>
        <v>45849.442118055558</v>
      </c>
      <c r="D360">
        <f t="shared" si="10"/>
        <v>2025</v>
      </c>
      <c r="E360">
        <f t="shared" si="11"/>
        <v>7</v>
      </c>
      <c r="F360" s="10" t="s">
        <v>733</v>
      </c>
      <c r="G360" s="10" t="s">
        <v>11</v>
      </c>
      <c r="H360" s="10" t="s">
        <v>12</v>
      </c>
      <c r="I360" s="10"/>
    </row>
    <row r="361" spans="1:9" x14ac:dyDescent="0.25">
      <c r="A361" t="s">
        <v>734</v>
      </c>
      <c r="B361" s="14" cm="1">
        <f t="array" ref="B361">_xll.GetLatestPrice(F361,,G361)</f>
        <v>1080</v>
      </c>
      <c r="C361" s="1" cm="1">
        <f t="array" ref="C361">_xll.GetLatestPrice(F361,"Actual","AssessmentDate")</f>
        <v>45849.442118055558</v>
      </c>
      <c r="D361">
        <f t="shared" si="10"/>
        <v>2025</v>
      </c>
      <c r="E361">
        <f t="shared" si="11"/>
        <v>7</v>
      </c>
      <c r="F361" s="10" t="s">
        <v>735</v>
      </c>
      <c r="G361" s="10" t="s">
        <v>11</v>
      </c>
      <c r="H361" s="10" t="s">
        <v>12</v>
      </c>
      <c r="I361" s="10"/>
    </row>
    <row r="362" spans="1:9" x14ac:dyDescent="0.25">
      <c r="A362" t="s">
        <v>736</v>
      </c>
      <c r="B362" s="14" cm="1">
        <f t="array" ref="B362">_xll.GetLatestPrice(F362,,G362)</f>
        <v>1296</v>
      </c>
      <c r="C362" s="1" cm="1">
        <f t="array" ref="C362">_xll.GetLatestPrice(F362,"Actual","AssessmentDate")</f>
        <v>45849.442118055558</v>
      </c>
      <c r="D362">
        <f t="shared" si="10"/>
        <v>2025</v>
      </c>
      <c r="E362">
        <f t="shared" si="11"/>
        <v>7</v>
      </c>
      <c r="F362" s="10" t="s">
        <v>737</v>
      </c>
      <c r="G362" s="10" t="s">
        <v>11</v>
      </c>
      <c r="H362" s="10" t="s">
        <v>12</v>
      </c>
      <c r="I362" s="10"/>
    </row>
    <row r="363" spans="1:9" x14ac:dyDescent="0.25">
      <c r="A363" t="s">
        <v>738</v>
      </c>
      <c r="B363" s="14" cm="1">
        <f t="array" ref="B363">_xll.GetLatestPrice(F363,,G363)</f>
        <v>1951</v>
      </c>
      <c r="C363" s="1" cm="1">
        <f t="array" ref="C363">_xll.GetLatestPrice(F363,"Actual","AssessmentDate")</f>
        <v>45849.442118055558</v>
      </c>
      <c r="D363">
        <f t="shared" si="10"/>
        <v>2025</v>
      </c>
      <c r="E363">
        <f t="shared" si="11"/>
        <v>7</v>
      </c>
      <c r="F363" s="10" t="s">
        <v>739</v>
      </c>
      <c r="G363" s="10" t="s">
        <v>11</v>
      </c>
      <c r="H363" s="10" t="s">
        <v>12</v>
      </c>
      <c r="I363" s="10"/>
    </row>
    <row r="364" spans="1:9" x14ac:dyDescent="0.25">
      <c r="A364" t="s">
        <v>740</v>
      </c>
      <c r="B364" s="14" cm="1">
        <f t="array" ref="B364">_xll.GetLatestPrice(F364,,G364)</f>
        <v>658</v>
      </c>
      <c r="C364" s="1" cm="1">
        <f t="array" ref="C364">_xll.GetLatestPrice(F364,"Actual","AssessmentDate")</f>
        <v>45849.442118055558</v>
      </c>
      <c r="D364">
        <f t="shared" si="10"/>
        <v>2025</v>
      </c>
      <c r="E364">
        <f t="shared" si="11"/>
        <v>7</v>
      </c>
      <c r="F364" s="10" t="s">
        <v>741</v>
      </c>
      <c r="G364" s="10" t="s">
        <v>11</v>
      </c>
      <c r="H364" s="10" t="s">
        <v>12</v>
      </c>
      <c r="I364" s="10"/>
    </row>
    <row r="365" spans="1:9" x14ac:dyDescent="0.25">
      <c r="A365" t="s">
        <v>742</v>
      </c>
      <c r="B365" s="14" cm="1">
        <f t="array" ref="B365">_xll.GetLatestPrice(F365,,G365)</f>
        <v>877</v>
      </c>
      <c r="C365" s="1" cm="1">
        <f t="array" ref="C365">_xll.GetLatestPrice(F365,"Actual","AssessmentDate")</f>
        <v>45849.442118055558</v>
      </c>
      <c r="D365">
        <f t="shared" si="10"/>
        <v>2025</v>
      </c>
      <c r="E365">
        <f t="shared" si="11"/>
        <v>7</v>
      </c>
      <c r="F365" s="10" t="s">
        <v>743</v>
      </c>
      <c r="G365" s="10" t="s">
        <v>11</v>
      </c>
      <c r="H365" s="10" t="s">
        <v>12</v>
      </c>
      <c r="I365" s="10"/>
    </row>
    <row r="366" spans="1:9" x14ac:dyDescent="0.25">
      <c r="A366" t="s">
        <v>744</v>
      </c>
      <c r="B366" s="14" cm="1">
        <f t="array" ref="B366">_xll.GetLatestPrice(F366,,G366)</f>
        <v>1097</v>
      </c>
      <c r="C366" s="1" cm="1">
        <f t="array" ref="C366">_xll.GetLatestPrice(F366,"Actual","AssessmentDate")</f>
        <v>45849.442118055558</v>
      </c>
      <c r="D366">
        <f t="shared" si="10"/>
        <v>2025</v>
      </c>
      <c r="E366">
        <f t="shared" si="11"/>
        <v>7</v>
      </c>
      <c r="F366" s="10" t="s">
        <v>745</v>
      </c>
      <c r="G366" s="10" t="s">
        <v>11</v>
      </c>
      <c r="H366" s="10" t="s">
        <v>12</v>
      </c>
      <c r="I366" s="10"/>
    </row>
    <row r="367" spans="1:9" x14ac:dyDescent="0.25">
      <c r="A367" t="s">
        <v>746</v>
      </c>
      <c r="B367" s="14" cm="1">
        <f t="array" ref="B367">_xll.GetLatestPrice(F367,,G367)</f>
        <v>1316</v>
      </c>
      <c r="C367" s="1" cm="1">
        <f t="array" ref="C367">_xll.GetLatestPrice(F367,"Actual","AssessmentDate")</f>
        <v>45849.442118055558</v>
      </c>
      <c r="D367">
        <f t="shared" si="10"/>
        <v>2025</v>
      </c>
      <c r="E367">
        <f t="shared" si="11"/>
        <v>7</v>
      </c>
      <c r="F367" s="10" t="s">
        <v>747</v>
      </c>
      <c r="G367" s="10" t="s">
        <v>11</v>
      </c>
      <c r="H367" s="10" t="s">
        <v>12</v>
      </c>
      <c r="I367" s="10"/>
    </row>
    <row r="368" spans="1:9" x14ac:dyDescent="0.25">
      <c r="A368" t="s">
        <v>748</v>
      </c>
      <c r="B368" s="14" cm="1">
        <f t="array" ref="B368">_xll.GetLatestPrice(F368,,G368)</f>
        <v>1977</v>
      </c>
      <c r="C368" s="1" cm="1">
        <f t="array" ref="C368">_xll.GetLatestPrice(F368,"Actual","AssessmentDate")</f>
        <v>45849.442118055558</v>
      </c>
      <c r="D368">
        <f t="shared" si="10"/>
        <v>2025</v>
      </c>
      <c r="E368">
        <f t="shared" si="11"/>
        <v>7</v>
      </c>
      <c r="F368" s="10" t="s">
        <v>749</v>
      </c>
      <c r="G368" s="10" t="s">
        <v>11</v>
      </c>
      <c r="H368" s="10" t="s">
        <v>12</v>
      </c>
      <c r="I368" s="10"/>
    </row>
    <row r="369" spans="1:9" x14ac:dyDescent="0.25">
      <c r="A369" t="s">
        <v>750</v>
      </c>
      <c r="B369" s="14" cm="1">
        <f t="array" ref="B369">_xll.GetLatestPrice(F369,,G369)</f>
        <v>651</v>
      </c>
      <c r="C369" s="1" cm="1">
        <f t="array" ref="C369">_xll.GetLatestPrice(F369,"Actual","AssessmentDate")</f>
        <v>45849.4375</v>
      </c>
      <c r="D369">
        <f t="shared" si="10"/>
        <v>2025</v>
      </c>
      <c r="E369">
        <f t="shared" si="11"/>
        <v>7</v>
      </c>
      <c r="F369" s="10" t="s">
        <v>751</v>
      </c>
      <c r="G369" s="10" t="s">
        <v>11</v>
      </c>
      <c r="H369" s="10" t="s">
        <v>12</v>
      </c>
      <c r="I369" s="10"/>
    </row>
    <row r="370" spans="1:9" x14ac:dyDescent="0.25">
      <c r="A370" t="s">
        <v>752</v>
      </c>
      <c r="B370" s="14" cm="1">
        <f t="array" ref="B370">_xll.GetLatestPrice(F370,,G370)</f>
        <v>868</v>
      </c>
      <c r="C370" s="1" cm="1">
        <f t="array" ref="C370">_xll.GetLatestPrice(F370,"Actual","AssessmentDate")</f>
        <v>45849.442118055558</v>
      </c>
      <c r="D370">
        <f t="shared" si="10"/>
        <v>2025</v>
      </c>
      <c r="E370">
        <f t="shared" si="11"/>
        <v>7</v>
      </c>
      <c r="F370" s="10" t="s">
        <v>753</v>
      </c>
      <c r="G370" s="10" t="s">
        <v>11</v>
      </c>
      <c r="H370" s="10" t="s">
        <v>12</v>
      </c>
      <c r="I370" s="10"/>
    </row>
    <row r="371" spans="1:9" x14ac:dyDescent="0.25">
      <c r="A371" t="s">
        <v>754</v>
      </c>
      <c r="B371" s="14" cm="1">
        <f t="array" ref="B371">_xll.GetLatestPrice(F371,,G371)</f>
        <v>1085</v>
      </c>
      <c r="C371" s="1" cm="1">
        <f t="array" ref="C371">_xll.GetLatestPrice(F371,"Actual","AssessmentDate")</f>
        <v>45849.442118055558</v>
      </c>
      <c r="D371">
        <f t="shared" si="10"/>
        <v>2025</v>
      </c>
      <c r="E371">
        <f t="shared" si="11"/>
        <v>7</v>
      </c>
      <c r="F371" s="10" t="s">
        <v>755</v>
      </c>
      <c r="G371" s="10" t="s">
        <v>11</v>
      </c>
      <c r="H371" s="10" t="s">
        <v>12</v>
      </c>
      <c r="I371" s="10"/>
    </row>
    <row r="372" spans="1:9" x14ac:dyDescent="0.25">
      <c r="A372" t="s">
        <v>756</v>
      </c>
      <c r="B372" s="14" cm="1">
        <f t="array" ref="B372">_xll.GetLatestPrice(F372,,G372)</f>
        <v>1302</v>
      </c>
      <c r="C372" s="1" cm="1">
        <f t="array" ref="C372">_xll.GetLatestPrice(F372,"Actual","AssessmentDate")</f>
        <v>45849.442118055558</v>
      </c>
      <c r="D372">
        <f t="shared" si="10"/>
        <v>2025</v>
      </c>
      <c r="E372">
        <f t="shared" si="11"/>
        <v>7</v>
      </c>
      <c r="F372" s="10" t="s">
        <v>757</v>
      </c>
      <c r="G372" s="10" t="s">
        <v>11</v>
      </c>
      <c r="H372" s="10" t="s">
        <v>12</v>
      </c>
      <c r="I372" s="10"/>
    </row>
    <row r="373" spans="1:9" x14ac:dyDescent="0.25">
      <c r="A373" t="s">
        <v>758</v>
      </c>
      <c r="B373" s="14" cm="1">
        <f t="array" ref="B373">_xll.GetLatestPrice(F373,,G373)</f>
        <v>1953</v>
      </c>
      <c r="C373" s="1" cm="1">
        <f t="array" ref="C373">_xll.GetLatestPrice(F373,"Actual","AssessmentDate")</f>
        <v>45849.442118055558</v>
      </c>
      <c r="D373">
        <f t="shared" si="10"/>
        <v>2025</v>
      </c>
      <c r="E373">
        <f t="shared" si="11"/>
        <v>7</v>
      </c>
      <c r="F373" s="10" t="s">
        <v>759</v>
      </c>
      <c r="G373" s="10" t="s">
        <v>11</v>
      </c>
      <c r="H373" s="10" t="s">
        <v>12</v>
      </c>
      <c r="I373" s="10"/>
    </row>
    <row r="374" spans="1:9" x14ac:dyDescent="0.25">
      <c r="A374" t="s">
        <v>760</v>
      </c>
      <c r="B374" s="14" cm="1">
        <f t="array" ref="B374">_xll.GetLatestPrice(F374,,G374)</f>
        <v>661</v>
      </c>
      <c r="C374" s="1" cm="1">
        <f t="array" ref="C374">_xll.GetLatestPrice(F374,"Actual","AssessmentDate")</f>
        <v>45849.442118055558</v>
      </c>
      <c r="D374">
        <f t="shared" si="10"/>
        <v>2025</v>
      </c>
      <c r="E374">
        <f t="shared" si="11"/>
        <v>7</v>
      </c>
      <c r="F374" s="10" t="s">
        <v>761</v>
      </c>
      <c r="G374" s="10" t="s">
        <v>11</v>
      </c>
      <c r="H374" s="10" t="s">
        <v>12</v>
      </c>
      <c r="I374" s="10"/>
    </row>
    <row r="375" spans="1:9" x14ac:dyDescent="0.25">
      <c r="A375" t="s">
        <v>762</v>
      </c>
      <c r="B375" s="14" cm="1">
        <f t="array" ref="B375">_xll.GetLatestPrice(F375,,G375)</f>
        <v>881</v>
      </c>
      <c r="C375" s="1" cm="1">
        <f t="array" ref="C375">_xll.GetLatestPrice(F375,"Actual","AssessmentDate")</f>
        <v>45849.442118055558</v>
      </c>
      <c r="D375">
        <f t="shared" si="10"/>
        <v>2025</v>
      </c>
      <c r="E375">
        <f t="shared" si="11"/>
        <v>7</v>
      </c>
      <c r="F375" s="10" t="s">
        <v>763</v>
      </c>
      <c r="G375" s="10" t="s">
        <v>11</v>
      </c>
      <c r="H375" s="10" t="s">
        <v>12</v>
      </c>
      <c r="I375" s="10"/>
    </row>
    <row r="376" spans="1:9" x14ac:dyDescent="0.25">
      <c r="A376" t="s">
        <v>764</v>
      </c>
      <c r="B376" s="14" cm="1">
        <f t="array" ref="B376">_xll.GetLatestPrice(F376,,G376)</f>
        <v>1102</v>
      </c>
      <c r="C376" s="1" cm="1">
        <f t="array" ref="C376">_xll.GetLatestPrice(F376,"Actual","AssessmentDate")</f>
        <v>45849.442118055558</v>
      </c>
      <c r="D376">
        <f t="shared" ref="D376:D402" si="12">YEAR(C376)</f>
        <v>2025</v>
      </c>
      <c r="E376">
        <f t="shared" ref="E376:E402" si="13">MONTH(C376)</f>
        <v>7</v>
      </c>
      <c r="F376" s="10" t="s">
        <v>765</v>
      </c>
      <c r="G376" s="10" t="s">
        <v>11</v>
      </c>
      <c r="H376" s="10" t="s">
        <v>12</v>
      </c>
      <c r="I376" s="10"/>
    </row>
    <row r="377" spans="1:9" x14ac:dyDescent="0.25">
      <c r="A377" t="s">
        <v>766</v>
      </c>
      <c r="B377" s="14" cm="1">
        <f t="array" ref="B377">_xll.GetLatestPrice(F377,,G377)</f>
        <v>1322</v>
      </c>
      <c r="C377" s="1" cm="1">
        <f t="array" ref="C377">_xll.GetLatestPrice(F377,"Actual","AssessmentDate")</f>
        <v>45849.442118055558</v>
      </c>
      <c r="D377">
        <f t="shared" si="12"/>
        <v>2025</v>
      </c>
      <c r="E377">
        <f t="shared" si="13"/>
        <v>7</v>
      </c>
      <c r="F377" s="10" t="s">
        <v>767</v>
      </c>
      <c r="G377" s="10" t="s">
        <v>11</v>
      </c>
      <c r="H377" s="10" t="s">
        <v>12</v>
      </c>
      <c r="I377" s="10"/>
    </row>
    <row r="378" spans="1:9" x14ac:dyDescent="0.25">
      <c r="A378" t="s">
        <v>768</v>
      </c>
      <c r="B378" s="14" cm="1">
        <f t="array" ref="B378">_xll.GetLatestPrice(F378,,G378)</f>
        <v>1980</v>
      </c>
      <c r="C378" s="1" cm="1">
        <f t="array" ref="C378">_xll.GetLatestPrice(F378,"Actual","AssessmentDate")</f>
        <v>45849.442118055558</v>
      </c>
      <c r="D378">
        <f t="shared" si="12"/>
        <v>2025</v>
      </c>
      <c r="E378">
        <f t="shared" si="13"/>
        <v>7</v>
      </c>
      <c r="F378" s="10" t="s">
        <v>769</v>
      </c>
      <c r="G378" s="10" t="s">
        <v>11</v>
      </c>
      <c r="H378" s="10" t="s">
        <v>12</v>
      </c>
      <c r="I378" s="10"/>
    </row>
    <row r="379" spans="1:9" x14ac:dyDescent="0.25">
      <c r="A379" t="s">
        <v>770</v>
      </c>
      <c r="B379" s="14" cm="1">
        <f t="array" ref="B379">_xll.GetLatestPrice(F379,,G379)</f>
        <v>686</v>
      </c>
      <c r="C379" s="1" cm="1">
        <f t="array" ref="C379">_xll.GetLatestPrice(F379,"Actual","AssessmentDate")</f>
        <v>45849.442118055558</v>
      </c>
      <c r="D379">
        <f t="shared" si="12"/>
        <v>2025</v>
      </c>
      <c r="E379">
        <f t="shared" si="13"/>
        <v>7</v>
      </c>
      <c r="F379" s="10" t="s">
        <v>771</v>
      </c>
      <c r="G379" s="10" t="s">
        <v>11</v>
      </c>
      <c r="H379" s="10" t="s">
        <v>12</v>
      </c>
      <c r="I379" s="10"/>
    </row>
    <row r="380" spans="1:9" x14ac:dyDescent="0.25">
      <c r="A380" t="s">
        <v>772</v>
      </c>
      <c r="B380" s="14" cm="1">
        <f t="array" ref="B380">_xll.GetLatestPrice(F380,,G380)</f>
        <v>915</v>
      </c>
      <c r="C380" s="1" cm="1">
        <f t="array" ref="C380">_xll.GetLatestPrice(F380,"Actual","AssessmentDate")</f>
        <v>45849.442118055558</v>
      </c>
      <c r="D380">
        <f t="shared" si="12"/>
        <v>2025</v>
      </c>
      <c r="E380">
        <f t="shared" si="13"/>
        <v>7</v>
      </c>
      <c r="F380" s="10" t="s">
        <v>773</v>
      </c>
      <c r="G380" s="10" t="s">
        <v>11</v>
      </c>
      <c r="H380" s="10" t="s">
        <v>12</v>
      </c>
      <c r="I380" s="10"/>
    </row>
    <row r="381" spans="1:9" x14ac:dyDescent="0.25">
      <c r="A381" t="s">
        <v>774</v>
      </c>
      <c r="B381" s="14" cm="1">
        <f t="array" ref="B381">_xll.GetLatestPrice(F381,,G381)</f>
        <v>1143</v>
      </c>
      <c r="C381" s="1" cm="1">
        <f t="array" ref="C381">_xll.GetLatestPrice(F381,"Actual","AssessmentDate")</f>
        <v>45849.442118055558</v>
      </c>
      <c r="D381">
        <f t="shared" si="12"/>
        <v>2025</v>
      </c>
      <c r="E381">
        <f t="shared" si="13"/>
        <v>7</v>
      </c>
      <c r="F381" s="10" t="s">
        <v>775</v>
      </c>
      <c r="G381" s="10" t="s">
        <v>11</v>
      </c>
      <c r="H381" s="10" t="s">
        <v>12</v>
      </c>
      <c r="I381" s="10"/>
    </row>
    <row r="382" spans="1:9" x14ac:dyDescent="0.25">
      <c r="A382" t="s">
        <v>776</v>
      </c>
      <c r="B382" s="14" cm="1">
        <f t="array" ref="B382">_xll.GetLatestPrice(F382,,G382)</f>
        <v>1372</v>
      </c>
      <c r="C382" s="1" cm="1">
        <f t="array" ref="C382">_xll.GetLatestPrice(F382,"Actual","AssessmentDate")</f>
        <v>45849.442118055558</v>
      </c>
      <c r="D382">
        <f t="shared" si="12"/>
        <v>2025</v>
      </c>
      <c r="E382">
        <f t="shared" si="13"/>
        <v>7</v>
      </c>
      <c r="F382" s="10" t="s">
        <v>777</v>
      </c>
      <c r="G382" s="10" t="s">
        <v>11</v>
      </c>
      <c r="H382" s="10" t="s">
        <v>12</v>
      </c>
      <c r="I382" s="10"/>
    </row>
    <row r="383" spans="1:9" x14ac:dyDescent="0.25">
      <c r="A383" t="s">
        <v>778</v>
      </c>
      <c r="B383" s="14" cm="1">
        <f t="array" ref="B383">_xll.GetLatestPrice(F383,,G383)</f>
        <v>2046</v>
      </c>
      <c r="C383" s="1" cm="1">
        <f t="array" ref="C383">_xll.GetLatestPrice(F383,"Actual","AssessmentDate")</f>
        <v>45849.442118055558</v>
      </c>
      <c r="D383">
        <f t="shared" si="12"/>
        <v>2025</v>
      </c>
      <c r="E383">
        <f t="shared" si="13"/>
        <v>7</v>
      </c>
      <c r="F383" s="10" t="s">
        <v>779</v>
      </c>
      <c r="G383" s="10" t="s">
        <v>11</v>
      </c>
      <c r="H383" s="10" t="s">
        <v>12</v>
      </c>
      <c r="I383" s="10"/>
    </row>
    <row r="384" spans="1:9" x14ac:dyDescent="0.25">
      <c r="A384" t="s">
        <v>780</v>
      </c>
      <c r="B384" s="14" cm="1">
        <f t="array" ref="B384">_xll.GetLatestPrice(F384,,G384)</f>
        <v>60</v>
      </c>
      <c r="C384" s="1" cm="1">
        <f t="array" ref="C384">_xll.GetLatestPrice(F384,"Actual","AssessmentDate")</f>
        <v>45798.366585648146</v>
      </c>
      <c r="D384">
        <f t="shared" si="12"/>
        <v>2025</v>
      </c>
      <c r="E384">
        <f t="shared" si="13"/>
        <v>5</v>
      </c>
      <c r="F384" s="10" t="s">
        <v>781</v>
      </c>
      <c r="G384" s="10" t="s">
        <v>11</v>
      </c>
      <c r="H384" s="10" t="s">
        <v>12</v>
      </c>
      <c r="I384" s="10"/>
    </row>
    <row r="385" spans="1:9" x14ac:dyDescent="0.25">
      <c r="A385" t="s">
        <v>782</v>
      </c>
      <c r="B385" s="14" cm="1">
        <f t="array" ref="B385">_xll.GetLatestPrice(F385,,G385)</f>
        <v>20</v>
      </c>
      <c r="C385" s="1" cm="1">
        <f t="array" ref="C385">_xll.GetLatestPrice(F385,"Actual","AssessmentDate")</f>
        <v>45798.366585648146</v>
      </c>
      <c r="D385">
        <f t="shared" si="12"/>
        <v>2025</v>
      </c>
      <c r="E385">
        <f t="shared" si="13"/>
        <v>5</v>
      </c>
      <c r="F385" s="10" t="s">
        <v>783</v>
      </c>
      <c r="G385" s="10" t="s">
        <v>11</v>
      </c>
      <c r="H385" s="10" t="s">
        <v>12</v>
      </c>
      <c r="I385" s="10"/>
    </row>
    <row r="386" spans="1:9" x14ac:dyDescent="0.25">
      <c r="A386" t="s">
        <v>784</v>
      </c>
      <c r="B386" s="14" cm="1">
        <f t="array" ref="B386">_xll.GetLatestPrice(F386,,G386)</f>
        <v>390</v>
      </c>
      <c r="C386" s="1" cm="1">
        <f t="array" ref="C386">_xll.GetLatestPrice(F386,"Actual","AssessmentDate")</f>
        <v>45849.4375</v>
      </c>
      <c r="D386">
        <f t="shared" si="12"/>
        <v>2025</v>
      </c>
      <c r="E386">
        <f t="shared" si="13"/>
        <v>7</v>
      </c>
      <c r="F386" s="10" t="s">
        <v>785</v>
      </c>
      <c r="G386" s="10" t="s">
        <v>11</v>
      </c>
      <c r="H386" s="10" t="s">
        <v>12</v>
      </c>
      <c r="I386" s="10"/>
    </row>
    <row r="387" spans="1:9" x14ac:dyDescent="0.25">
      <c r="A387" t="s">
        <v>786</v>
      </c>
      <c r="B387" s="14" cm="1">
        <f t="array" ref="B387">_xll.GetLatestPrice(F387,,G387)</f>
        <v>380</v>
      </c>
      <c r="C387" s="1" cm="1">
        <f t="array" ref="C387">_xll.GetLatestPrice(F387,"Actual","AssessmentDate")</f>
        <v>45849.4375</v>
      </c>
      <c r="D387">
        <f t="shared" si="12"/>
        <v>2025</v>
      </c>
      <c r="E387">
        <f t="shared" si="13"/>
        <v>7</v>
      </c>
      <c r="F387" s="10" t="s">
        <v>787</v>
      </c>
      <c r="G387" s="10" t="s">
        <v>11</v>
      </c>
      <c r="H387" s="10" t="s">
        <v>12</v>
      </c>
      <c r="I387" s="10"/>
    </row>
    <row r="388" spans="1:9" x14ac:dyDescent="0.25">
      <c r="A388" t="s">
        <v>788</v>
      </c>
      <c r="B388" s="14" cm="1">
        <f t="array" ref="B388">_xll.GetLatestPrice(F388,,G388)</f>
        <v>676</v>
      </c>
      <c r="C388" s="1" cm="1">
        <f t="array" ref="C388">_xll.GetLatestPrice(F388,"Actual","AssessmentDate")</f>
        <v>45849.444976851853</v>
      </c>
      <c r="D388">
        <f t="shared" si="12"/>
        <v>2025</v>
      </c>
      <c r="E388">
        <f t="shared" si="13"/>
        <v>7</v>
      </c>
      <c r="F388" s="10" t="s">
        <v>789</v>
      </c>
      <c r="G388" s="10" t="s">
        <v>11</v>
      </c>
      <c r="H388" s="10" t="s">
        <v>12</v>
      </c>
      <c r="I388" s="10"/>
    </row>
    <row r="389" spans="1:9" x14ac:dyDescent="0.25">
      <c r="A389" t="s">
        <v>790</v>
      </c>
      <c r="B389" s="14" cm="1">
        <f t="array" ref="B389">_xll.GetLatestPrice(F389,,G389)</f>
        <v>676</v>
      </c>
      <c r="C389" s="1" cm="1">
        <f t="array" ref="C389">_xll.GetLatestPrice(F389,"Actual","AssessmentDate")</f>
        <v>45849.444976851853</v>
      </c>
      <c r="D389">
        <f t="shared" si="12"/>
        <v>2025</v>
      </c>
      <c r="E389">
        <f t="shared" si="13"/>
        <v>7</v>
      </c>
      <c r="F389" s="10" t="s">
        <v>789</v>
      </c>
      <c r="G389" s="10" t="s">
        <v>11</v>
      </c>
      <c r="H389" s="10" t="s">
        <v>12</v>
      </c>
      <c r="I389" s="10"/>
    </row>
    <row r="390" spans="1:9" x14ac:dyDescent="0.25">
      <c r="A390" t="s">
        <v>791</v>
      </c>
      <c r="B390" s="14" cm="1">
        <f t="array" ref="B390">_xll.GetPrice(F390,,G390,_xll.GetPrice(F390,"Actual","AssessmentDate",(_xll.GetPrice(F390,"Actual","AssessmentDate",IF(_xll.GetPrice(F390,"Actual","PreliminaryPrice",EDATE(C390,-12)),_xll.GetPrice(F390,"Actual","AssessmentDate",EDATE(C390,-12))-1,_xll.GetPrice(F390,"Actual","AssessmentDate",EDATE(C390,-12)))))))</f>
        <v>677</v>
      </c>
      <c r="C390" s="1" cm="1">
        <f t="array" ref="C390">_xll.GetLatestPrice(F390,"Actual","AssessmentDate")</f>
        <v>45849.444976851853</v>
      </c>
      <c r="D390">
        <f t="shared" si="12"/>
        <v>2025</v>
      </c>
      <c r="E390">
        <f t="shared" si="13"/>
        <v>7</v>
      </c>
      <c r="F390" s="10" t="s">
        <v>789</v>
      </c>
      <c r="G390" s="10" t="s">
        <v>11</v>
      </c>
      <c r="H390" s="10" t="s">
        <v>473</v>
      </c>
      <c r="I390" s="11" cm="1">
        <f t="array" ref="I390">_xll.GetPrice(F390,"Actual","AssessmentDate",(_xll.GetPrice(F390,"Actual","AssessmentDate",IF(_xll.GetPrice(F390,"Actual","PreliminaryPrice",EDATE(C390,-12)),_xll.GetPrice(F390,"Actual","AssessmentDate",EDATE(C390,-12))-1,_xll.GetPrice(F390,"Actual","AssessmentDate",EDATE(C390,-12))))))</f>
        <v>45476.441979166666</v>
      </c>
    </row>
    <row r="391" spans="1:9" x14ac:dyDescent="0.25">
      <c r="A391" t="s">
        <v>792</v>
      </c>
      <c r="B391" s="14" cm="1">
        <f t="array" ref="B391">_xll.GetLatestPrice(F391,,G391)</f>
        <v>696</v>
      </c>
      <c r="C391" s="1" cm="1">
        <f t="array" ref="C391">_xll.GetLatestPrice(F391,"Actual","AssessmentDate")</f>
        <v>45849.442118055558</v>
      </c>
      <c r="D391">
        <f t="shared" si="12"/>
        <v>2025</v>
      </c>
      <c r="E391">
        <f t="shared" si="13"/>
        <v>7</v>
      </c>
      <c r="F391" s="8" t="s">
        <v>793</v>
      </c>
      <c r="G391" s="8" t="s">
        <v>11</v>
      </c>
      <c r="H391" s="10" t="s">
        <v>12</v>
      </c>
    </row>
    <row r="392" spans="1:9" x14ac:dyDescent="0.25">
      <c r="A392" t="s">
        <v>794</v>
      </c>
      <c r="B392" s="14" cm="1">
        <f t="array" ref="B392">_xll.GetLatestPrice(F392,,G392)</f>
        <v>928</v>
      </c>
      <c r="C392" s="1" cm="1">
        <f t="array" ref="C392">_xll.GetLatestPrice(F392,"Actual","AssessmentDate")</f>
        <v>45849.442118055558</v>
      </c>
      <c r="D392">
        <f t="shared" si="12"/>
        <v>2025</v>
      </c>
      <c r="E392">
        <f t="shared" si="13"/>
        <v>7</v>
      </c>
      <c r="F392" s="8" t="s">
        <v>795</v>
      </c>
      <c r="G392" s="8" t="s">
        <v>11</v>
      </c>
      <c r="H392" s="10" t="s">
        <v>12</v>
      </c>
    </row>
    <row r="393" spans="1:9" x14ac:dyDescent="0.25">
      <c r="A393" t="s">
        <v>796</v>
      </c>
      <c r="B393" s="14" cm="1">
        <f t="array" ref="B393">_xll.GetLatestPrice(F393,,G393)</f>
        <v>1160</v>
      </c>
      <c r="C393" s="1" cm="1">
        <f t="array" ref="C393">_xll.GetLatestPrice(F393,"Actual","AssessmentDate")</f>
        <v>45849.442118055558</v>
      </c>
      <c r="D393">
        <f t="shared" si="12"/>
        <v>2025</v>
      </c>
      <c r="E393">
        <f t="shared" si="13"/>
        <v>7</v>
      </c>
      <c r="F393" s="8" t="s">
        <v>797</v>
      </c>
      <c r="G393" s="8" t="s">
        <v>11</v>
      </c>
      <c r="H393" s="10" t="s">
        <v>12</v>
      </c>
    </row>
    <row r="394" spans="1:9" x14ac:dyDescent="0.25">
      <c r="A394" t="s">
        <v>798</v>
      </c>
      <c r="B394" s="14" cm="1">
        <f t="array" ref="B394">_xll.GetLatestPrice(F394,,G394)</f>
        <v>1392</v>
      </c>
      <c r="C394" s="1" cm="1">
        <f t="array" ref="C394">_xll.GetLatestPrice(F394,"Actual","AssessmentDate")</f>
        <v>45849.442118055558</v>
      </c>
      <c r="D394">
        <f t="shared" si="12"/>
        <v>2025</v>
      </c>
      <c r="E394">
        <f t="shared" si="13"/>
        <v>7</v>
      </c>
      <c r="F394" s="8" t="s">
        <v>799</v>
      </c>
      <c r="G394" s="8" t="s">
        <v>11</v>
      </c>
      <c r="H394" s="10" t="s">
        <v>12</v>
      </c>
    </row>
    <row r="395" spans="1:9" x14ac:dyDescent="0.25">
      <c r="A395" t="s">
        <v>800</v>
      </c>
      <c r="B395" s="14" cm="1">
        <f t="array" ref="B395">_xll.GetLatestPrice(F395,,G395)</f>
        <v>2073</v>
      </c>
      <c r="C395" s="1" cm="1">
        <f t="array" ref="C395">_xll.GetLatestPrice(F395,"Actual","AssessmentDate")</f>
        <v>45849.442118055558</v>
      </c>
      <c r="D395">
        <f t="shared" si="12"/>
        <v>2025</v>
      </c>
      <c r="E395">
        <f t="shared" si="13"/>
        <v>7</v>
      </c>
      <c r="F395" s="8" t="s">
        <v>801</v>
      </c>
      <c r="G395" s="8" t="s">
        <v>11</v>
      </c>
      <c r="H395" s="10" t="s">
        <v>12</v>
      </c>
    </row>
    <row r="396" spans="1:9" x14ac:dyDescent="0.25">
      <c r="A396" t="s">
        <v>802</v>
      </c>
      <c r="B396" s="14" cm="1">
        <f t="array" ref="B396">_xll.GetLatestPrice(F396,,G396)</f>
        <v>382</v>
      </c>
      <c r="C396" s="1" cm="1">
        <f t="array" ref="C396">_xll.GetLatestPrice(F396,"Actual","AssessmentDate")</f>
        <v>45849.4375</v>
      </c>
      <c r="D396">
        <f t="shared" si="12"/>
        <v>2025</v>
      </c>
      <c r="E396">
        <f t="shared" si="13"/>
        <v>7</v>
      </c>
      <c r="F396" s="8" t="s">
        <v>803</v>
      </c>
      <c r="G396" s="8" t="s">
        <v>11</v>
      </c>
      <c r="H396" s="10" t="s">
        <v>12</v>
      </c>
    </row>
    <row r="397" spans="1:9" x14ac:dyDescent="0.25">
      <c r="A397" t="s">
        <v>804</v>
      </c>
      <c r="B397" s="14" cm="1">
        <f t="array" ref="B397">_xll.GetLatestPrice(F397,,G397)</f>
        <v>382</v>
      </c>
      <c r="C397" s="1" cm="1">
        <f t="array" ref="C397">_xll.GetLatestPrice(F397,"Actual","AssessmentDate")</f>
        <v>45849.4375</v>
      </c>
      <c r="D397">
        <f t="shared" si="12"/>
        <v>2025</v>
      </c>
      <c r="E397">
        <f t="shared" si="13"/>
        <v>7</v>
      </c>
      <c r="F397" s="8" t="s">
        <v>805</v>
      </c>
      <c r="G397" s="8" t="s">
        <v>11</v>
      </c>
      <c r="H397" s="10" t="s">
        <v>12</v>
      </c>
    </row>
    <row r="398" spans="1:9" x14ac:dyDescent="0.25">
      <c r="A398" t="s">
        <v>806</v>
      </c>
      <c r="B398" s="14" cm="1">
        <f t="array" ref="B398">_xll.GetLatestPrice(F398,,G398)</f>
        <v>407</v>
      </c>
      <c r="C398" s="1" cm="1">
        <f t="array" ref="C398">_xll.GetLatestPrice(F398,"Actual","AssessmentDate")</f>
        <v>45849.4375</v>
      </c>
      <c r="D398">
        <f t="shared" si="12"/>
        <v>2025</v>
      </c>
      <c r="E398">
        <f t="shared" si="13"/>
        <v>7</v>
      </c>
      <c r="F398" s="8" t="s">
        <v>807</v>
      </c>
      <c r="G398" s="8" t="s">
        <v>11</v>
      </c>
      <c r="H398" s="10" t="s">
        <v>12</v>
      </c>
    </row>
    <row r="399" spans="1:9" x14ac:dyDescent="0.25">
      <c r="A399" t="s">
        <v>808</v>
      </c>
      <c r="B399" s="14" cm="1">
        <f t="array" ref="B399">_xll.GetLatestPrice(F399,,G399)</f>
        <v>427</v>
      </c>
      <c r="C399" s="1" cm="1">
        <f t="array" ref="C399">_xll.GetLatestPrice(F399,"Actual","AssessmentDate")</f>
        <v>45849.4375</v>
      </c>
      <c r="D399">
        <f t="shared" si="12"/>
        <v>2025</v>
      </c>
      <c r="E399">
        <f t="shared" si="13"/>
        <v>7</v>
      </c>
      <c r="F399" s="8" t="s">
        <v>809</v>
      </c>
      <c r="G399" s="8" t="s">
        <v>11</v>
      </c>
      <c r="H399" s="10" t="s">
        <v>12</v>
      </c>
    </row>
    <row r="400" spans="1:9" x14ac:dyDescent="0.25">
      <c r="A400" t="s">
        <v>810</v>
      </c>
      <c r="B400" s="14" cm="1">
        <f t="array" ref="B400">_xll.GetLatestPrice(F400,,G400)</f>
        <v>579</v>
      </c>
      <c r="C400" s="1" cm="1">
        <f t="array" ref="C400">_xll.GetLatestPrice(F400,"Actual","AssessmentDate")</f>
        <v>45849.4375</v>
      </c>
      <c r="D400">
        <f t="shared" si="12"/>
        <v>2025</v>
      </c>
      <c r="E400">
        <f t="shared" si="13"/>
        <v>7</v>
      </c>
      <c r="F400" s="8" t="s">
        <v>811</v>
      </c>
      <c r="G400" s="8" t="s">
        <v>11</v>
      </c>
      <c r="H400" s="10" t="s">
        <v>12</v>
      </c>
    </row>
    <row r="401" spans="1:8" x14ac:dyDescent="0.25">
      <c r="A401" t="s">
        <v>812</v>
      </c>
      <c r="B401" s="14" cm="1">
        <f t="array" ref="B401">_xll.GetLatestPrice(F401,,G401)</f>
        <v>684</v>
      </c>
      <c r="C401" s="1" cm="1">
        <f t="array" ref="C401">_xll.GetLatestPrice(F401,"Actual","AssessmentDate")</f>
        <v>45849.4375</v>
      </c>
      <c r="D401">
        <f t="shared" si="12"/>
        <v>2025</v>
      </c>
      <c r="E401">
        <f t="shared" si="13"/>
        <v>7</v>
      </c>
      <c r="F401" s="8" t="s">
        <v>813</v>
      </c>
      <c r="G401" s="8" t="s">
        <v>11</v>
      </c>
      <c r="H401" s="10" t="s">
        <v>12</v>
      </c>
    </row>
    <row r="402" spans="1:8" x14ac:dyDescent="0.25">
      <c r="A402" t="s">
        <v>814</v>
      </c>
      <c r="B402" s="14" cm="1">
        <f t="array" ref="B402">_xll.GetLatestPrice(F402,,G402)</f>
        <v>20</v>
      </c>
      <c r="C402" s="1" cm="1">
        <f t="array" ref="C402">_xll.GetLatestPrice(F402,"Actual","AssessmentDate")</f>
        <v>45798.366585648146</v>
      </c>
      <c r="D402">
        <f t="shared" si="12"/>
        <v>2025</v>
      </c>
      <c r="E402">
        <f t="shared" si="13"/>
        <v>5</v>
      </c>
      <c r="F402" s="8" t="s">
        <v>815</v>
      </c>
      <c r="G402" s="8" t="s">
        <v>11</v>
      </c>
      <c r="H402" s="10" t="s">
        <v>12</v>
      </c>
    </row>
  </sheetData>
  <autoFilter ref="A1:I402" xr:uid="{00000000-0001-0000-0000-000000000000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87EFD-B9B7-4079-A364-2DB40F2A3FE6}">
  <dimension ref="B2:J413"/>
  <sheetViews>
    <sheetView workbookViewId="0">
      <selection activeCell="B4" sqref="B4"/>
    </sheetView>
  </sheetViews>
  <sheetFormatPr defaultRowHeight="15" x14ac:dyDescent="0.25"/>
  <cols>
    <col min="1" max="1" width="16" customWidth="1"/>
    <col min="2" max="2" width="21.7109375" customWidth="1"/>
    <col min="3" max="3" width="9.7109375" bestFit="1" customWidth="1"/>
    <col min="7" max="7" width="9.85546875" customWidth="1"/>
    <col min="8" max="8" width="15.5703125" hidden="1" customWidth="1"/>
    <col min="9" max="9" width="15.140625" hidden="1" customWidth="1"/>
    <col min="10" max="10" width="16" hidden="1" customWidth="1"/>
  </cols>
  <sheetData>
    <row r="2" spans="2:10" x14ac:dyDescent="0.25">
      <c r="H2" s="2" t="s">
        <v>816</v>
      </c>
      <c r="I2" s="2" t="s">
        <v>817</v>
      </c>
      <c r="J2" t="s">
        <v>10</v>
      </c>
    </row>
    <row r="3" spans="2:10" x14ac:dyDescent="0.25">
      <c r="B3" s="2" t="s">
        <v>818</v>
      </c>
      <c r="C3" s="2" t="s">
        <v>819</v>
      </c>
      <c r="D3" s="2" t="s">
        <v>820</v>
      </c>
      <c r="E3" s="2" t="s">
        <v>821</v>
      </c>
      <c r="F3" s="2" t="s">
        <v>822</v>
      </c>
      <c r="H3" s="2" t="s">
        <v>823</v>
      </c>
      <c r="I3" s="2" t="s">
        <v>823</v>
      </c>
      <c r="J3" t="s">
        <v>14</v>
      </c>
    </row>
    <row r="4" spans="2:10" x14ac:dyDescent="0.25">
      <c r="B4" s="7">
        <v>45849</v>
      </c>
      <c r="C4" s="3">
        <f>YEAR(_SPECIFIEDvarPubDate)</f>
        <v>2025</v>
      </c>
      <c r="D4" s="4">
        <f>MONTH(_SPECIFIEDvarPubDate)</f>
        <v>7</v>
      </c>
      <c r="H4" s="1">
        <f>_xll.GetPrice("FP-PNL-0499","Actual","AssessmentDate",_SPECIFIEDvarPubDate-5)</f>
        <v>45841.442997685182</v>
      </c>
      <c r="I4" s="1" cm="1">
        <f t="array" ref="I4">_xll.GetPrice("FP-PNL-0499","Actual","AssessmentDate",IF(_xll.GetPrice("FP-PNL-0499","Actual","PreliminaryPrice",EDATE(_SPECIFIEDvarPubDate,-12)),_xll.GetPrice("FP-PNL-0499","Actual","AssessmentDate",EDATE(_SPECIFIEDvarPubDate,-12))-1,_xll.GetPrice("FP-PNL-0499","Actual","AssessmentDate",EDATE(_SPECIFIEDvarPubDate,-12))))</f>
        <v>45476.441979166666</v>
      </c>
      <c r="J4" t="s">
        <v>16</v>
      </c>
    </row>
    <row r="5" spans="2:10" x14ac:dyDescent="0.25">
      <c r="G5" s="5"/>
      <c r="J5" t="s">
        <v>18</v>
      </c>
    </row>
    <row r="6" spans="2:10" x14ac:dyDescent="0.25">
      <c r="J6" t="s">
        <v>20</v>
      </c>
    </row>
    <row r="7" spans="2:10" x14ac:dyDescent="0.25">
      <c r="J7" t="s">
        <v>22</v>
      </c>
    </row>
    <row r="8" spans="2:10" x14ac:dyDescent="0.25">
      <c r="J8" t="s">
        <v>24</v>
      </c>
    </row>
    <row r="9" spans="2:10" x14ac:dyDescent="0.25">
      <c r="J9" t="s">
        <v>26</v>
      </c>
    </row>
    <row r="10" spans="2:10" x14ac:dyDescent="0.25">
      <c r="J10" t="s">
        <v>28</v>
      </c>
    </row>
    <row r="11" spans="2:10" x14ac:dyDescent="0.25">
      <c r="B11" s="6" t="s">
        <v>824</v>
      </c>
      <c r="J11" t="s">
        <v>30</v>
      </c>
    </row>
    <row r="12" spans="2:10" x14ac:dyDescent="0.25">
      <c r="J12" t="s">
        <v>32</v>
      </c>
    </row>
    <row r="13" spans="2:10" x14ac:dyDescent="0.25">
      <c r="J13" t="s">
        <v>34</v>
      </c>
    </row>
    <row r="14" spans="2:10" x14ac:dyDescent="0.25">
      <c r="J14" t="s">
        <v>36</v>
      </c>
    </row>
    <row r="15" spans="2:10" x14ac:dyDescent="0.25">
      <c r="J15" t="s">
        <v>38</v>
      </c>
    </row>
    <row r="16" spans="2:10" x14ac:dyDescent="0.25">
      <c r="J16" t="s">
        <v>40</v>
      </c>
    </row>
    <row r="17" spans="10:10" x14ac:dyDescent="0.25">
      <c r="J17" t="s">
        <v>42</v>
      </c>
    </row>
    <row r="18" spans="10:10" x14ac:dyDescent="0.25">
      <c r="J18" t="s">
        <v>44</v>
      </c>
    </row>
    <row r="19" spans="10:10" x14ac:dyDescent="0.25">
      <c r="J19" t="s">
        <v>46</v>
      </c>
    </row>
    <row r="20" spans="10:10" x14ac:dyDescent="0.25">
      <c r="J20" t="s">
        <v>48</v>
      </c>
    </row>
    <row r="21" spans="10:10" x14ac:dyDescent="0.25">
      <c r="J21" t="s">
        <v>50</v>
      </c>
    </row>
    <row r="22" spans="10:10" x14ac:dyDescent="0.25">
      <c r="J22" t="s">
        <v>52</v>
      </c>
    </row>
    <row r="23" spans="10:10" x14ac:dyDescent="0.25">
      <c r="J23" t="s">
        <v>54</v>
      </c>
    </row>
    <row r="24" spans="10:10" x14ac:dyDescent="0.25">
      <c r="J24" t="s">
        <v>56</v>
      </c>
    </row>
    <row r="25" spans="10:10" x14ac:dyDescent="0.25">
      <c r="J25" t="s">
        <v>58</v>
      </c>
    </row>
    <row r="26" spans="10:10" x14ac:dyDescent="0.25">
      <c r="J26" t="s">
        <v>60</v>
      </c>
    </row>
    <row r="27" spans="10:10" x14ac:dyDescent="0.25">
      <c r="J27" t="s">
        <v>62</v>
      </c>
    </row>
    <row r="28" spans="10:10" x14ac:dyDescent="0.25">
      <c r="J28" t="s">
        <v>64</v>
      </c>
    </row>
    <row r="29" spans="10:10" x14ac:dyDescent="0.25">
      <c r="J29" t="s">
        <v>66</v>
      </c>
    </row>
    <row r="30" spans="10:10" x14ac:dyDescent="0.25">
      <c r="J30" t="s">
        <v>68</v>
      </c>
    </row>
    <row r="31" spans="10:10" x14ac:dyDescent="0.25">
      <c r="J31" t="s">
        <v>70</v>
      </c>
    </row>
    <row r="32" spans="10:10" x14ac:dyDescent="0.25">
      <c r="J32" t="s">
        <v>72</v>
      </c>
    </row>
    <row r="33" spans="10:10" x14ac:dyDescent="0.25">
      <c r="J33" t="s">
        <v>74</v>
      </c>
    </row>
    <row r="34" spans="10:10" x14ac:dyDescent="0.25">
      <c r="J34" t="s">
        <v>76</v>
      </c>
    </row>
    <row r="35" spans="10:10" x14ac:dyDescent="0.25">
      <c r="J35" t="s">
        <v>78</v>
      </c>
    </row>
    <row r="36" spans="10:10" x14ac:dyDescent="0.25">
      <c r="J36" t="s">
        <v>80</v>
      </c>
    </row>
    <row r="37" spans="10:10" x14ac:dyDescent="0.25">
      <c r="J37" t="s">
        <v>82</v>
      </c>
    </row>
    <row r="38" spans="10:10" x14ac:dyDescent="0.25">
      <c r="J38" t="s">
        <v>84</v>
      </c>
    </row>
    <row r="39" spans="10:10" x14ac:dyDescent="0.25">
      <c r="J39" t="s">
        <v>86</v>
      </c>
    </row>
    <row r="40" spans="10:10" x14ac:dyDescent="0.25">
      <c r="J40" t="s">
        <v>88</v>
      </c>
    </row>
    <row r="41" spans="10:10" x14ac:dyDescent="0.25">
      <c r="J41" t="s">
        <v>90</v>
      </c>
    </row>
    <row r="42" spans="10:10" x14ac:dyDescent="0.25">
      <c r="J42" t="s">
        <v>92</v>
      </c>
    </row>
    <row r="43" spans="10:10" x14ac:dyDescent="0.25">
      <c r="J43" t="s">
        <v>94</v>
      </c>
    </row>
    <row r="44" spans="10:10" x14ac:dyDescent="0.25">
      <c r="J44" t="s">
        <v>96</v>
      </c>
    </row>
    <row r="45" spans="10:10" x14ac:dyDescent="0.25">
      <c r="J45" t="s">
        <v>98</v>
      </c>
    </row>
    <row r="46" spans="10:10" x14ac:dyDescent="0.25">
      <c r="J46" t="s">
        <v>100</v>
      </c>
    </row>
    <row r="47" spans="10:10" x14ac:dyDescent="0.25">
      <c r="J47" t="s">
        <v>102</v>
      </c>
    </row>
    <row r="48" spans="10:10" x14ac:dyDescent="0.25">
      <c r="J48" t="s">
        <v>104</v>
      </c>
    </row>
    <row r="49" spans="10:10" x14ac:dyDescent="0.25">
      <c r="J49" t="s">
        <v>106</v>
      </c>
    </row>
    <row r="50" spans="10:10" x14ac:dyDescent="0.25">
      <c r="J50" t="s">
        <v>108</v>
      </c>
    </row>
    <row r="51" spans="10:10" x14ac:dyDescent="0.25">
      <c r="J51" t="s">
        <v>110</v>
      </c>
    </row>
    <row r="52" spans="10:10" x14ac:dyDescent="0.25">
      <c r="J52" t="s">
        <v>112</v>
      </c>
    </row>
    <row r="53" spans="10:10" x14ac:dyDescent="0.25">
      <c r="J53" t="s">
        <v>114</v>
      </c>
    </row>
    <row r="54" spans="10:10" x14ac:dyDescent="0.25">
      <c r="J54" t="s">
        <v>116</v>
      </c>
    </row>
    <row r="55" spans="10:10" x14ac:dyDescent="0.25">
      <c r="J55" t="s">
        <v>118</v>
      </c>
    </row>
    <row r="56" spans="10:10" x14ac:dyDescent="0.25">
      <c r="J56" t="s">
        <v>120</v>
      </c>
    </row>
    <row r="57" spans="10:10" x14ac:dyDescent="0.25">
      <c r="J57" t="s">
        <v>122</v>
      </c>
    </row>
    <row r="58" spans="10:10" x14ac:dyDescent="0.25">
      <c r="J58" t="s">
        <v>124</v>
      </c>
    </row>
    <row r="59" spans="10:10" x14ac:dyDescent="0.25">
      <c r="J59" t="s">
        <v>126</v>
      </c>
    </row>
    <row r="60" spans="10:10" x14ac:dyDescent="0.25">
      <c r="J60" t="s">
        <v>128</v>
      </c>
    </row>
    <row r="61" spans="10:10" x14ac:dyDescent="0.25">
      <c r="J61" t="s">
        <v>130</v>
      </c>
    </row>
    <row r="62" spans="10:10" x14ac:dyDescent="0.25">
      <c r="J62" t="s">
        <v>132</v>
      </c>
    </row>
    <row r="63" spans="10:10" x14ac:dyDescent="0.25">
      <c r="J63" t="s">
        <v>134</v>
      </c>
    </row>
    <row r="64" spans="10:10" x14ac:dyDescent="0.25">
      <c r="J64" t="s">
        <v>136</v>
      </c>
    </row>
    <row r="65" spans="10:10" x14ac:dyDescent="0.25">
      <c r="J65" t="s">
        <v>138</v>
      </c>
    </row>
    <row r="66" spans="10:10" x14ac:dyDescent="0.25">
      <c r="J66" t="s">
        <v>140</v>
      </c>
    </row>
    <row r="67" spans="10:10" x14ac:dyDescent="0.25">
      <c r="J67" t="s">
        <v>142</v>
      </c>
    </row>
    <row r="68" spans="10:10" x14ac:dyDescent="0.25">
      <c r="J68" t="s">
        <v>144</v>
      </c>
    </row>
    <row r="69" spans="10:10" x14ac:dyDescent="0.25">
      <c r="J69" t="s">
        <v>146</v>
      </c>
    </row>
    <row r="70" spans="10:10" x14ac:dyDescent="0.25">
      <c r="J70" t="s">
        <v>148</v>
      </c>
    </row>
    <row r="71" spans="10:10" x14ac:dyDescent="0.25">
      <c r="J71" t="s">
        <v>150</v>
      </c>
    </row>
    <row r="72" spans="10:10" x14ac:dyDescent="0.25">
      <c r="J72" t="s">
        <v>152</v>
      </c>
    </row>
    <row r="73" spans="10:10" x14ac:dyDescent="0.25">
      <c r="J73" t="s">
        <v>154</v>
      </c>
    </row>
    <row r="74" spans="10:10" x14ac:dyDescent="0.25">
      <c r="J74" t="s">
        <v>156</v>
      </c>
    </row>
    <row r="75" spans="10:10" x14ac:dyDescent="0.25">
      <c r="J75" t="s">
        <v>158</v>
      </c>
    </row>
    <row r="76" spans="10:10" x14ac:dyDescent="0.25">
      <c r="J76" t="s">
        <v>160</v>
      </c>
    </row>
    <row r="77" spans="10:10" x14ac:dyDescent="0.25">
      <c r="J77" t="s">
        <v>162</v>
      </c>
    </row>
    <row r="78" spans="10:10" x14ac:dyDescent="0.25">
      <c r="J78" t="s">
        <v>164</v>
      </c>
    </row>
    <row r="79" spans="10:10" x14ac:dyDescent="0.25">
      <c r="J79" t="s">
        <v>166</v>
      </c>
    </row>
    <row r="80" spans="10:10" x14ac:dyDescent="0.25">
      <c r="J80" t="s">
        <v>168</v>
      </c>
    </row>
    <row r="81" spans="10:10" x14ac:dyDescent="0.25">
      <c r="J81" t="s">
        <v>170</v>
      </c>
    </row>
    <row r="82" spans="10:10" x14ac:dyDescent="0.25">
      <c r="J82" t="s">
        <v>172</v>
      </c>
    </row>
    <row r="83" spans="10:10" x14ac:dyDescent="0.25">
      <c r="J83" t="s">
        <v>174</v>
      </c>
    </row>
    <row r="84" spans="10:10" x14ac:dyDescent="0.25">
      <c r="J84" t="s">
        <v>176</v>
      </c>
    </row>
    <row r="85" spans="10:10" x14ac:dyDescent="0.25">
      <c r="J85" t="s">
        <v>178</v>
      </c>
    </row>
    <row r="86" spans="10:10" x14ac:dyDescent="0.25">
      <c r="J86" t="s">
        <v>180</v>
      </c>
    </row>
    <row r="87" spans="10:10" x14ac:dyDescent="0.25">
      <c r="J87" t="s">
        <v>182</v>
      </c>
    </row>
    <row r="88" spans="10:10" x14ac:dyDescent="0.25">
      <c r="J88" t="s">
        <v>183</v>
      </c>
    </row>
    <row r="89" spans="10:10" x14ac:dyDescent="0.25">
      <c r="J89" t="s">
        <v>184</v>
      </c>
    </row>
    <row r="90" spans="10:10" x14ac:dyDescent="0.25">
      <c r="J90" t="s">
        <v>185</v>
      </c>
    </row>
    <row r="91" spans="10:10" x14ac:dyDescent="0.25">
      <c r="J91" t="s">
        <v>186</v>
      </c>
    </row>
    <row r="92" spans="10:10" x14ac:dyDescent="0.25">
      <c r="J92" t="s">
        <v>188</v>
      </c>
    </row>
    <row r="93" spans="10:10" x14ac:dyDescent="0.25">
      <c r="J93" t="s">
        <v>190</v>
      </c>
    </row>
    <row r="94" spans="10:10" x14ac:dyDescent="0.25">
      <c r="J94" t="s">
        <v>192</v>
      </c>
    </row>
    <row r="95" spans="10:10" x14ac:dyDescent="0.25">
      <c r="J95" t="s">
        <v>194</v>
      </c>
    </row>
    <row r="96" spans="10:10" x14ac:dyDescent="0.25">
      <c r="J96" t="s">
        <v>196</v>
      </c>
    </row>
    <row r="97" spans="10:10" x14ac:dyDescent="0.25">
      <c r="J97" t="s">
        <v>198</v>
      </c>
    </row>
    <row r="98" spans="10:10" x14ac:dyDescent="0.25">
      <c r="J98" t="s">
        <v>200</v>
      </c>
    </row>
    <row r="99" spans="10:10" x14ac:dyDescent="0.25">
      <c r="J99" t="s">
        <v>202</v>
      </c>
    </row>
    <row r="100" spans="10:10" x14ac:dyDescent="0.25">
      <c r="J100" t="s">
        <v>204</v>
      </c>
    </row>
    <row r="101" spans="10:10" x14ac:dyDescent="0.25">
      <c r="J101" t="s">
        <v>206</v>
      </c>
    </row>
    <row r="102" spans="10:10" x14ac:dyDescent="0.25">
      <c r="J102" t="s">
        <v>208</v>
      </c>
    </row>
    <row r="103" spans="10:10" x14ac:dyDescent="0.25">
      <c r="J103" t="s">
        <v>210</v>
      </c>
    </row>
    <row r="104" spans="10:10" x14ac:dyDescent="0.25">
      <c r="J104" t="s">
        <v>212</v>
      </c>
    </row>
    <row r="105" spans="10:10" x14ac:dyDescent="0.25">
      <c r="J105" t="s">
        <v>214</v>
      </c>
    </row>
    <row r="106" spans="10:10" x14ac:dyDescent="0.25">
      <c r="J106" t="s">
        <v>216</v>
      </c>
    </row>
    <row r="107" spans="10:10" x14ac:dyDescent="0.25">
      <c r="J107" t="s">
        <v>218</v>
      </c>
    </row>
    <row r="108" spans="10:10" x14ac:dyDescent="0.25">
      <c r="J108" t="s">
        <v>220</v>
      </c>
    </row>
    <row r="109" spans="10:10" x14ac:dyDescent="0.25">
      <c r="J109" t="s">
        <v>222</v>
      </c>
    </row>
    <row r="110" spans="10:10" x14ac:dyDescent="0.25">
      <c r="J110" t="s">
        <v>224</v>
      </c>
    </row>
    <row r="111" spans="10:10" x14ac:dyDescent="0.25">
      <c r="J111" t="s">
        <v>226</v>
      </c>
    </row>
    <row r="112" spans="10:10" x14ac:dyDescent="0.25">
      <c r="J112" t="s">
        <v>228</v>
      </c>
    </row>
    <row r="113" spans="10:10" x14ac:dyDescent="0.25">
      <c r="J113" t="s">
        <v>230</v>
      </c>
    </row>
    <row r="114" spans="10:10" x14ac:dyDescent="0.25">
      <c r="J114" t="s">
        <v>232</v>
      </c>
    </row>
    <row r="115" spans="10:10" x14ac:dyDescent="0.25">
      <c r="J115" t="s">
        <v>234</v>
      </c>
    </row>
    <row r="116" spans="10:10" x14ac:dyDescent="0.25">
      <c r="J116" t="s">
        <v>236</v>
      </c>
    </row>
    <row r="117" spans="10:10" x14ac:dyDescent="0.25">
      <c r="J117" t="s">
        <v>238</v>
      </c>
    </row>
    <row r="118" spans="10:10" x14ac:dyDescent="0.25">
      <c r="J118" t="s">
        <v>240</v>
      </c>
    </row>
    <row r="119" spans="10:10" x14ac:dyDescent="0.25">
      <c r="J119" t="s">
        <v>242</v>
      </c>
    </row>
    <row r="120" spans="10:10" x14ac:dyDescent="0.25">
      <c r="J120" t="s">
        <v>244</v>
      </c>
    </row>
    <row r="121" spans="10:10" x14ac:dyDescent="0.25">
      <c r="J121" t="s">
        <v>246</v>
      </c>
    </row>
    <row r="122" spans="10:10" x14ac:dyDescent="0.25">
      <c r="J122" t="s">
        <v>248</v>
      </c>
    </row>
    <row r="123" spans="10:10" x14ac:dyDescent="0.25">
      <c r="J123" t="s">
        <v>250</v>
      </c>
    </row>
    <row r="124" spans="10:10" x14ac:dyDescent="0.25">
      <c r="J124" t="s">
        <v>252</v>
      </c>
    </row>
    <row r="125" spans="10:10" x14ac:dyDescent="0.25">
      <c r="J125" t="s">
        <v>254</v>
      </c>
    </row>
    <row r="126" spans="10:10" x14ac:dyDescent="0.25">
      <c r="J126" t="s">
        <v>256</v>
      </c>
    </row>
    <row r="127" spans="10:10" x14ac:dyDescent="0.25">
      <c r="J127" t="s">
        <v>258</v>
      </c>
    </row>
    <row r="128" spans="10:10" x14ac:dyDescent="0.25">
      <c r="J128" t="s">
        <v>260</v>
      </c>
    </row>
    <row r="129" spans="10:10" x14ac:dyDescent="0.25">
      <c r="J129" t="s">
        <v>262</v>
      </c>
    </row>
    <row r="130" spans="10:10" x14ac:dyDescent="0.25">
      <c r="J130" t="s">
        <v>264</v>
      </c>
    </row>
    <row r="131" spans="10:10" x14ac:dyDescent="0.25">
      <c r="J131" t="s">
        <v>266</v>
      </c>
    </row>
    <row r="132" spans="10:10" x14ac:dyDescent="0.25">
      <c r="J132" t="s">
        <v>268</v>
      </c>
    </row>
    <row r="133" spans="10:10" x14ac:dyDescent="0.25">
      <c r="J133" t="s">
        <v>270</v>
      </c>
    </row>
    <row r="134" spans="10:10" x14ac:dyDescent="0.25">
      <c r="J134" t="s">
        <v>272</v>
      </c>
    </row>
    <row r="135" spans="10:10" x14ac:dyDescent="0.25">
      <c r="J135" t="s">
        <v>274</v>
      </c>
    </row>
    <row r="136" spans="10:10" x14ac:dyDescent="0.25">
      <c r="J136" t="s">
        <v>276</v>
      </c>
    </row>
    <row r="137" spans="10:10" x14ac:dyDescent="0.25">
      <c r="J137" t="s">
        <v>277</v>
      </c>
    </row>
    <row r="138" spans="10:10" x14ac:dyDescent="0.25">
      <c r="J138" t="s">
        <v>278</v>
      </c>
    </row>
    <row r="139" spans="10:10" x14ac:dyDescent="0.25">
      <c r="J139" t="s">
        <v>280</v>
      </c>
    </row>
    <row r="140" spans="10:10" x14ac:dyDescent="0.25">
      <c r="J140" t="s">
        <v>282</v>
      </c>
    </row>
    <row r="141" spans="10:10" x14ac:dyDescent="0.25">
      <c r="J141" t="s">
        <v>284</v>
      </c>
    </row>
    <row r="142" spans="10:10" x14ac:dyDescent="0.25">
      <c r="J142" t="s">
        <v>286</v>
      </c>
    </row>
    <row r="143" spans="10:10" x14ac:dyDescent="0.25">
      <c r="J143" t="s">
        <v>288</v>
      </c>
    </row>
    <row r="144" spans="10:10" x14ac:dyDescent="0.25">
      <c r="J144" t="s">
        <v>290</v>
      </c>
    </row>
    <row r="145" spans="10:10" x14ac:dyDescent="0.25">
      <c r="J145" t="s">
        <v>292</v>
      </c>
    </row>
    <row r="146" spans="10:10" x14ac:dyDescent="0.25">
      <c r="J146" t="s">
        <v>294</v>
      </c>
    </row>
    <row r="147" spans="10:10" x14ac:dyDescent="0.25">
      <c r="J147" t="s">
        <v>296</v>
      </c>
    </row>
    <row r="148" spans="10:10" x14ac:dyDescent="0.25">
      <c r="J148" t="s">
        <v>298</v>
      </c>
    </row>
    <row r="149" spans="10:10" x14ac:dyDescent="0.25">
      <c r="J149" t="s">
        <v>300</v>
      </c>
    </row>
    <row r="150" spans="10:10" x14ac:dyDescent="0.25">
      <c r="J150" t="s">
        <v>302</v>
      </c>
    </row>
    <row r="151" spans="10:10" x14ac:dyDescent="0.25">
      <c r="J151" t="s">
        <v>304</v>
      </c>
    </row>
    <row r="152" spans="10:10" x14ac:dyDescent="0.25">
      <c r="J152" t="s">
        <v>306</v>
      </c>
    </row>
    <row r="153" spans="10:10" x14ac:dyDescent="0.25">
      <c r="J153" t="s">
        <v>308</v>
      </c>
    </row>
    <row r="154" spans="10:10" x14ac:dyDescent="0.25">
      <c r="J154" t="s">
        <v>310</v>
      </c>
    </row>
    <row r="155" spans="10:10" x14ac:dyDescent="0.25">
      <c r="J155" t="s">
        <v>312</v>
      </c>
    </row>
    <row r="156" spans="10:10" x14ac:dyDescent="0.25">
      <c r="J156" t="s">
        <v>313</v>
      </c>
    </row>
    <row r="157" spans="10:10" x14ac:dyDescent="0.25">
      <c r="J157" t="s">
        <v>314</v>
      </c>
    </row>
    <row r="158" spans="10:10" x14ac:dyDescent="0.25">
      <c r="J158" t="s">
        <v>316</v>
      </c>
    </row>
    <row r="159" spans="10:10" x14ac:dyDescent="0.25">
      <c r="J159" t="s">
        <v>318</v>
      </c>
    </row>
    <row r="160" spans="10:10" x14ac:dyDescent="0.25">
      <c r="J160" t="s">
        <v>320</v>
      </c>
    </row>
    <row r="161" spans="10:10" x14ac:dyDescent="0.25">
      <c r="J161" t="s">
        <v>322</v>
      </c>
    </row>
    <row r="162" spans="10:10" x14ac:dyDescent="0.25">
      <c r="J162" t="s">
        <v>324</v>
      </c>
    </row>
    <row r="163" spans="10:10" x14ac:dyDescent="0.25">
      <c r="J163" t="s">
        <v>326</v>
      </c>
    </row>
    <row r="164" spans="10:10" x14ac:dyDescent="0.25">
      <c r="J164" t="s">
        <v>328</v>
      </c>
    </row>
    <row r="165" spans="10:10" x14ac:dyDescent="0.25">
      <c r="J165" t="s">
        <v>330</v>
      </c>
    </row>
    <row r="166" spans="10:10" x14ac:dyDescent="0.25">
      <c r="J166" t="s">
        <v>332</v>
      </c>
    </row>
    <row r="167" spans="10:10" x14ac:dyDescent="0.25">
      <c r="J167" t="s">
        <v>334</v>
      </c>
    </row>
    <row r="168" spans="10:10" x14ac:dyDescent="0.25">
      <c r="J168" t="s">
        <v>336</v>
      </c>
    </row>
    <row r="169" spans="10:10" x14ac:dyDescent="0.25">
      <c r="J169" t="s">
        <v>338</v>
      </c>
    </row>
    <row r="170" spans="10:10" x14ac:dyDescent="0.25">
      <c r="J170" t="s">
        <v>340</v>
      </c>
    </row>
    <row r="171" spans="10:10" x14ac:dyDescent="0.25">
      <c r="J171" t="s">
        <v>342</v>
      </c>
    </row>
    <row r="172" spans="10:10" x14ac:dyDescent="0.25">
      <c r="J172" t="s">
        <v>344</v>
      </c>
    </row>
    <row r="173" spans="10:10" x14ac:dyDescent="0.25">
      <c r="J173" t="s">
        <v>345</v>
      </c>
    </row>
    <row r="174" spans="10:10" x14ac:dyDescent="0.25">
      <c r="J174" t="s">
        <v>347</v>
      </c>
    </row>
    <row r="175" spans="10:10" x14ac:dyDescent="0.25">
      <c r="J175" t="s">
        <v>349</v>
      </c>
    </row>
    <row r="176" spans="10:10" x14ac:dyDescent="0.25">
      <c r="J176" t="s">
        <v>351</v>
      </c>
    </row>
    <row r="177" spans="10:10" x14ac:dyDescent="0.25">
      <c r="J177" t="s">
        <v>353</v>
      </c>
    </row>
    <row r="178" spans="10:10" x14ac:dyDescent="0.25">
      <c r="J178" t="s">
        <v>355</v>
      </c>
    </row>
    <row r="179" spans="10:10" x14ac:dyDescent="0.25">
      <c r="J179" t="s">
        <v>357</v>
      </c>
    </row>
    <row r="180" spans="10:10" x14ac:dyDescent="0.25">
      <c r="J180" t="s">
        <v>359</v>
      </c>
    </row>
    <row r="181" spans="10:10" x14ac:dyDescent="0.25">
      <c r="J181" t="s">
        <v>361</v>
      </c>
    </row>
    <row r="182" spans="10:10" x14ac:dyDescent="0.25">
      <c r="J182" t="s">
        <v>363</v>
      </c>
    </row>
    <row r="183" spans="10:10" x14ac:dyDescent="0.25">
      <c r="J183" t="s">
        <v>365</v>
      </c>
    </row>
    <row r="184" spans="10:10" x14ac:dyDescent="0.25">
      <c r="J184" t="s">
        <v>367</v>
      </c>
    </row>
    <row r="185" spans="10:10" x14ac:dyDescent="0.25">
      <c r="J185" t="s">
        <v>369</v>
      </c>
    </row>
    <row r="186" spans="10:10" x14ac:dyDescent="0.25">
      <c r="J186" t="s">
        <v>371</v>
      </c>
    </row>
    <row r="187" spans="10:10" x14ac:dyDescent="0.25">
      <c r="J187" t="s">
        <v>373</v>
      </c>
    </row>
    <row r="188" spans="10:10" x14ac:dyDescent="0.25">
      <c r="J188" t="s">
        <v>375</v>
      </c>
    </row>
    <row r="189" spans="10:10" x14ac:dyDescent="0.25">
      <c r="J189" t="s">
        <v>376</v>
      </c>
    </row>
    <row r="190" spans="10:10" x14ac:dyDescent="0.25">
      <c r="J190" t="s">
        <v>378</v>
      </c>
    </row>
    <row r="191" spans="10:10" x14ac:dyDescent="0.25">
      <c r="J191" t="s">
        <v>380</v>
      </c>
    </row>
    <row r="192" spans="10:10" x14ac:dyDescent="0.25">
      <c r="J192" t="s">
        <v>382</v>
      </c>
    </row>
    <row r="193" spans="10:10" x14ac:dyDescent="0.25">
      <c r="J193" t="s">
        <v>384</v>
      </c>
    </row>
    <row r="194" spans="10:10" x14ac:dyDescent="0.25">
      <c r="J194" t="s">
        <v>386</v>
      </c>
    </row>
    <row r="195" spans="10:10" x14ac:dyDescent="0.25">
      <c r="J195" t="s">
        <v>388</v>
      </c>
    </row>
    <row r="196" spans="10:10" x14ac:dyDescent="0.25">
      <c r="J196" t="s">
        <v>390</v>
      </c>
    </row>
    <row r="197" spans="10:10" x14ac:dyDescent="0.25">
      <c r="J197" t="s">
        <v>392</v>
      </c>
    </row>
    <row r="198" spans="10:10" x14ac:dyDescent="0.25">
      <c r="J198" t="s">
        <v>394</v>
      </c>
    </row>
    <row r="199" spans="10:10" x14ac:dyDescent="0.25">
      <c r="J199" t="s">
        <v>396</v>
      </c>
    </row>
    <row r="200" spans="10:10" x14ac:dyDescent="0.25">
      <c r="J200" t="s">
        <v>398</v>
      </c>
    </row>
    <row r="201" spans="10:10" x14ac:dyDescent="0.25">
      <c r="J201" t="s">
        <v>400</v>
      </c>
    </row>
    <row r="202" spans="10:10" x14ac:dyDescent="0.25">
      <c r="J202" t="s">
        <v>402</v>
      </c>
    </row>
    <row r="203" spans="10:10" x14ac:dyDescent="0.25">
      <c r="J203" t="s">
        <v>404</v>
      </c>
    </row>
    <row r="204" spans="10:10" x14ac:dyDescent="0.25">
      <c r="J204" t="s">
        <v>406</v>
      </c>
    </row>
    <row r="205" spans="10:10" x14ac:dyDescent="0.25">
      <c r="J205" t="s">
        <v>408</v>
      </c>
    </row>
    <row r="206" spans="10:10" x14ac:dyDescent="0.25">
      <c r="J206" t="s">
        <v>410</v>
      </c>
    </row>
    <row r="207" spans="10:10" x14ac:dyDescent="0.25">
      <c r="J207" t="s">
        <v>412</v>
      </c>
    </row>
    <row r="208" spans="10:10" x14ac:dyDescent="0.25">
      <c r="J208" t="s">
        <v>414</v>
      </c>
    </row>
    <row r="209" spans="10:10" x14ac:dyDescent="0.25">
      <c r="J209" t="s">
        <v>416</v>
      </c>
    </row>
    <row r="210" spans="10:10" x14ac:dyDescent="0.25">
      <c r="J210" t="s">
        <v>418</v>
      </c>
    </row>
    <row r="211" spans="10:10" x14ac:dyDescent="0.25">
      <c r="J211" t="s">
        <v>420</v>
      </c>
    </row>
    <row r="212" spans="10:10" x14ac:dyDescent="0.25">
      <c r="J212" t="s">
        <v>422</v>
      </c>
    </row>
    <row r="213" spans="10:10" x14ac:dyDescent="0.25">
      <c r="J213" t="s">
        <v>424</v>
      </c>
    </row>
    <row r="214" spans="10:10" x14ac:dyDescent="0.25">
      <c r="J214" t="s">
        <v>426</v>
      </c>
    </row>
    <row r="215" spans="10:10" x14ac:dyDescent="0.25">
      <c r="J215" t="s">
        <v>428</v>
      </c>
    </row>
    <row r="216" spans="10:10" x14ac:dyDescent="0.25">
      <c r="J216" t="s">
        <v>430</v>
      </c>
    </row>
    <row r="217" spans="10:10" x14ac:dyDescent="0.25">
      <c r="J217" t="s">
        <v>432</v>
      </c>
    </row>
    <row r="218" spans="10:10" x14ac:dyDescent="0.25">
      <c r="J218" t="s">
        <v>434</v>
      </c>
    </row>
    <row r="219" spans="10:10" x14ac:dyDescent="0.25">
      <c r="J219" t="s">
        <v>436</v>
      </c>
    </row>
    <row r="220" spans="10:10" x14ac:dyDescent="0.25">
      <c r="J220" t="s">
        <v>438</v>
      </c>
    </row>
    <row r="221" spans="10:10" x14ac:dyDescent="0.25">
      <c r="J221" t="s">
        <v>440</v>
      </c>
    </row>
    <row r="222" spans="10:10" x14ac:dyDescent="0.25">
      <c r="J222" t="s">
        <v>442</v>
      </c>
    </row>
    <row r="223" spans="10:10" x14ac:dyDescent="0.25">
      <c r="J223" t="s">
        <v>444</v>
      </c>
    </row>
    <row r="224" spans="10:10" x14ac:dyDescent="0.25">
      <c r="J224" t="s">
        <v>446</v>
      </c>
    </row>
    <row r="225" spans="10:10" x14ac:dyDescent="0.25">
      <c r="J225" t="s">
        <v>448</v>
      </c>
    </row>
    <row r="226" spans="10:10" x14ac:dyDescent="0.25">
      <c r="J226" t="s">
        <v>450</v>
      </c>
    </row>
    <row r="227" spans="10:10" x14ac:dyDescent="0.25">
      <c r="J227" t="s">
        <v>452</v>
      </c>
    </row>
    <row r="228" spans="10:10" x14ac:dyDescent="0.25">
      <c r="J228" t="s">
        <v>454</v>
      </c>
    </row>
    <row r="229" spans="10:10" x14ac:dyDescent="0.25">
      <c r="J229" t="s">
        <v>456</v>
      </c>
    </row>
    <row r="230" spans="10:10" x14ac:dyDescent="0.25">
      <c r="J230" t="s">
        <v>458</v>
      </c>
    </row>
    <row r="231" spans="10:10" x14ac:dyDescent="0.25">
      <c r="J231" t="s">
        <v>460</v>
      </c>
    </row>
    <row r="232" spans="10:10" x14ac:dyDescent="0.25">
      <c r="J232" t="s">
        <v>462</v>
      </c>
    </row>
    <row r="233" spans="10:10" x14ac:dyDescent="0.25">
      <c r="J233" t="s">
        <v>464</v>
      </c>
    </row>
    <row r="234" spans="10:10" x14ac:dyDescent="0.25">
      <c r="J234" t="s">
        <v>466</v>
      </c>
    </row>
    <row r="235" spans="10:10" x14ac:dyDescent="0.25">
      <c r="J235" t="s">
        <v>468</v>
      </c>
    </row>
    <row r="236" spans="10:10" x14ac:dyDescent="0.25">
      <c r="J236" t="s">
        <v>470</v>
      </c>
    </row>
    <row r="237" spans="10:10" x14ac:dyDescent="0.25">
      <c r="J237" t="s">
        <v>470</v>
      </c>
    </row>
    <row r="238" spans="10:10" x14ac:dyDescent="0.25">
      <c r="J238" t="s">
        <v>474</v>
      </c>
    </row>
    <row r="239" spans="10:10" x14ac:dyDescent="0.25">
      <c r="J239" t="s">
        <v>476</v>
      </c>
    </row>
    <row r="240" spans="10:10" x14ac:dyDescent="0.25">
      <c r="J240" t="s">
        <v>478</v>
      </c>
    </row>
    <row r="241" spans="10:10" x14ac:dyDescent="0.25">
      <c r="J241" t="s">
        <v>480</v>
      </c>
    </row>
    <row r="242" spans="10:10" x14ac:dyDescent="0.25">
      <c r="J242" t="s">
        <v>482</v>
      </c>
    </row>
    <row r="243" spans="10:10" x14ac:dyDescent="0.25">
      <c r="J243" t="s">
        <v>484</v>
      </c>
    </row>
    <row r="244" spans="10:10" x14ac:dyDescent="0.25">
      <c r="J244" t="s">
        <v>484</v>
      </c>
    </row>
    <row r="245" spans="10:10" x14ac:dyDescent="0.25">
      <c r="J245" t="s">
        <v>488</v>
      </c>
    </row>
    <row r="246" spans="10:10" x14ac:dyDescent="0.25">
      <c r="J246" t="s">
        <v>490</v>
      </c>
    </row>
    <row r="247" spans="10:10" x14ac:dyDescent="0.25">
      <c r="J247" t="s">
        <v>492</v>
      </c>
    </row>
    <row r="248" spans="10:10" x14ac:dyDescent="0.25">
      <c r="J248" t="s">
        <v>494</v>
      </c>
    </row>
    <row r="249" spans="10:10" x14ac:dyDescent="0.25">
      <c r="J249" t="s">
        <v>496</v>
      </c>
    </row>
    <row r="250" spans="10:10" x14ac:dyDescent="0.25">
      <c r="J250" t="s">
        <v>498</v>
      </c>
    </row>
    <row r="251" spans="10:10" x14ac:dyDescent="0.25">
      <c r="J251" t="s">
        <v>500</v>
      </c>
    </row>
    <row r="252" spans="10:10" x14ac:dyDescent="0.25">
      <c r="J252" t="s">
        <v>502</v>
      </c>
    </row>
    <row r="253" spans="10:10" x14ac:dyDescent="0.25">
      <c r="J253" t="s">
        <v>504</v>
      </c>
    </row>
    <row r="254" spans="10:10" x14ac:dyDescent="0.25">
      <c r="J254" t="s">
        <v>506</v>
      </c>
    </row>
    <row r="255" spans="10:10" x14ac:dyDescent="0.25">
      <c r="J255" t="s">
        <v>508</v>
      </c>
    </row>
    <row r="256" spans="10:10" x14ac:dyDescent="0.25">
      <c r="J256" t="s">
        <v>510</v>
      </c>
    </row>
    <row r="257" spans="10:10" x14ac:dyDescent="0.25">
      <c r="J257" t="s">
        <v>470</v>
      </c>
    </row>
    <row r="258" spans="10:10" x14ac:dyDescent="0.25">
      <c r="J258" t="s">
        <v>513</v>
      </c>
    </row>
    <row r="259" spans="10:10" x14ac:dyDescent="0.25">
      <c r="J259" t="s">
        <v>515</v>
      </c>
    </row>
    <row r="260" spans="10:10" x14ac:dyDescent="0.25">
      <c r="J260" t="s">
        <v>517</v>
      </c>
    </row>
    <row r="261" spans="10:10" x14ac:dyDescent="0.25">
      <c r="J261" t="s">
        <v>519</v>
      </c>
    </row>
    <row r="262" spans="10:10" x14ac:dyDescent="0.25">
      <c r="J262" t="s">
        <v>521</v>
      </c>
    </row>
    <row r="263" spans="10:10" x14ac:dyDescent="0.25">
      <c r="J263" t="s">
        <v>523</v>
      </c>
    </row>
    <row r="264" spans="10:10" x14ac:dyDescent="0.25">
      <c r="J264" t="s">
        <v>525</v>
      </c>
    </row>
    <row r="265" spans="10:10" x14ac:dyDescent="0.25">
      <c r="J265" t="s">
        <v>527</v>
      </c>
    </row>
    <row r="266" spans="10:10" x14ac:dyDescent="0.25">
      <c r="J266" t="s">
        <v>529</v>
      </c>
    </row>
    <row r="267" spans="10:10" x14ac:dyDescent="0.25">
      <c r="J267" t="s">
        <v>531</v>
      </c>
    </row>
    <row r="268" spans="10:10" x14ac:dyDescent="0.25">
      <c r="J268" t="s">
        <v>533</v>
      </c>
    </row>
    <row r="269" spans="10:10" x14ac:dyDescent="0.25">
      <c r="J269" t="s">
        <v>535</v>
      </c>
    </row>
    <row r="270" spans="10:10" x14ac:dyDescent="0.25">
      <c r="J270" t="s">
        <v>537</v>
      </c>
    </row>
    <row r="271" spans="10:10" x14ac:dyDescent="0.25">
      <c r="J271" t="s">
        <v>533</v>
      </c>
    </row>
    <row r="272" spans="10:10" x14ac:dyDescent="0.25">
      <c r="J272" t="s">
        <v>535</v>
      </c>
    </row>
    <row r="273" spans="10:10" x14ac:dyDescent="0.25">
      <c r="J273" t="s">
        <v>537</v>
      </c>
    </row>
    <row r="274" spans="10:10" x14ac:dyDescent="0.25">
      <c r="J274" t="s">
        <v>533</v>
      </c>
    </row>
    <row r="275" spans="10:10" x14ac:dyDescent="0.25">
      <c r="J275" t="s">
        <v>535</v>
      </c>
    </row>
    <row r="276" spans="10:10" x14ac:dyDescent="0.25">
      <c r="J276" t="s">
        <v>537</v>
      </c>
    </row>
    <row r="277" spans="10:10" x14ac:dyDescent="0.25">
      <c r="J277" t="s">
        <v>545</v>
      </c>
    </row>
    <row r="278" spans="10:10" x14ac:dyDescent="0.25">
      <c r="J278" t="s">
        <v>547</v>
      </c>
    </row>
    <row r="279" spans="10:10" x14ac:dyDescent="0.25">
      <c r="J279" t="s">
        <v>549</v>
      </c>
    </row>
    <row r="280" spans="10:10" x14ac:dyDescent="0.25">
      <c r="J280" t="s">
        <v>551</v>
      </c>
    </row>
    <row r="281" spans="10:10" x14ac:dyDescent="0.25">
      <c r="J281" t="s">
        <v>553</v>
      </c>
    </row>
    <row r="282" spans="10:10" x14ac:dyDescent="0.25">
      <c r="J282" t="s">
        <v>555</v>
      </c>
    </row>
    <row r="283" spans="10:10" x14ac:dyDescent="0.25">
      <c r="J283" t="s">
        <v>557</v>
      </c>
    </row>
    <row r="284" spans="10:10" x14ac:dyDescent="0.25">
      <c r="J284" t="s">
        <v>559</v>
      </c>
    </row>
    <row r="285" spans="10:10" x14ac:dyDescent="0.25">
      <c r="J285" t="s">
        <v>561</v>
      </c>
    </row>
    <row r="286" spans="10:10" x14ac:dyDescent="0.25">
      <c r="J286" t="s">
        <v>563</v>
      </c>
    </row>
    <row r="287" spans="10:10" x14ac:dyDescent="0.25">
      <c r="J287" t="s">
        <v>565</v>
      </c>
    </row>
    <row r="288" spans="10:10" x14ac:dyDescent="0.25">
      <c r="J288" t="s">
        <v>567</v>
      </c>
    </row>
    <row r="289" spans="10:10" x14ac:dyDescent="0.25">
      <c r="J289" t="s">
        <v>569</v>
      </c>
    </row>
    <row r="290" spans="10:10" x14ac:dyDescent="0.25">
      <c r="J290" t="s">
        <v>571</v>
      </c>
    </row>
    <row r="291" spans="10:10" x14ac:dyDescent="0.25">
      <c r="J291" t="s">
        <v>573</v>
      </c>
    </row>
    <row r="292" spans="10:10" x14ac:dyDescent="0.25">
      <c r="J292" t="s">
        <v>575</v>
      </c>
    </row>
    <row r="293" spans="10:10" x14ac:dyDescent="0.25">
      <c r="J293" t="s">
        <v>577</v>
      </c>
    </row>
    <row r="294" spans="10:10" x14ac:dyDescent="0.25">
      <c r="J294" t="s">
        <v>579</v>
      </c>
    </row>
    <row r="295" spans="10:10" x14ac:dyDescent="0.25">
      <c r="J295" t="s">
        <v>581</v>
      </c>
    </row>
    <row r="296" spans="10:10" x14ac:dyDescent="0.25">
      <c r="J296" t="s">
        <v>583</v>
      </c>
    </row>
    <row r="297" spans="10:10" x14ac:dyDescent="0.25">
      <c r="J297" t="s">
        <v>585</v>
      </c>
    </row>
    <row r="298" spans="10:10" x14ac:dyDescent="0.25">
      <c r="J298" t="s">
        <v>587</v>
      </c>
    </row>
    <row r="299" spans="10:10" x14ac:dyDescent="0.25">
      <c r="J299" t="s">
        <v>589</v>
      </c>
    </row>
    <row r="300" spans="10:10" x14ac:dyDescent="0.25">
      <c r="J300" t="s">
        <v>591</v>
      </c>
    </row>
    <row r="301" spans="10:10" x14ac:dyDescent="0.25">
      <c r="J301" t="s">
        <v>593</v>
      </c>
    </row>
    <row r="302" spans="10:10" x14ac:dyDescent="0.25">
      <c r="J302" t="s">
        <v>595</v>
      </c>
    </row>
    <row r="303" spans="10:10" x14ac:dyDescent="0.25">
      <c r="J303" t="s">
        <v>597</v>
      </c>
    </row>
    <row r="304" spans="10:10" x14ac:dyDescent="0.25">
      <c r="J304" t="s">
        <v>599</v>
      </c>
    </row>
    <row r="305" spans="10:10" x14ac:dyDescent="0.25">
      <c r="J305" t="s">
        <v>601</v>
      </c>
    </row>
    <row r="306" spans="10:10" x14ac:dyDescent="0.25">
      <c r="J306" t="s">
        <v>603</v>
      </c>
    </row>
    <row r="307" spans="10:10" x14ac:dyDescent="0.25">
      <c r="J307" t="s">
        <v>605</v>
      </c>
    </row>
    <row r="308" spans="10:10" x14ac:dyDescent="0.25">
      <c r="J308" t="s">
        <v>607</v>
      </c>
    </row>
    <row r="309" spans="10:10" x14ac:dyDescent="0.25">
      <c r="J309" t="s">
        <v>609</v>
      </c>
    </row>
    <row r="310" spans="10:10" x14ac:dyDescent="0.25">
      <c r="J310" t="s">
        <v>611</v>
      </c>
    </row>
    <row r="311" spans="10:10" x14ac:dyDescent="0.25">
      <c r="J311" t="s">
        <v>613</v>
      </c>
    </row>
    <row r="312" spans="10:10" x14ac:dyDescent="0.25">
      <c r="J312" t="s">
        <v>615</v>
      </c>
    </row>
    <row r="313" spans="10:10" x14ac:dyDescent="0.25">
      <c r="J313" t="s">
        <v>617</v>
      </c>
    </row>
    <row r="314" spans="10:10" x14ac:dyDescent="0.25">
      <c r="J314" t="s">
        <v>619</v>
      </c>
    </row>
    <row r="315" spans="10:10" x14ac:dyDescent="0.25">
      <c r="J315" t="s">
        <v>621</v>
      </c>
    </row>
    <row r="316" spans="10:10" x14ac:dyDescent="0.25">
      <c r="J316" t="s">
        <v>623</v>
      </c>
    </row>
    <row r="317" spans="10:10" x14ac:dyDescent="0.25">
      <c r="J317" t="s">
        <v>625</v>
      </c>
    </row>
    <row r="318" spans="10:10" x14ac:dyDescent="0.25">
      <c r="J318" t="s">
        <v>627</v>
      </c>
    </row>
    <row r="319" spans="10:10" x14ac:dyDescent="0.25">
      <c r="J319" t="s">
        <v>629</v>
      </c>
    </row>
    <row r="320" spans="10:10" x14ac:dyDescent="0.25">
      <c r="J320" t="s">
        <v>631</v>
      </c>
    </row>
    <row r="321" spans="10:10" x14ac:dyDescent="0.25">
      <c r="J321" t="s">
        <v>633</v>
      </c>
    </row>
    <row r="322" spans="10:10" x14ac:dyDescent="0.25">
      <c r="J322" t="s">
        <v>635</v>
      </c>
    </row>
    <row r="323" spans="10:10" x14ac:dyDescent="0.25">
      <c r="J323" t="s">
        <v>637</v>
      </c>
    </row>
    <row r="324" spans="10:10" x14ac:dyDescent="0.25">
      <c r="J324" t="s">
        <v>639</v>
      </c>
    </row>
    <row r="325" spans="10:10" x14ac:dyDescent="0.25">
      <c r="J325" t="s">
        <v>641</v>
      </c>
    </row>
    <row r="326" spans="10:10" x14ac:dyDescent="0.25">
      <c r="J326" t="s">
        <v>643</v>
      </c>
    </row>
    <row r="327" spans="10:10" x14ac:dyDescent="0.25">
      <c r="J327" t="s">
        <v>645</v>
      </c>
    </row>
    <row r="328" spans="10:10" x14ac:dyDescent="0.25">
      <c r="J328" t="s">
        <v>647</v>
      </c>
    </row>
    <row r="329" spans="10:10" x14ac:dyDescent="0.25">
      <c r="J329" t="s">
        <v>649</v>
      </c>
    </row>
    <row r="330" spans="10:10" x14ac:dyDescent="0.25">
      <c r="J330" t="s">
        <v>651</v>
      </c>
    </row>
    <row r="331" spans="10:10" x14ac:dyDescent="0.25">
      <c r="J331" t="s">
        <v>653</v>
      </c>
    </row>
    <row r="332" spans="10:10" x14ac:dyDescent="0.25">
      <c r="J332" t="s">
        <v>655</v>
      </c>
    </row>
    <row r="333" spans="10:10" x14ac:dyDescent="0.25">
      <c r="J333" t="s">
        <v>657</v>
      </c>
    </row>
    <row r="334" spans="10:10" x14ac:dyDescent="0.25">
      <c r="J334" t="s">
        <v>659</v>
      </c>
    </row>
    <row r="335" spans="10:10" x14ac:dyDescent="0.25">
      <c r="J335" t="s">
        <v>661</v>
      </c>
    </row>
    <row r="336" spans="10:10" x14ac:dyDescent="0.25">
      <c r="J336" t="s">
        <v>663</v>
      </c>
    </row>
    <row r="337" spans="10:10" x14ac:dyDescent="0.25">
      <c r="J337" t="s">
        <v>665</v>
      </c>
    </row>
    <row r="338" spans="10:10" x14ac:dyDescent="0.25">
      <c r="J338" t="s">
        <v>667</v>
      </c>
    </row>
    <row r="339" spans="10:10" x14ac:dyDescent="0.25">
      <c r="J339" t="s">
        <v>669</v>
      </c>
    </row>
    <row r="340" spans="10:10" x14ac:dyDescent="0.25">
      <c r="J340" t="s">
        <v>671</v>
      </c>
    </row>
    <row r="341" spans="10:10" x14ac:dyDescent="0.25">
      <c r="J341" t="s">
        <v>673</v>
      </c>
    </row>
    <row r="342" spans="10:10" x14ac:dyDescent="0.25">
      <c r="J342" t="s">
        <v>675</v>
      </c>
    </row>
    <row r="343" spans="10:10" x14ac:dyDescent="0.25">
      <c r="J343" t="s">
        <v>677</v>
      </c>
    </row>
    <row r="344" spans="10:10" x14ac:dyDescent="0.25">
      <c r="J344" t="s">
        <v>679</v>
      </c>
    </row>
    <row r="345" spans="10:10" x14ac:dyDescent="0.25">
      <c r="J345" t="s">
        <v>681</v>
      </c>
    </row>
    <row r="346" spans="10:10" x14ac:dyDescent="0.25">
      <c r="J346" t="s">
        <v>683</v>
      </c>
    </row>
    <row r="347" spans="10:10" x14ac:dyDescent="0.25">
      <c r="J347" t="s">
        <v>685</v>
      </c>
    </row>
    <row r="348" spans="10:10" x14ac:dyDescent="0.25">
      <c r="J348" t="s">
        <v>687</v>
      </c>
    </row>
    <row r="349" spans="10:10" x14ac:dyDescent="0.25">
      <c r="J349" t="s">
        <v>689</v>
      </c>
    </row>
    <row r="350" spans="10:10" x14ac:dyDescent="0.25">
      <c r="J350" t="s">
        <v>691</v>
      </c>
    </row>
    <row r="351" spans="10:10" x14ac:dyDescent="0.25">
      <c r="J351" t="s">
        <v>693</v>
      </c>
    </row>
    <row r="352" spans="10:10" x14ac:dyDescent="0.25">
      <c r="J352" t="s">
        <v>695</v>
      </c>
    </row>
    <row r="353" spans="10:10" x14ac:dyDescent="0.25">
      <c r="J353" t="s">
        <v>697</v>
      </c>
    </row>
    <row r="354" spans="10:10" x14ac:dyDescent="0.25">
      <c r="J354" t="s">
        <v>699</v>
      </c>
    </row>
    <row r="355" spans="10:10" x14ac:dyDescent="0.25">
      <c r="J355" t="s">
        <v>701</v>
      </c>
    </row>
    <row r="356" spans="10:10" x14ac:dyDescent="0.25">
      <c r="J356" t="s">
        <v>703</v>
      </c>
    </row>
    <row r="357" spans="10:10" x14ac:dyDescent="0.25">
      <c r="J357" t="s">
        <v>705</v>
      </c>
    </row>
    <row r="358" spans="10:10" x14ac:dyDescent="0.25">
      <c r="J358" t="s">
        <v>707</v>
      </c>
    </row>
    <row r="359" spans="10:10" x14ac:dyDescent="0.25">
      <c r="J359" t="s">
        <v>709</v>
      </c>
    </row>
    <row r="360" spans="10:10" x14ac:dyDescent="0.25">
      <c r="J360" t="s">
        <v>711</v>
      </c>
    </row>
    <row r="361" spans="10:10" x14ac:dyDescent="0.25">
      <c r="J361" t="s">
        <v>713</v>
      </c>
    </row>
    <row r="362" spans="10:10" x14ac:dyDescent="0.25">
      <c r="J362" t="s">
        <v>715</v>
      </c>
    </row>
    <row r="363" spans="10:10" x14ac:dyDescent="0.25">
      <c r="J363" t="s">
        <v>717</v>
      </c>
    </row>
    <row r="364" spans="10:10" x14ac:dyDescent="0.25">
      <c r="J364" t="s">
        <v>719</v>
      </c>
    </row>
    <row r="365" spans="10:10" x14ac:dyDescent="0.25">
      <c r="J365" t="s">
        <v>721</v>
      </c>
    </row>
    <row r="366" spans="10:10" x14ac:dyDescent="0.25">
      <c r="J366" t="s">
        <v>723</v>
      </c>
    </row>
    <row r="367" spans="10:10" x14ac:dyDescent="0.25">
      <c r="J367" t="s">
        <v>725</v>
      </c>
    </row>
    <row r="368" spans="10:10" x14ac:dyDescent="0.25">
      <c r="J368" t="s">
        <v>727</v>
      </c>
    </row>
    <row r="369" spans="10:10" x14ac:dyDescent="0.25">
      <c r="J369" t="s">
        <v>729</v>
      </c>
    </row>
    <row r="370" spans="10:10" x14ac:dyDescent="0.25">
      <c r="J370" t="s">
        <v>731</v>
      </c>
    </row>
    <row r="371" spans="10:10" x14ac:dyDescent="0.25">
      <c r="J371" t="s">
        <v>733</v>
      </c>
    </row>
    <row r="372" spans="10:10" x14ac:dyDescent="0.25">
      <c r="J372" t="s">
        <v>735</v>
      </c>
    </row>
    <row r="373" spans="10:10" x14ac:dyDescent="0.25">
      <c r="J373" t="s">
        <v>737</v>
      </c>
    </row>
    <row r="374" spans="10:10" x14ac:dyDescent="0.25">
      <c r="J374" t="s">
        <v>739</v>
      </c>
    </row>
    <row r="375" spans="10:10" x14ac:dyDescent="0.25">
      <c r="J375" t="s">
        <v>741</v>
      </c>
    </row>
    <row r="376" spans="10:10" x14ac:dyDescent="0.25">
      <c r="J376" t="s">
        <v>743</v>
      </c>
    </row>
    <row r="377" spans="10:10" x14ac:dyDescent="0.25">
      <c r="J377" t="s">
        <v>745</v>
      </c>
    </row>
    <row r="378" spans="10:10" x14ac:dyDescent="0.25">
      <c r="J378" t="s">
        <v>747</v>
      </c>
    </row>
    <row r="379" spans="10:10" x14ac:dyDescent="0.25">
      <c r="J379" t="s">
        <v>749</v>
      </c>
    </row>
    <row r="380" spans="10:10" x14ac:dyDescent="0.25">
      <c r="J380" t="s">
        <v>751</v>
      </c>
    </row>
    <row r="381" spans="10:10" x14ac:dyDescent="0.25">
      <c r="J381" t="s">
        <v>753</v>
      </c>
    </row>
    <row r="382" spans="10:10" x14ac:dyDescent="0.25">
      <c r="J382" t="s">
        <v>755</v>
      </c>
    </row>
    <row r="383" spans="10:10" x14ac:dyDescent="0.25">
      <c r="J383" t="s">
        <v>757</v>
      </c>
    </row>
    <row r="384" spans="10:10" x14ac:dyDescent="0.25">
      <c r="J384" t="s">
        <v>759</v>
      </c>
    </row>
    <row r="385" spans="10:10" x14ac:dyDescent="0.25">
      <c r="J385" t="s">
        <v>761</v>
      </c>
    </row>
    <row r="386" spans="10:10" x14ac:dyDescent="0.25">
      <c r="J386" t="s">
        <v>763</v>
      </c>
    </row>
    <row r="387" spans="10:10" x14ac:dyDescent="0.25">
      <c r="J387" t="s">
        <v>765</v>
      </c>
    </row>
    <row r="388" spans="10:10" x14ac:dyDescent="0.25">
      <c r="J388" t="s">
        <v>767</v>
      </c>
    </row>
    <row r="389" spans="10:10" x14ac:dyDescent="0.25">
      <c r="J389" t="s">
        <v>769</v>
      </c>
    </row>
    <row r="390" spans="10:10" x14ac:dyDescent="0.25">
      <c r="J390" t="s">
        <v>771</v>
      </c>
    </row>
    <row r="391" spans="10:10" x14ac:dyDescent="0.25">
      <c r="J391" t="s">
        <v>773</v>
      </c>
    </row>
    <row r="392" spans="10:10" x14ac:dyDescent="0.25">
      <c r="J392" t="s">
        <v>775</v>
      </c>
    </row>
    <row r="393" spans="10:10" x14ac:dyDescent="0.25">
      <c r="J393" t="s">
        <v>777</v>
      </c>
    </row>
    <row r="394" spans="10:10" x14ac:dyDescent="0.25">
      <c r="J394" t="s">
        <v>779</v>
      </c>
    </row>
    <row r="395" spans="10:10" x14ac:dyDescent="0.25">
      <c r="J395" t="s">
        <v>781</v>
      </c>
    </row>
    <row r="396" spans="10:10" x14ac:dyDescent="0.25">
      <c r="J396" t="s">
        <v>783</v>
      </c>
    </row>
    <row r="397" spans="10:10" x14ac:dyDescent="0.25">
      <c r="J397" t="s">
        <v>785</v>
      </c>
    </row>
    <row r="398" spans="10:10" x14ac:dyDescent="0.25">
      <c r="J398" t="s">
        <v>787</v>
      </c>
    </row>
    <row r="399" spans="10:10" x14ac:dyDescent="0.25">
      <c r="J399" t="s">
        <v>789</v>
      </c>
    </row>
    <row r="400" spans="10:10" x14ac:dyDescent="0.25">
      <c r="J400" t="s">
        <v>789</v>
      </c>
    </row>
    <row r="401" spans="10:10" x14ac:dyDescent="0.25">
      <c r="J401" t="s">
        <v>789</v>
      </c>
    </row>
    <row r="402" spans="10:10" x14ac:dyDescent="0.25">
      <c r="J402" t="s">
        <v>793</v>
      </c>
    </row>
    <row r="403" spans="10:10" x14ac:dyDescent="0.25">
      <c r="J403" t="s">
        <v>795</v>
      </c>
    </row>
    <row r="404" spans="10:10" x14ac:dyDescent="0.25">
      <c r="J404" t="s">
        <v>797</v>
      </c>
    </row>
    <row r="405" spans="10:10" x14ac:dyDescent="0.25">
      <c r="J405" t="s">
        <v>799</v>
      </c>
    </row>
    <row r="406" spans="10:10" x14ac:dyDescent="0.25">
      <c r="J406" t="s">
        <v>801</v>
      </c>
    </row>
    <row r="407" spans="10:10" x14ac:dyDescent="0.25">
      <c r="J407" t="s">
        <v>803</v>
      </c>
    </row>
    <row r="408" spans="10:10" x14ac:dyDescent="0.25">
      <c r="J408" t="s">
        <v>805</v>
      </c>
    </row>
    <row r="409" spans="10:10" x14ac:dyDescent="0.25">
      <c r="J409" t="s">
        <v>807</v>
      </c>
    </row>
    <row r="410" spans="10:10" x14ac:dyDescent="0.25">
      <c r="J410" t="s">
        <v>809</v>
      </c>
    </row>
    <row r="411" spans="10:10" x14ac:dyDescent="0.25">
      <c r="J411" t="s">
        <v>811</v>
      </c>
    </row>
    <row r="412" spans="10:10" x14ac:dyDescent="0.25">
      <c r="J412" t="s">
        <v>813</v>
      </c>
    </row>
    <row r="413" spans="10:10" x14ac:dyDescent="0.25">
      <c r="J413" t="s">
        <v>815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462A-934F-4646-B04F-BB31950723E8}">
  <dimension ref="A1:H402"/>
  <sheetViews>
    <sheetView workbookViewId="0">
      <pane ySplit="1" topLeftCell="A2" activePane="bottomLeft" state="frozen"/>
      <selection pane="bottomLeft"/>
    </sheetView>
  </sheetViews>
  <sheetFormatPr defaultRowHeight="15" x14ac:dyDescent="0.25"/>
  <cols>
    <col min="1" max="1" width="9.140625" customWidth="1"/>
    <col min="2" max="2" width="30.28515625" customWidth="1"/>
    <col min="3" max="5" width="19.5703125" customWidth="1"/>
    <col min="6" max="6" width="16.5703125" style="13" customWidth="1"/>
    <col min="7" max="7" width="15.28515625" style="13" customWidth="1"/>
    <col min="8" max="8" width="29" style="13" customWidth="1"/>
  </cols>
  <sheetData>
    <row r="1" spans="1:8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12" t="s">
        <v>5</v>
      </c>
      <c r="G1" s="12" t="s">
        <v>6</v>
      </c>
      <c r="H1" s="12" t="s">
        <v>7</v>
      </c>
    </row>
    <row r="2" spans="1:8" x14ac:dyDescent="0.25">
      <c r="A2" t="s">
        <v>9</v>
      </c>
      <c r="B2" s="14" cm="1">
        <f t="array" ref="B2">_xll.GetPrice("FP-PNL-0219",,"Low",_SPECIFIEDvarPubDate,)</f>
        <v>405</v>
      </c>
      <c r="C2" s="1">
        <f t="shared" ref="C2:C65" si="0">_SPECIFIEDvarPubDate</f>
        <v>45849</v>
      </c>
      <c r="D2">
        <f t="shared" ref="D2:D65" si="1">_SPECIFIEDvarYear</f>
        <v>2025</v>
      </c>
      <c r="E2">
        <f t="shared" ref="E2:E65" si="2">_SPECIFIEDvarMonth</f>
        <v>7</v>
      </c>
      <c r="F2" s="13" t="s">
        <v>10</v>
      </c>
      <c r="G2" s="13" t="s">
        <v>11</v>
      </c>
      <c r="H2" s="13" t="s">
        <v>825</v>
      </c>
    </row>
    <row r="3" spans="1:8" x14ac:dyDescent="0.25">
      <c r="A3" t="s">
        <v>13</v>
      </c>
      <c r="B3" s="14" cm="1">
        <f t="array" ref="B3">_xll.GetPrice("FP-PNL-0220",,"Low",_SPECIFIEDvarPubDate,)</f>
        <v>465</v>
      </c>
      <c r="C3" s="1">
        <f t="shared" si="0"/>
        <v>45849</v>
      </c>
      <c r="D3">
        <f t="shared" si="1"/>
        <v>2025</v>
      </c>
      <c r="E3">
        <f t="shared" si="2"/>
        <v>7</v>
      </c>
      <c r="F3" s="13" t="s">
        <v>14</v>
      </c>
      <c r="G3" s="13" t="s">
        <v>11</v>
      </c>
      <c r="H3" s="13" t="s">
        <v>825</v>
      </c>
    </row>
    <row r="4" spans="1:8" x14ac:dyDescent="0.25">
      <c r="A4" t="s">
        <v>15</v>
      </c>
      <c r="B4" s="14" cm="1">
        <f t="array" ref="B4">_xll.GetPrice("FP-PNL-0221",,"Low",_SPECIFIEDvarPubDate,)</f>
        <v>475</v>
      </c>
      <c r="C4" s="1">
        <f t="shared" si="0"/>
        <v>45849</v>
      </c>
      <c r="D4">
        <f t="shared" si="1"/>
        <v>2025</v>
      </c>
      <c r="E4">
        <f t="shared" si="2"/>
        <v>7</v>
      </c>
      <c r="F4" s="13" t="s">
        <v>16</v>
      </c>
      <c r="G4" s="13" t="s">
        <v>11</v>
      </c>
      <c r="H4" s="13" t="s">
        <v>825</v>
      </c>
    </row>
    <row r="5" spans="1:8" x14ac:dyDescent="0.25">
      <c r="A5" t="s">
        <v>17</v>
      </c>
      <c r="B5" s="14" cm="1">
        <f t="array" ref="B5">_xll.GetPrice("FP-PNL-0223",,"Low",_SPECIFIEDvarPubDate,)</f>
        <v>610</v>
      </c>
      <c r="C5" s="1">
        <f t="shared" si="0"/>
        <v>45849</v>
      </c>
      <c r="D5">
        <f t="shared" si="1"/>
        <v>2025</v>
      </c>
      <c r="E5">
        <f t="shared" si="2"/>
        <v>7</v>
      </c>
      <c r="F5" s="13" t="s">
        <v>18</v>
      </c>
      <c r="G5" s="13" t="s">
        <v>11</v>
      </c>
      <c r="H5" s="13" t="s">
        <v>825</v>
      </c>
    </row>
    <row r="6" spans="1:8" x14ac:dyDescent="0.25">
      <c r="A6" t="s">
        <v>19</v>
      </c>
      <c r="B6" s="14" cm="1">
        <f t="array" ref="B6">_xll.GetPrice("FP-PNL-0225",,"Low",_SPECIFIEDvarPubDate,)</f>
        <v>770</v>
      </c>
      <c r="C6" s="1">
        <f t="shared" si="0"/>
        <v>45849</v>
      </c>
      <c r="D6">
        <f t="shared" si="1"/>
        <v>2025</v>
      </c>
      <c r="E6">
        <f t="shared" si="2"/>
        <v>7</v>
      </c>
      <c r="F6" s="13" t="s">
        <v>20</v>
      </c>
      <c r="G6" s="13" t="s">
        <v>11</v>
      </c>
      <c r="H6" s="13" t="s">
        <v>825</v>
      </c>
    </row>
    <row r="7" spans="1:8" x14ac:dyDescent="0.25">
      <c r="A7" t="s">
        <v>21</v>
      </c>
      <c r="B7" s="14" cm="1">
        <f t="array" ref="B7">_xll.GetPrice("FP-PNL-0243",,"Low",_SPECIFIEDvarPubDate,)</f>
        <v>1030</v>
      </c>
      <c r="C7" s="1">
        <f t="shared" si="0"/>
        <v>45849</v>
      </c>
      <c r="D7">
        <f t="shared" si="1"/>
        <v>2025</v>
      </c>
      <c r="E7">
        <f t="shared" si="2"/>
        <v>7</v>
      </c>
      <c r="F7" s="13" t="s">
        <v>22</v>
      </c>
      <c r="G7" s="13" t="s">
        <v>11</v>
      </c>
      <c r="H7" s="13" t="s">
        <v>825</v>
      </c>
    </row>
    <row r="8" spans="1:8" x14ac:dyDescent="0.25">
      <c r="A8" t="s">
        <v>23</v>
      </c>
      <c r="B8" s="14" cm="1">
        <f t="array" ref="B8">_xll.GetPrice("FP-PNL-0244",,"Low",_SPECIFIEDvarPubDate,)</f>
        <v>1055</v>
      </c>
      <c r="C8" s="1">
        <f t="shared" si="0"/>
        <v>45849</v>
      </c>
      <c r="D8">
        <f t="shared" si="1"/>
        <v>2025</v>
      </c>
      <c r="E8">
        <f t="shared" si="2"/>
        <v>7</v>
      </c>
      <c r="F8" s="13" t="s">
        <v>24</v>
      </c>
      <c r="G8" s="13" t="s">
        <v>11</v>
      </c>
      <c r="H8" s="13" t="s">
        <v>825</v>
      </c>
    </row>
    <row r="9" spans="1:8" x14ac:dyDescent="0.25">
      <c r="A9" t="s">
        <v>25</v>
      </c>
      <c r="B9" s="14" cm="1">
        <f t="array" ref="B9">_xll.GetPrice("FP-PNL-0245",,"Low",_SPECIFIEDvarPubDate,)</f>
        <v>1540</v>
      </c>
      <c r="C9" s="1">
        <f t="shared" si="0"/>
        <v>45849</v>
      </c>
      <c r="D9">
        <f t="shared" si="1"/>
        <v>2025</v>
      </c>
      <c r="E9">
        <f t="shared" si="2"/>
        <v>7</v>
      </c>
      <c r="F9" s="13" t="s">
        <v>26</v>
      </c>
      <c r="G9" s="13" t="s">
        <v>11</v>
      </c>
      <c r="H9" s="13" t="s">
        <v>825</v>
      </c>
    </row>
    <row r="10" spans="1:8" x14ac:dyDescent="0.25">
      <c r="A10" t="s">
        <v>27</v>
      </c>
      <c r="B10" s="14" cm="1">
        <f t="array" ref="B10">_xll.GetPrice("FP-PNL-0246",,"Low",_SPECIFIEDvarPubDate,)</f>
        <v>1730</v>
      </c>
      <c r="C10" s="1">
        <f t="shared" si="0"/>
        <v>45849</v>
      </c>
      <c r="D10">
        <f t="shared" si="1"/>
        <v>2025</v>
      </c>
      <c r="E10">
        <f t="shared" si="2"/>
        <v>7</v>
      </c>
      <c r="F10" s="13" t="s">
        <v>28</v>
      </c>
      <c r="G10" s="13" t="s">
        <v>11</v>
      </c>
      <c r="H10" s="13" t="s">
        <v>825</v>
      </c>
    </row>
    <row r="11" spans="1:8" x14ac:dyDescent="0.25">
      <c r="A11" t="s">
        <v>29</v>
      </c>
      <c r="B11" s="14" cm="1">
        <f t="array" ref="B11">_xll.GetPrice("FP-PNL-0247",,"Low",_SPECIFIEDvarPubDate,)</f>
        <v>1890</v>
      </c>
      <c r="C11" s="1">
        <f t="shared" si="0"/>
        <v>45849</v>
      </c>
      <c r="D11">
        <f t="shared" si="1"/>
        <v>2025</v>
      </c>
      <c r="E11">
        <f t="shared" si="2"/>
        <v>7</v>
      </c>
      <c r="F11" s="13" t="s">
        <v>30</v>
      </c>
      <c r="G11" s="13" t="s">
        <v>11</v>
      </c>
      <c r="H11" s="13" t="s">
        <v>825</v>
      </c>
    </row>
    <row r="12" spans="1:8" x14ac:dyDescent="0.25">
      <c r="A12" t="s">
        <v>31</v>
      </c>
      <c r="B12" s="14" cm="1">
        <f t="array" ref="B12">_xll.GetPrice("FP-PNL-0263",,"Low",_SPECIFIEDvarPubDate,)</f>
        <v>845</v>
      </c>
      <c r="C12" s="1">
        <f t="shared" si="0"/>
        <v>45849</v>
      </c>
      <c r="D12">
        <f t="shared" si="1"/>
        <v>2025</v>
      </c>
      <c r="E12">
        <f t="shared" si="2"/>
        <v>7</v>
      </c>
      <c r="F12" s="13" t="s">
        <v>32</v>
      </c>
      <c r="G12" s="13" t="s">
        <v>11</v>
      </c>
      <c r="H12" s="13" t="s">
        <v>825</v>
      </c>
    </row>
    <row r="13" spans="1:8" x14ac:dyDescent="0.25">
      <c r="A13" t="s">
        <v>33</v>
      </c>
      <c r="B13" s="14" cm="1">
        <f t="array" ref="B13">_xll.GetPrice("FP-PNL-0264",,"Low",_SPECIFIEDvarPubDate,)</f>
        <v>870</v>
      </c>
      <c r="C13" s="1">
        <f t="shared" si="0"/>
        <v>45849</v>
      </c>
      <c r="D13">
        <f t="shared" si="1"/>
        <v>2025</v>
      </c>
      <c r="E13">
        <f t="shared" si="2"/>
        <v>7</v>
      </c>
      <c r="F13" s="13" t="s">
        <v>34</v>
      </c>
      <c r="G13" s="13" t="s">
        <v>11</v>
      </c>
      <c r="H13" s="13" t="s">
        <v>825</v>
      </c>
    </row>
    <row r="14" spans="1:8" x14ac:dyDescent="0.25">
      <c r="A14" t="s">
        <v>35</v>
      </c>
      <c r="B14" s="14" cm="1">
        <f t="array" ref="B14">_xll.GetPrice("FP-PNL-0265",,"Low",_SPECIFIEDvarPubDate,)</f>
        <v>1320</v>
      </c>
      <c r="C14" s="1">
        <f t="shared" si="0"/>
        <v>45849</v>
      </c>
      <c r="D14">
        <f t="shared" si="1"/>
        <v>2025</v>
      </c>
      <c r="E14">
        <f t="shared" si="2"/>
        <v>7</v>
      </c>
      <c r="F14" s="13" t="s">
        <v>36</v>
      </c>
      <c r="G14" s="13" t="s">
        <v>11</v>
      </c>
      <c r="H14" s="13" t="s">
        <v>825</v>
      </c>
    </row>
    <row r="15" spans="1:8" x14ac:dyDescent="0.25">
      <c r="A15" t="s">
        <v>37</v>
      </c>
      <c r="B15" s="14" cm="1">
        <f t="array" ref="B15">_xll.GetPrice("FP-PNL-0266",,"Low",_SPECIFIEDvarPubDate,)</f>
        <v>1740</v>
      </c>
      <c r="C15" s="1">
        <f t="shared" si="0"/>
        <v>45849</v>
      </c>
      <c r="D15">
        <f t="shared" si="1"/>
        <v>2025</v>
      </c>
      <c r="E15">
        <f t="shared" si="2"/>
        <v>7</v>
      </c>
      <c r="F15" s="13" t="s">
        <v>38</v>
      </c>
      <c r="G15" s="13" t="s">
        <v>11</v>
      </c>
      <c r="H15" s="13" t="s">
        <v>825</v>
      </c>
    </row>
    <row r="16" spans="1:8" x14ac:dyDescent="0.25">
      <c r="A16" t="s">
        <v>39</v>
      </c>
      <c r="B16" s="14" cm="1">
        <f t="array" ref="B16">_xll.GetPrice("FP-PNL-0267",,"Low",_SPECIFIEDvarPubDate,)</f>
        <v>1800</v>
      </c>
      <c r="C16" s="1">
        <f t="shared" si="0"/>
        <v>45849</v>
      </c>
      <c r="D16">
        <f t="shared" si="1"/>
        <v>2025</v>
      </c>
      <c r="E16">
        <f t="shared" si="2"/>
        <v>7</v>
      </c>
      <c r="F16" s="13" t="s">
        <v>40</v>
      </c>
      <c r="G16" s="13" t="s">
        <v>11</v>
      </c>
      <c r="H16" s="13" t="s">
        <v>825</v>
      </c>
    </row>
    <row r="17" spans="1:8" x14ac:dyDescent="0.25">
      <c r="A17" t="s">
        <v>41</v>
      </c>
      <c r="B17" s="14" cm="1">
        <f t="array" ref="B17">_xll.GetPrice("FP-PNL-0027",,"Low",_SPECIFIEDvarPubDate,)</f>
        <v>230</v>
      </c>
      <c r="C17" s="1">
        <f t="shared" si="0"/>
        <v>45849</v>
      </c>
      <c r="D17">
        <f t="shared" si="1"/>
        <v>2025</v>
      </c>
      <c r="E17">
        <f t="shared" si="2"/>
        <v>7</v>
      </c>
      <c r="F17" s="13" t="s">
        <v>42</v>
      </c>
      <c r="G17" s="13" t="s">
        <v>11</v>
      </c>
      <c r="H17" s="13" t="s">
        <v>825</v>
      </c>
    </row>
    <row r="18" spans="1:8" x14ac:dyDescent="0.25">
      <c r="A18" t="s">
        <v>43</v>
      </c>
      <c r="B18" s="14" cm="1">
        <f t="array" ref="B18">_xll.GetPrice("FP-PNL-0028",,"Low",_SPECIFIEDvarPubDate,)</f>
        <v>235</v>
      </c>
      <c r="C18" s="1">
        <f t="shared" si="0"/>
        <v>45849</v>
      </c>
      <c r="D18">
        <f t="shared" si="1"/>
        <v>2025</v>
      </c>
      <c r="E18">
        <f t="shared" si="2"/>
        <v>7</v>
      </c>
      <c r="F18" s="13" t="s">
        <v>44</v>
      </c>
      <c r="G18" s="13" t="s">
        <v>11</v>
      </c>
      <c r="H18" s="13" t="s">
        <v>825</v>
      </c>
    </row>
    <row r="19" spans="1:8" x14ac:dyDescent="0.25">
      <c r="A19" t="s">
        <v>45</v>
      </c>
      <c r="B19" s="14" cm="1">
        <f t="array" ref="B19">_xll.GetPrice("FP-PNL-0029",,"Low",_SPECIFIEDvarPubDate,)</f>
        <v>250</v>
      </c>
      <c r="C19" s="1">
        <f t="shared" si="0"/>
        <v>45849</v>
      </c>
      <c r="D19">
        <f t="shared" si="1"/>
        <v>2025</v>
      </c>
      <c r="E19">
        <f t="shared" si="2"/>
        <v>7</v>
      </c>
      <c r="F19" s="13" t="s">
        <v>46</v>
      </c>
      <c r="G19" s="13" t="s">
        <v>11</v>
      </c>
      <c r="H19" s="13" t="s">
        <v>825</v>
      </c>
    </row>
    <row r="20" spans="1:8" x14ac:dyDescent="0.25">
      <c r="A20" t="s">
        <v>47</v>
      </c>
      <c r="B20" s="14" cm="1">
        <f t="array" ref="B20">_xll.GetPrice("FP-PNL-0030",,"Low",_SPECIFIEDvarPubDate,)</f>
        <v>260</v>
      </c>
      <c r="C20" s="1">
        <f t="shared" si="0"/>
        <v>45849</v>
      </c>
      <c r="D20">
        <f t="shared" si="1"/>
        <v>2025</v>
      </c>
      <c r="E20">
        <f t="shared" si="2"/>
        <v>7</v>
      </c>
      <c r="F20" s="13" t="s">
        <v>48</v>
      </c>
      <c r="G20" s="13" t="s">
        <v>11</v>
      </c>
      <c r="H20" s="13" t="s">
        <v>825</v>
      </c>
    </row>
    <row r="21" spans="1:8" x14ac:dyDescent="0.25">
      <c r="A21" t="s">
        <v>49</v>
      </c>
      <c r="B21" s="14" cm="1">
        <f t="array" ref="B21">_xll.GetPrice("FP-PNL-0031",,"Low",_SPECIFIEDvarPubDate,)</f>
        <v>350</v>
      </c>
      <c r="C21" s="1">
        <f t="shared" si="0"/>
        <v>45849</v>
      </c>
      <c r="D21">
        <f t="shared" si="1"/>
        <v>2025</v>
      </c>
      <c r="E21">
        <f t="shared" si="2"/>
        <v>7</v>
      </c>
      <c r="F21" s="13" t="s">
        <v>50</v>
      </c>
      <c r="G21" s="13" t="s">
        <v>11</v>
      </c>
      <c r="H21" s="13" t="s">
        <v>825</v>
      </c>
    </row>
    <row r="22" spans="1:8" x14ac:dyDescent="0.25">
      <c r="A22" t="s">
        <v>51</v>
      </c>
      <c r="B22" s="14" cm="1">
        <f t="array" ref="B22">_xll.GetPrice("FP-PNL-0032",,"Low",_SPECIFIEDvarPubDate,)</f>
        <v>415</v>
      </c>
      <c r="C22" s="1">
        <f t="shared" si="0"/>
        <v>45849</v>
      </c>
      <c r="D22">
        <f t="shared" si="1"/>
        <v>2025</v>
      </c>
      <c r="E22">
        <f t="shared" si="2"/>
        <v>7</v>
      </c>
      <c r="F22" s="13" t="s">
        <v>52</v>
      </c>
      <c r="G22" s="13" t="s">
        <v>11</v>
      </c>
      <c r="H22" s="13" t="s">
        <v>825</v>
      </c>
    </row>
    <row r="23" spans="1:8" x14ac:dyDescent="0.25">
      <c r="A23" t="s">
        <v>53</v>
      </c>
      <c r="B23" s="14" cm="1">
        <f t="array" ref="B23">_xll.GetPrice("FP-PNL-0045",,"Low",_SPECIFIEDvarPubDate,)</f>
        <v>265</v>
      </c>
      <c r="C23" s="1">
        <f t="shared" si="0"/>
        <v>45849</v>
      </c>
      <c r="D23">
        <f t="shared" si="1"/>
        <v>2025</v>
      </c>
      <c r="E23">
        <f t="shared" si="2"/>
        <v>7</v>
      </c>
      <c r="F23" s="13" t="s">
        <v>54</v>
      </c>
      <c r="G23" s="13" t="s">
        <v>11</v>
      </c>
      <c r="H23" s="13" t="s">
        <v>825</v>
      </c>
    </row>
    <row r="24" spans="1:8" x14ac:dyDescent="0.25">
      <c r="A24" t="s">
        <v>55</v>
      </c>
      <c r="B24" s="14" cm="1">
        <f t="array" ref="B24">_xll.GetPrice("FP-PNL-0050",,"Low",_SPECIFIEDvarPubDate,)</f>
        <v>267</v>
      </c>
      <c r="C24" s="1">
        <f t="shared" si="0"/>
        <v>45849</v>
      </c>
      <c r="D24">
        <f t="shared" si="1"/>
        <v>2025</v>
      </c>
      <c r="E24">
        <f t="shared" si="2"/>
        <v>7</v>
      </c>
      <c r="F24" s="13" t="s">
        <v>56</v>
      </c>
      <c r="G24" s="13" t="s">
        <v>11</v>
      </c>
      <c r="H24" s="13" t="s">
        <v>825</v>
      </c>
    </row>
    <row r="25" spans="1:8" x14ac:dyDescent="0.25">
      <c r="A25" t="s">
        <v>57</v>
      </c>
      <c r="B25" s="14" cm="1">
        <f t="array" ref="B25">_xll.GetPrice("FP-PNL-0137",,"Low",_SPECIFIEDvarPubDate,)</f>
        <v>290</v>
      </c>
      <c r="C25" s="1">
        <f t="shared" si="0"/>
        <v>45849</v>
      </c>
      <c r="D25">
        <f t="shared" si="1"/>
        <v>2025</v>
      </c>
      <c r="E25">
        <f t="shared" si="2"/>
        <v>7</v>
      </c>
      <c r="F25" s="13" t="s">
        <v>58</v>
      </c>
      <c r="G25" s="13" t="s">
        <v>11</v>
      </c>
      <c r="H25" s="13" t="s">
        <v>825</v>
      </c>
    </row>
    <row r="26" spans="1:8" x14ac:dyDescent="0.25">
      <c r="A26" t="s">
        <v>59</v>
      </c>
      <c r="B26" s="14" cm="1">
        <f t="array" ref="B26">_xll.GetPrice("FP-PNL-0127",,"Low",_SPECIFIEDvarPubDate,)</f>
        <v>255</v>
      </c>
      <c r="C26" s="1">
        <f t="shared" si="0"/>
        <v>45849</v>
      </c>
      <c r="D26">
        <f t="shared" si="1"/>
        <v>2025</v>
      </c>
      <c r="E26">
        <f t="shared" si="2"/>
        <v>7</v>
      </c>
      <c r="F26" s="13" t="s">
        <v>60</v>
      </c>
      <c r="G26" s="13" t="s">
        <v>11</v>
      </c>
      <c r="H26" s="13" t="s">
        <v>825</v>
      </c>
    </row>
    <row r="27" spans="1:8" x14ac:dyDescent="0.25">
      <c r="A27" t="s">
        <v>61</v>
      </c>
      <c r="B27" s="14" cm="1">
        <f t="array" ref="B27">_xll.GetPrice("FP-PNL-0142",,"Low",_SPECIFIEDvarPubDate,)</f>
        <v>290</v>
      </c>
      <c r="C27" s="1">
        <f t="shared" si="0"/>
        <v>45849</v>
      </c>
      <c r="D27">
        <f t="shared" si="1"/>
        <v>2025</v>
      </c>
      <c r="E27">
        <f t="shared" si="2"/>
        <v>7</v>
      </c>
      <c r="F27" s="13" t="s">
        <v>62</v>
      </c>
      <c r="G27" s="13" t="s">
        <v>11</v>
      </c>
      <c r="H27" s="13" t="s">
        <v>825</v>
      </c>
    </row>
    <row r="28" spans="1:8" x14ac:dyDescent="0.25">
      <c r="A28" t="s">
        <v>63</v>
      </c>
      <c r="B28" s="14" cm="1">
        <f t="array" ref="B28">_xll.GetPrice("FP-PNL-0147",,"Low",_SPECIFIEDvarPubDate,)</f>
        <v>290</v>
      </c>
      <c r="C28" s="1">
        <f t="shared" si="0"/>
        <v>45849</v>
      </c>
      <c r="D28">
        <f t="shared" si="1"/>
        <v>2025</v>
      </c>
      <c r="E28">
        <f t="shared" si="2"/>
        <v>7</v>
      </c>
      <c r="F28" s="13" t="s">
        <v>64</v>
      </c>
      <c r="G28" s="13" t="s">
        <v>11</v>
      </c>
      <c r="H28" s="13" t="s">
        <v>825</v>
      </c>
    </row>
    <row r="29" spans="1:8" x14ac:dyDescent="0.25">
      <c r="A29" t="s">
        <v>65</v>
      </c>
      <c r="B29" s="14" cm="1">
        <f t="array" ref="B29">_xll.GetPrice("FP-PNL-0132",,"Low",_SPECIFIEDvarPubDate,)</f>
        <v>255</v>
      </c>
      <c r="C29" s="1">
        <f t="shared" si="0"/>
        <v>45849</v>
      </c>
      <c r="D29">
        <f t="shared" si="1"/>
        <v>2025</v>
      </c>
      <c r="E29">
        <f t="shared" si="2"/>
        <v>7</v>
      </c>
      <c r="F29" s="13" t="s">
        <v>66</v>
      </c>
      <c r="G29" s="13" t="s">
        <v>11</v>
      </c>
      <c r="H29" s="13" t="s">
        <v>825</v>
      </c>
    </row>
    <row r="30" spans="1:8" x14ac:dyDescent="0.25">
      <c r="A30" t="s">
        <v>67</v>
      </c>
      <c r="B30" s="14" cm="1">
        <f t="array" ref="B30">_xll.GetPrice("FP-PNL-0055",,"Low",_SPECIFIEDvarPubDate,)</f>
        <v>340</v>
      </c>
      <c r="C30" s="1">
        <f t="shared" si="0"/>
        <v>45849</v>
      </c>
      <c r="D30">
        <f t="shared" si="1"/>
        <v>2025</v>
      </c>
      <c r="E30">
        <f t="shared" si="2"/>
        <v>7</v>
      </c>
      <c r="F30" s="13" t="s">
        <v>68</v>
      </c>
      <c r="G30" s="13" t="s">
        <v>11</v>
      </c>
      <c r="H30" s="13" t="s">
        <v>825</v>
      </c>
    </row>
    <row r="31" spans="1:8" x14ac:dyDescent="0.25">
      <c r="A31" t="s">
        <v>69</v>
      </c>
      <c r="B31" s="14" cm="1">
        <f t="array" ref="B31">_xll.GetPrice("FP-PNL-0222",,"Low",_SPECIFIEDvarPubDate,)</f>
        <v>570</v>
      </c>
      <c r="C31" s="1">
        <f t="shared" si="0"/>
        <v>45849</v>
      </c>
      <c r="D31">
        <f t="shared" si="1"/>
        <v>2025</v>
      </c>
      <c r="E31">
        <f t="shared" si="2"/>
        <v>7</v>
      </c>
      <c r="F31" s="13" t="s">
        <v>70</v>
      </c>
      <c r="G31" s="13" t="s">
        <v>11</v>
      </c>
      <c r="H31" s="13" t="s">
        <v>825</v>
      </c>
    </row>
    <row r="32" spans="1:8" x14ac:dyDescent="0.25">
      <c r="A32" t="s">
        <v>71</v>
      </c>
      <c r="B32" s="14" cm="1">
        <f t="array" ref="B32">_xll.GetPrice("FP-PNL-0224",,"Low",_SPECIFIEDvarPubDate,)</f>
        <v>630</v>
      </c>
      <c r="C32" s="1">
        <f t="shared" si="0"/>
        <v>45849</v>
      </c>
      <c r="D32">
        <f t="shared" si="1"/>
        <v>2025</v>
      </c>
      <c r="E32">
        <f t="shared" si="2"/>
        <v>7</v>
      </c>
      <c r="F32" s="13" t="s">
        <v>72</v>
      </c>
      <c r="G32" s="13" t="s">
        <v>11</v>
      </c>
      <c r="H32" s="13" t="s">
        <v>825</v>
      </c>
    </row>
    <row r="33" spans="1:8" x14ac:dyDescent="0.25">
      <c r="A33" t="s">
        <v>73</v>
      </c>
      <c r="B33" s="14" cm="1">
        <f t="array" ref="B33">_xll.GetPrice("FP-PNL-0248",,"Low",_SPECIFIEDvarPubDate,)</f>
        <v>970</v>
      </c>
      <c r="C33" s="1">
        <f t="shared" si="0"/>
        <v>45849</v>
      </c>
      <c r="D33">
        <f t="shared" si="1"/>
        <v>2025</v>
      </c>
      <c r="E33">
        <f t="shared" si="2"/>
        <v>7</v>
      </c>
      <c r="F33" s="13" t="s">
        <v>74</v>
      </c>
      <c r="G33" s="13" t="s">
        <v>11</v>
      </c>
      <c r="H33" s="13" t="s">
        <v>825</v>
      </c>
    </row>
    <row r="34" spans="1:8" x14ac:dyDescent="0.25">
      <c r="A34" t="s">
        <v>75</v>
      </c>
      <c r="B34" s="14" cm="1">
        <f t="array" ref="B34">_xll.GetPrice("FP-PNL-0249",,"Low",_SPECIFIEDvarPubDate,)</f>
        <v>995</v>
      </c>
      <c r="C34" s="1">
        <f t="shared" si="0"/>
        <v>45849</v>
      </c>
      <c r="D34">
        <f t="shared" si="1"/>
        <v>2025</v>
      </c>
      <c r="E34">
        <f t="shared" si="2"/>
        <v>7</v>
      </c>
      <c r="F34" s="13" t="s">
        <v>76</v>
      </c>
      <c r="G34" s="13" t="s">
        <v>11</v>
      </c>
      <c r="H34" s="13" t="s">
        <v>825</v>
      </c>
    </row>
    <row r="35" spans="1:8" x14ac:dyDescent="0.25">
      <c r="A35" t="s">
        <v>77</v>
      </c>
      <c r="B35" s="14" cm="1">
        <f t="array" ref="B35">_xll.GetPrice("FP-PNL-0250",,"Low",_SPECIFIEDvarPubDate,)</f>
        <v>1470</v>
      </c>
      <c r="C35" s="1">
        <f t="shared" si="0"/>
        <v>45849</v>
      </c>
      <c r="D35">
        <f t="shared" si="1"/>
        <v>2025</v>
      </c>
      <c r="E35">
        <f t="shared" si="2"/>
        <v>7</v>
      </c>
      <c r="F35" s="13" t="s">
        <v>78</v>
      </c>
      <c r="G35" s="13" t="s">
        <v>11</v>
      </c>
      <c r="H35" s="13" t="s">
        <v>825</v>
      </c>
    </row>
    <row r="36" spans="1:8" x14ac:dyDescent="0.25">
      <c r="A36" t="s">
        <v>79</v>
      </c>
      <c r="B36" s="14" cm="1">
        <f t="array" ref="B36">_xll.GetPrice("FP-PNL-0251",,"Low",_SPECIFIEDvarPubDate,)</f>
        <v>1620</v>
      </c>
      <c r="C36" s="1">
        <f t="shared" si="0"/>
        <v>45849</v>
      </c>
      <c r="D36">
        <f t="shared" si="1"/>
        <v>2025</v>
      </c>
      <c r="E36">
        <f t="shared" si="2"/>
        <v>7</v>
      </c>
      <c r="F36" s="13" t="s">
        <v>80</v>
      </c>
      <c r="G36" s="13" t="s">
        <v>11</v>
      </c>
      <c r="H36" s="13" t="s">
        <v>825</v>
      </c>
    </row>
    <row r="37" spans="1:8" x14ac:dyDescent="0.25">
      <c r="A37" t="s">
        <v>81</v>
      </c>
      <c r="B37" s="14" cm="1">
        <f t="array" ref="B37">_xll.GetPrice("FP-PNL-0252",,"Low",_SPECIFIEDvarPubDate,)</f>
        <v>1810</v>
      </c>
      <c r="C37" s="1">
        <f t="shared" si="0"/>
        <v>45849</v>
      </c>
      <c r="D37">
        <f t="shared" si="1"/>
        <v>2025</v>
      </c>
      <c r="E37">
        <f t="shared" si="2"/>
        <v>7</v>
      </c>
      <c r="F37" s="13" t="s">
        <v>82</v>
      </c>
      <c r="G37" s="13" t="s">
        <v>11</v>
      </c>
      <c r="H37" s="13" t="s">
        <v>825</v>
      </c>
    </row>
    <row r="38" spans="1:8" x14ac:dyDescent="0.25">
      <c r="A38" t="s">
        <v>83</v>
      </c>
      <c r="B38" s="14" cm="1">
        <f t="array" ref="B38">_xll.GetPrice("FP-PNL-0046",,"Low",_SPECIFIEDvarPubDate,)</f>
        <v>265</v>
      </c>
      <c r="C38" s="1">
        <f t="shared" si="0"/>
        <v>45849</v>
      </c>
      <c r="D38">
        <f t="shared" si="1"/>
        <v>2025</v>
      </c>
      <c r="E38">
        <f t="shared" si="2"/>
        <v>7</v>
      </c>
      <c r="F38" s="13" t="s">
        <v>84</v>
      </c>
      <c r="G38" s="13" t="s">
        <v>11</v>
      </c>
      <c r="H38" s="13" t="s">
        <v>825</v>
      </c>
    </row>
    <row r="39" spans="1:8" x14ac:dyDescent="0.25">
      <c r="A39" t="s">
        <v>85</v>
      </c>
      <c r="B39" s="14" cm="1">
        <f t="array" ref="B39">_xll.GetPrice("FP-PNL-0051",,"Low",_SPECIFIEDvarPubDate,)</f>
        <v>267</v>
      </c>
      <c r="C39" s="1">
        <f t="shared" si="0"/>
        <v>45849</v>
      </c>
      <c r="D39">
        <f t="shared" si="1"/>
        <v>2025</v>
      </c>
      <c r="E39">
        <f t="shared" si="2"/>
        <v>7</v>
      </c>
      <c r="F39" s="13" t="s">
        <v>86</v>
      </c>
      <c r="G39" s="13" t="s">
        <v>11</v>
      </c>
      <c r="H39" s="13" t="s">
        <v>825</v>
      </c>
    </row>
    <row r="40" spans="1:8" x14ac:dyDescent="0.25">
      <c r="A40" t="s">
        <v>87</v>
      </c>
      <c r="B40" s="14" cm="1">
        <f t="array" ref="B40">_xll.GetPrice("FP-PNL-0138",,"Low",_SPECIFIEDvarPubDate,)</f>
        <v>290</v>
      </c>
      <c r="C40" s="1">
        <f t="shared" si="0"/>
        <v>45849</v>
      </c>
      <c r="D40">
        <f t="shared" si="1"/>
        <v>2025</v>
      </c>
      <c r="E40">
        <f t="shared" si="2"/>
        <v>7</v>
      </c>
      <c r="F40" s="13" t="s">
        <v>88</v>
      </c>
      <c r="G40" s="13" t="s">
        <v>11</v>
      </c>
      <c r="H40" s="13" t="s">
        <v>825</v>
      </c>
    </row>
    <row r="41" spans="1:8" x14ac:dyDescent="0.25">
      <c r="A41" t="s">
        <v>89</v>
      </c>
      <c r="B41" s="14" cm="1">
        <f t="array" ref="B41">_xll.GetPrice("FP-PNL-0128",,"Low",_SPECIFIEDvarPubDate,)</f>
        <v>255</v>
      </c>
      <c r="C41" s="1">
        <f t="shared" si="0"/>
        <v>45849</v>
      </c>
      <c r="D41">
        <f t="shared" si="1"/>
        <v>2025</v>
      </c>
      <c r="E41">
        <f t="shared" si="2"/>
        <v>7</v>
      </c>
      <c r="F41" s="13" t="s">
        <v>90</v>
      </c>
      <c r="G41" s="13" t="s">
        <v>11</v>
      </c>
      <c r="H41" s="13" t="s">
        <v>825</v>
      </c>
    </row>
    <row r="42" spans="1:8" x14ac:dyDescent="0.25">
      <c r="A42" t="s">
        <v>91</v>
      </c>
      <c r="B42" s="14" cm="1">
        <f t="array" ref="B42">_xll.GetPrice("FP-PNL-0143",,"Low",_SPECIFIEDvarPubDate,)</f>
        <v>290</v>
      </c>
      <c r="C42" s="1">
        <f t="shared" si="0"/>
        <v>45849</v>
      </c>
      <c r="D42">
        <f t="shared" si="1"/>
        <v>2025</v>
      </c>
      <c r="E42">
        <f t="shared" si="2"/>
        <v>7</v>
      </c>
      <c r="F42" s="13" t="s">
        <v>92</v>
      </c>
      <c r="G42" s="13" t="s">
        <v>11</v>
      </c>
      <c r="H42" s="13" t="s">
        <v>825</v>
      </c>
    </row>
    <row r="43" spans="1:8" x14ac:dyDescent="0.25">
      <c r="A43" t="s">
        <v>93</v>
      </c>
      <c r="B43" s="14" cm="1">
        <f t="array" ref="B43">_xll.GetPrice("FP-PNL-0148",,"Low",_SPECIFIEDvarPubDate,)</f>
        <v>290</v>
      </c>
      <c r="C43" s="1">
        <f t="shared" si="0"/>
        <v>45849</v>
      </c>
      <c r="D43">
        <f t="shared" si="1"/>
        <v>2025</v>
      </c>
      <c r="E43">
        <f t="shared" si="2"/>
        <v>7</v>
      </c>
      <c r="F43" s="13" t="s">
        <v>94</v>
      </c>
      <c r="G43" s="13" t="s">
        <v>11</v>
      </c>
      <c r="H43" s="13" t="s">
        <v>825</v>
      </c>
    </row>
    <row r="44" spans="1:8" x14ac:dyDescent="0.25">
      <c r="A44" t="s">
        <v>95</v>
      </c>
      <c r="B44" s="14" cm="1">
        <f t="array" ref="B44">_xll.GetPrice("FP-PNL-0133",,"Low",_SPECIFIEDvarPubDate,)</f>
        <v>255</v>
      </c>
      <c r="C44" s="1">
        <f t="shared" si="0"/>
        <v>45849</v>
      </c>
      <c r="D44">
        <f t="shared" si="1"/>
        <v>2025</v>
      </c>
      <c r="E44">
        <f t="shared" si="2"/>
        <v>7</v>
      </c>
      <c r="F44" s="13" t="s">
        <v>96</v>
      </c>
      <c r="G44" s="13" t="s">
        <v>11</v>
      </c>
      <c r="H44" s="13" t="s">
        <v>825</v>
      </c>
    </row>
    <row r="45" spans="1:8" x14ac:dyDescent="0.25">
      <c r="A45" t="s">
        <v>97</v>
      </c>
      <c r="B45" s="14" cm="1">
        <f t="array" ref="B45">_xll.GetPrice("FP-PNL-0056",,"Low",_SPECIFIEDvarPubDate,)</f>
        <v>340</v>
      </c>
      <c r="C45" s="1">
        <f t="shared" si="0"/>
        <v>45849</v>
      </c>
      <c r="D45">
        <f t="shared" si="1"/>
        <v>2025</v>
      </c>
      <c r="E45">
        <f t="shared" si="2"/>
        <v>7</v>
      </c>
      <c r="F45" s="13" t="s">
        <v>98</v>
      </c>
      <c r="G45" s="13" t="s">
        <v>11</v>
      </c>
      <c r="H45" s="13" t="s">
        <v>825</v>
      </c>
    </row>
    <row r="46" spans="1:8" x14ac:dyDescent="0.25">
      <c r="A46" t="s">
        <v>99</v>
      </c>
      <c r="B46" s="14" cm="1">
        <f t="array" ref="B46">_xll.GetPrice("FP-PNL-0253",,"Low",_SPECIFIEDvarPubDate,)</f>
        <v>1150</v>
      </c>
      <c r="C46" s="1">
        <f t="shared" si="0"/>
        <v>45849</v>
      </c>
      <c r="D46">
        <f t="shared" si="1"/>
        <v>2025</v>
      </c>
      <c r="E46">
        <f t="shared" si="2"/>
        <v>7</v>
      </c>
      <c r="F46" s="13" t="s">
        <v>100</v>
      </c>
      <c r="G46" s="13" t="s">
        <v>11</v>
      </c>
      <c r="H46" s="13" t="s">
        <v>825</v>
      </c>
    </row>
    <row r="47" spans="1:8" x14ac:dyDescent="0.25">
      <c r="A47" t="s">
        <v>101</v>
      </c>
      <c r="B47" s="14" cm="1">
        <f t="array" ref="B47">_xll.GetPrice("FP-PNL-0254",,"Low",_SPECIFIEDvarPubDate,)</f>
        <v>1195</v>
      </c>
      <c r="C47" s="1">
        <f t="shared" si="0"/>
        <v>45849</v>
      </c>
      <c r="D47">
        <f t="shared" si="1"/>
        <v>2025</v>
      </c>
      <c r="E47">
        <f t="shared" si="2"/>
        <v>7</v>
      </c>
      <c r="F47" s="13" t="s">
        <v>102</v>
      </c>
      <c r="G47" s="13" t="s">
        <v>11</v>
      </c>
      <c r="H47" s="13" t="s">
        <v>825</v>
      </c>
    </row>
    <row r="48" spans="1:8" x14ac:dyDescent="0.25">
      <c r="A48" t="s">
        <v>103</v>
      </c>
      <c r="B48" s="14" cm="1">
        <f t="array" ref="B48">_xll.GetPrice("FP-PNL-0255",,"Low",_SPECIFIEDvarPubDate,)</f>
        <v>1710</v>
      </c>
      <c r="C48" s="1">
        <f t="shared" si="0"/>
        <v>45849</v>
      </c>
      <c r="D48">
        <f t="shared" si="1"/>
        <v>2025</v>
      </c>
      <c r="E48">
        <f t="shared" si="2"/>
        <v>7</v>
      </c>
      <c r="F48" s="13" t="s">
        <v>104</v>
      </c>
      <c r="G48" s="13" t="s">
        <v>11</v>
      </c>
      <c r="H48" s="13" t="s">
        <v>825</v>
      </c>
    </row>
    <row r="49" spans="1:8" x14ac:dyDescent="0.25">
      <c r="A49" t="s">
        <v>105</v>
      </c>
      <c r="B49" s="14" cm="1">
        <f t="array" ref="B49">_xll.GetPrice("FP-PNL-0256",,"Low",_SPECIFIEDvarPubDate,)</f>
        <v>1910</v>
      </c>
      <c r="C49" s="1">
        <f t="shared" si="0"/>
        <v>45849</v>
      </c>
      <c r="D49">
        <f t="shared" si="1"/>
        <v>2025</v>
      </c>
      <c r="E49">
        <f t="shared" si="2"/>
        <v>7</v>
      </c>
      <c r="F49" s="13" t="s">
        <v>106</v>
      </c>
      <c r="G49" s="13" t="s">
        <v>11</v>
      </c>
      <c r="H49" s="13" t="s">
        <v>825</v>
      </c>
    </row>
    <row r="50" spans="1:8" x14ac:dyDescent="0.25">
      <c r="A50" t="s">
        <v>107</v>
      </c>
      <c r="B50" s="14" cm="1">
        <f t="array" ref="B50">_xll.GetPrice("FP-PNL-0257",,"Low",_SPECIFIEDvarPubDate,)</f>
        <v>2145</v>
      </c>
      <c r="C50" s="1">
        <f t="shared" si="0"/>
        <v>45849</v>
      </c>
      <c r="D50">
        <f t="shared" si="1"/>
        <v>2025</v>
      </c>
      <c r="E50">
        <f t="shared" si="2"/>
        <v>7</v>
      </c>
      <c r="F50" s="13" t="s">
        <v>108</v>
      </c>
      <c r="G50" s="13" t="s">
        <v>11</v>
      </c>
      <c r="H50" s="13" t="s">
        <v>825</v>
      </c>
    </row>
    <row r="51" spans="1:8" x14ac:dyDescent="0.25">
      <c r="A51" t="s">
        <v>109</v>
      </c>
      <c r="B51" s="14" cm="1">
        <f t="array" ref="B51">_xll.GetPrice("FP-PNL-0109",,"Low",_SPECIFIEDvarPubDate,)</f>
        <v>200</v>
      </c>
      <c r="C51" s="1">
        <f t="shared" si="0"/>
        <v>45849</v>
      </c>
      <c r="D51">
        <f t="shared" si="1"/>
        <v>2025</v>
      </c>
      <c r="E51">
        <f t="shared" si="2"/>
        <v>7</v>
      </c>
      <c r="F51" s="13" t="s">
        <v>110</v>
      </c>
      <c r="G51" s="13" t="s">
        <v>11</v>
      </c>
      <c r="H51" s="13" t="s">
        <v>825</v>
      </c>
    </row>
    <row r="52" spans="1:8" x14ac:dyDescent="0.25">
      <c r="A52" t="s">
        <v>111</v>
      </c>
      <c r="B52" s="14" cm="1">
        <f t="array" ref="B52">_xll.GetPrice("FP-PNL-0110",,"Low",_SPECIFIEDvarPubDate,)</f>
        <v>200</v>
      </c>
      <c r="C52" s="1">
        <f t="shared" si="0"/>
        <v>45849</v>
      </c>
      <c r="D52">
        <f t="shared" si="1"/>
        <v>2025</v>
      </c>
      <c r="E52">
        <f t="shared" si="2"/>
        <v>7</v>
      </c>
      <c r="F52" s="13" t="s">
        <v>112</v>
      </c>
      <c r="G52" s="13" t="s">
        <v>11</v>
      </c>
      <c r="H52" s="13" t="s">
        <v>825</v>
      </c>
    </row>
    <row r="53" spans="1:8" x14ac:dyDescent="0.25">
      <c r="A53" t="s">
        <v>113</v>
      </c>
      <c r="B53" s="14" cm="1">
        <f t="array" ref="B53">_xll.GetPrice("FP-PNL-0111",,"Low",_SPECIFIEDvarPubDate,)</f>
        <v>220</v>
      </c>
      <c r="C53" s="1">
        <f t="shared" si="0"/>
        <v>45849</v>
      </c>
      <c r="D53">
        <f t="shared" si="1"/>
        <v>2025</v>
      </c>
      <c r="E53">
        <f t="shared" si="2"/>
        <v>7</v>
      </c>
      <c r="F53" s="13" t="s">
        <v>114</v>
      </c>
      <c r="G53" s="13" t="s">
        <v>11</v>
      </c>
      <c r="H53" s="13" t="s">
        <v>825</v>
      </c>
    </row>
    <row r="54" spans="1:8" x14ac:dyDescent="0.25">
      <c r="A54" t="s">
        <v>115</v>
      </c>
      <c r="B54" s="14" cm="1">
        <f t="array" ref="B54">_xll.GetPrice("FP-PNL-0112",,"Low",_SPECIFIEDvarPubDate,)</f>
        <v>240</v>
      </c>
      <c r="C54" s="1">
        <f t="shared" si="0"/>
        <v>45849</v>
      </c>
      <c r="D54">
        <f t="shared" si="1"/>
        <v>2025</v>
      </c>
      <c r="E54">
        <f t="shared" si="2"/>
        <v>7</v>
      </c>
      <c r="F54" s="13" t="s">
        <v>116</v>
      </c>
      <c r="G54" s="13" t="s">
        <v>11</v>
      </c>
      <c r="H54" s="13" t="s">
        <v>825</v>
      </c>
    </row>
    <row r="55" spans="1:8" x14ac:dyDescent="0.25">
      <c r="A55" t="s">
        <v>117</v>
      </c>
      <c r="B55" s="14" cm="1">
        <f t="array" ref="B55">_xll.GetPrice("FP-PNL-0113",,"Low",_SPECIFIEDvarPubDate,)</f>
        <v>325</v>
      </c>
      <c r="C55" s="1">
        <f t="shared" si="0"/>
        <v>45849</v>
      </c>
      <c r="D55">
        <f t="shared" si="1"/>
        <v>2025</v>
      </c>
      <c r="E55">
        <f t="shared" si="2"/>
        <v>7</v>
      </c>
      <c r="F55" s="13" t="s">
        <v>118</v>
      </c>
      <c r="G55" s="13" t="s">
        <v>11</v>
      </c>
      <c r="H55" s="13" t="s">
        <v>825</v>
      </c>
    </row>
    <row r="56" spans="1:8" x14ac:dyDescent="0.25">
      <c r="A56" t="s">
        <v>119</v>
      </c>
      <c r="B56" s="14" cm="1">
        <f t="array" ref="B56">_xll.GetPrice("FP-PNL-0114",,"Low",_SPECIFIEDvarPubDate,)</f>
        <v>365</v>
      </c>
      <c r="C56" s="1">
        <f t="shared" si="0"/>
        <v>45849</v>
      </c>
      <c r="D56">
        <f t="shared" si="1"/>
        <v>2025</v>
      </c>
      <c r="E56">
        <f t="shared" si="2"/>
        <v>7</v>
      </c>
      <c r="F56" s="13" t="s">
        <v>120</v>
      </c>
      <c r="G56" s="13" t="s">
        <v>11</v>
      </c>
      <c r="H56" s="13" t="s">
        <v>825</v>
      </c>
    </row>
    <row r="57" spans="1:8" x14ac:dyDescent="0.25">
      <c r="A57" t="s">
        <v>121</v>
      </c>
      <c r="B57" s="14" cm="1">
        <f t="array" ref="B57">_xll.GetPrice("FP-PNL-0047",,"Low",_SPECIFIEDvarPubDate,)</f>
        <v>285</v>
      </c>
      <c r="C57" s="1">
        <f t="shared" si="0"/>
        <v>45849</v>
      </c>
      <c r="D57">
        <f t="shared" si="1"/>
        <v>2025</v>
      </c>
      <c r="E57">
        <f t="shared" si="2"/>
        <v>7</v>
      </c>
      <c r="F57" s="13" t="s">
        <v>122</v>
      </c>
      <c r="G57" s="13" t="s">
        <v>11</v>
      </c>
      <c r="H57" s="13" t="s">
        <v>825</v>
      </c>
    </row>
    <row r="58" spans="1:8" x14ac:dyDescent="0.25">
      <c r="A58" t="s">
        <v>123</v>
      </c>
      <c r="B58" s="14" cm="1">
        <f t="array" ref="B58">_xll.GetPrice("FP-PNL-0052",,"Low",_SPECIFIEDvarPubDate,)</f>
        <v>287</v>
      </c>
      <c r="C58" s="1">
        <f t="shared" si="0"/>
        <v>45849</v>
      </c>
      <c r="D58">
        <f t="shared" si="1"/>
        <v>2025</v>
      </c>
      <c r="E58">
        <f t="shared" si="2"/>
        <v>7</v>
      </c>
      <c r="F58" s="13" t="s">
        <v>124</v>
      </c>
      <c r="G58" s="13" t="s">
        <v>11</v>
      </c>
      <c r="H58" s="13" t="s">
        <v>825</v>
      </c>
    </row>
    <row r="59" spans="1:8" x14ac:dyDescent="0.25">
      <c r="A59" t="s">
        <v>125</v>
      </c>
      <c r="B59" s="14" cm="1">
        <f t="array" ref="B59">_xll.GetPrice("FP-PNL-0139",,"Low",_SPECIFIEDvarPubDate,)</f>
        <v>315</v>
      </c>
      <c r="C59" s="1">
        <f t="shared" si="0"/>
        <v>45849</v>
      </c>
      <c r="D59">
        <f t="shared" si="1"/>
        <v>2025</v>
      </c>
      <c r="E59">
        <f t="shared" si="2"/>
        <v>7</v>
      </c>
      <c r="F59" s="13" t="s">
        <v>126</v>
      </c>
      <c r="G59" s="13" t="s">
        <v>11</v>
      </c>
      <c r="H59" s="13" t="s">
        <v>825</v>
      </c>
    </row>
    <row r="60" spans="1:8" x14ac:dyDescent="0.25">
      <c r="A60" t="s">
        <v>127</v>
      </c>
      <c r="B60" s="14" cm="1">
        <f t="array" ref="B60">_xll.GetPrice("FP-PNL-0129",,"Low",_SPECIFIEDvarPubDate,)</f>
        <v>275</v>
      </c>
      <c r="C60" s="1">
        <f t="shared" si="0"/>
        <v>45849</v>
      </c>
      <c r="D60">
        <f t="shared" si="1"/>
        <v>2025</v>
      </c>
      <c r="E60">
        <f t="shared" si="2"/>
        <v>7</v>
      </c>
      <c r="F60" s="13" t="s">
        <v>128</v>
      </c>
      <c r="G60" s="13" t="s">
        <v>11</v>
      </c>
      <c r="H60" s="13" t="s">
        <v>825</v>
      </c>
    </row>
    <row r="61" spans="1:8" x14ac:dyDescent="0.25">
      <c r="A61" t="s">
        <v>129</v>
      </c>
      <c r="B61" s="14" cm="1">
        <f t="array" ref="B61">_xll.GetPrice("FP-PNL-0144",,"Low",_SPECIFIEDvarPubDate,)</f>
        <v>310</v>
      </c>
      <c r="C61" s="1">
        <f t="shared" si="0"/>
        <v>45849</v>
      </c>
      <c r="D61">
        <f t="shared" si="1"/>
        <v>2025</v>
      </c>
      <c r="E61">
        <f t="shared" si="2"/>
        <v>7</v>
      </c>
      <c r="F61" s="13" t="s">
        <v>130</v>
      </c>
      <c r="G61" s="13" t="s">
        <v>11</v>
      </c>
      <c r="H61" s="13" t="s">
        <v>825</v>
      </c>
    </row>
    <row r="62" spans="1:8" x14ac:dyDescent="0.25">
      <c r="A62" t="s">
        <v>131</v>
      </c>
      <c r="B62" s="14" cm="1">
        <f t="array" ref="B62">_xll.GetPrice("FP-PNL-0149",,"Low",_SPECIFIEDvarPubDate,)</f>
        <v>310</v>
      </c>
      <c r="C62" s="1">
        <f t="shared" si="0"/>
        <v>45849</v>
      </c>
      <c r="D62">
        <f t="shared" si="1"/>
        <v>2025</v>
      </c>
      <c r="E62">
        <f t="shared" si="2"/>
        <v>7</v>
      </c>
      <c r="F62" s="13" t="s">
        <v>132</v>
      </c>
      <c r="G62" s="13" t="s">
        <v>11</v>
      </c>
      <c r="H62" s="13" t="s">
        <v>825</v>
      </c>
    </row>
    <row r="63" spans="1:8" x14ac:dyDescent="0.25">
      <c r="A63" t="s">
        <v>133</v>
      </c>
      <c r="B63" s="14" cm="1">
        <f t="array" ref="B63">_xll.GetPrice("FP-PNL-0134",,"Low",_SPECIFIEDvarPubDate,)</f>
        <v>275</v>
      </c>
      <c r="C63" s="1">
        <f t="shared" si="0"/>
        <v>45849</v>
      </c>
      <c r="D63">
        <f t="shared" si="1"/>
        <v>2025</v>
      </c>
      <c r="E63">
        <f t="shared" si="2"/>
        <v>7</v>
      </c>
      <c r="F63" s="13" t="s">
        <v>134</v>
      </c>
      <c r="G63" s="13" t="s">
        <v>11</v>
      </c>
      <c r="H63" s="13" t="s">
        <v>825</v>
      </c>
    </row>
    <row r="64" spans="1:8" x14ac:dyDescent="0.25">
      <c r="A64" t="s">
        <v>135</v>
      </c>
      <c r="B64" s="14" cm="1">
        <f t="array" ref="B64">_xll.GetPrice("FP-PNL-0057",,"Low",_SPECIFIEDvarPubDate,)</f>
        <v>370</v>
      </c>
      <c r="C64" s="1">
        <f t="shared" si="0"/>
        <v>45849</v>
      </c>
      <c r="D64">
        <f t="shared" si="1"/>
        <v>2025</v>
      </c>
      <c r="E64">
        <f t="shared" si="2"/>
        <v>7</v>
      </c>
      <c r="F64" s="13" t="s">
        <v>136</v>
      </c>
      <c r="G64" s="13" t="s">
        <v>11</v>
      </c>
      <c r="H64" s="13" t="s">
        <v>825</v>
      </c>
    </row>
    <row r="65" spans="1:8" x14ac:dyDescent="0.25">
      <c r="A65" t="s">
        <v>137</v>
      </c>
      <c r="B65" s="14" cm="1">
        <f t="array" ref="B65">_xll.GetPrice("FP-PNL-0227",,"Low",_SPECIFIEDvarPubDate,)</f>
        <v>455</v>
      </c>
      <c r="C65" s="1">
        <f t="shared" si="0"/>
        <v>45849</v>
      </c>
      <c r="D65">
        <f t="shared" si="1"/>
        <v>2025</v>
      </c>
      <c r="E65">
        <f t="shared" si="2"/>
        <v>7</v>
      </c>
      <c r="F65" s="13" t="s">
        <v>138</v>
      </c>
      <c r="G65" s="13" t="s">
        <v>11</v>
      </c>
      <c r="H65" s="13" t="s">
        <v>825</v>
      </c>
    </row>
    <row r="66" spans="1:8" x14ac:dyDescent="0.25">
      <c r="A66" t="s">
        <v>139</v>
      </c>
      <c r="B66" s="14" cm="1">
        <f t="array" ref="B66">_xll.GetPrice("FP-PNL-0228",,"Low",_SPECIFIEDvarPubDate,)</f>
        <v>600</v>
      </c>
      <c r="C66" s="1">
        <f t="shared" ref="C66:C125" si="3">_SPECIFIEDvarPubDate</f>
        <v>45849</v>
      </c>
      <c r="D66">
        <f t="shared" ref="D66:D125" si="4">_SPECIFIEDvarYear</f>
        <v>2025</v>
      </c>
      <c r="E66">
        <f t="shared" ref="E66:E125" si="5">_SPECIFIEDvarMonth</f>
        <v>7</v>
      </c>
      <c r="F66" s="13" t="s">
        <v>140</v>
      </c>
      <c r="G66" s="13" t="s">
        <v>11</v>
      </c>
      <c r="H66" s="13" t="s">
        <v>825</v>
      </c>
    </row>
    <row r="67" spans="1:8" x14ac:dyDescent="0.25">
      <c r="A67" t="s">
        <v>141</v>
      </c>
      <c r="B67" s="14" cm="1">
        <f t="array" ref="B67">_xll.GetPrice("FP-PNL-0229",,"Low",_SPECIFIEDvarPubDate,)</f>
        <v>670</v>
      </c>
      <c r="C67" s="1">
        <f t="shared" si="3"/>
        <v>45849</v>
      </c>
      <c r="D67">
        <f t="shared" si="4"/>
        <v>2025</v>
      </c>
      <c r="E67">
        <f t="shared" si="5"/>
        <v>7</v>
      </c>
      <c r="F67" s="13" t="s">
        <v>142</v>
      </c>
      <c r="G67" s="13" t="s">
        <v>11</v>
      </c>
      <c r="H67" s="13" t="s">
        <v>825</v>
      </c>
    </row>
    <row r="68" spans="1:8" x14ac:dyDescent="0.25">
      <c r="A68" t="s">
        <v>143</v>
      </c>
      <c r="B68" s="14" cm="1">
        <f t="array" ref="B68">_xll.GetPrice("FP-PNL-0230",,"Low",_SPECIFIEDvarPubDate,)</f>
        <v>810</v>
      </c>
      <c r="C68" s="1">
        <f t="shared" si="3"/>
        <v>45849</v>
      </c>
      <c r="D68">
        <f t="shared" si="4"/>
        <v>2025</v>
      </c>
      <c r="E68">
        <f t="shared" si="5"/>
        <v>7</v>
      </c>
      <c r="F68" s="13" t="s">
        <v>144</v>
      </c>
      <c r="G68" s="13" t="s">
        <v>11</v>
      </c>
      <c r="H68" s="13" t="s">
        <v>825</v>
      </c>
    </row>
    <row r="69" spans="1:8" x14ac:dyDescent="0.25">
      <c r="A69" t="s">
        <v>145</v>
      </c>
      <c r="B69" s="14" cm="1">
        <f t="array" ref="B69">_xll.GetPrice("FP-PNL-0258",,"Low",_SPECIFIEDvarPubDate,)</f>
        <v>1185</v>
      </c>
      <c r="C69" s="1">
        <f t="shared" si="3"/>
        <v>45849</v>
      </c>
      <c r="D69">
        <f t="shared" si="4"/>
        <v>2025</v>
      </c>
      <c r="E69">
        <f t="shared" si="5"/>
        <v>7</v>
      </c>
      <c r="F69" s="13" t="s">
        <v>146</v>
      </c>
      <c r="G69" s="13" t="s">
        <v>11</v>
      </c>
      <c r="H69" s="13" t="s">
        <v>825</v>
      </c>
    </row>
    <row r="70" spans="1:8" x14ac:dyDescent="0.25">
      <c r="A70" t="s">
        <v>147</v>
      </c>
      <c r="B70" s="14" cm="1">
        <f t="array" ref="B70">_xll.GetPrice("FP-PNL-0259",,"Low",_SPECIFIEDvarPubDate,)</f>
        <v>1230</v>
      </c>
      <c r="C70" s="1">
        <f t="shared" si="3"/>
        <v>45849</v>
      </c>
      <c r="D70">
        <f t="shared" si="4"/>
        <v>2025</v>
      </c>
      <c r="E70">
        <f t="shared" si="5"/>
        <v>7</v>
      </c>
      <c r="F70" s="13" t="s">
        <v>148</v>
      </c>
      <c r="G70" s="13" t="s">
        <v>11</v>
      </c>
      <c r="H70" s="13" t="s">
        <v>825</v>
      </c>
    </row>
    <row r="71" spans="1:8" x14ac:dyDescent="0.25">
      <c r="A71" t="s">
        <v>149</v>
      </c>
      <c r="B71" s="14" cm="1">
        <f t="array" ref="B71">_xll.GetPrice("FP-PNL-0260",,"Low",_SPECIFIEDvarPubDate,)</f>
        <v>1730</v>
      </c>
      <c r="C71" s="1">
        <f t="shared" si="3"/>
        <v>45849</v>
      </c>
      <c r="D71">
        <f t="shared" si="4"/>
        <v>2025</v>
      </c>
      <c r="E71">
        <f t="shared" si="5"/>
        <v>7</v>
      </c>
      <c r="F71" s="13" t="s">
        <v>150</v>
      </c>
      <c r="G71" s="13" t="s">
        <v>11</v>
      </c>
      <c r="H71" s="13" t="s">
        <v>825</v>
      </c>
    </row>
    <row r="72" spans="1:8" x14ac:dyDescent="0.25">
      <c r="A72" t="s">
        <v>151</v>
      </c>
      <c r="B72" s="14" cm="1">
        <f t="array" ref="B72">_xll.GetPrice("FP-PNL-0261",,"Low",_SPECIFIEDvarPubDate,)</f>
        <v>1935</v>
      </c>
      <c r="C72" s="1">
        <f t="shared" si="3"/>
        <v>45849</v>
      </c>
      <c r="D72">
        <f t="shared" si="4"/>
        <v>2025</v>
      </c>
      <c r="E72">
        <f t="shared" si="5"/>
        <v>7</v>
      </c>
      <c r="F72" s="13" t="s">
        <v>152</v>
      </c>
      <c r="G72" s="13" t="s">
        <v>11</v>
      </c>
      <c r="H72" s="13" t="s">
        <v>825</v>
      </c>
    </row>
    <row r="73" spans="1:8" x14ac:dyDescent="0.25">
      <c r="A73" t="s">
        <v>153</v>
      </c>
      <c r="B73" s="14" cm="1">
        <f t="array" ref="B73">_xll.GetPrice("FP-PNL-0262",,"Low",_SPECIFIEDvarPubDate,)</f>
        <v>2165</v>
      </c>
      <c r="C73" s="1">
        <f t="shared" si="3"/>
        <v>45849</v>
      </c>
      <c r="D73">
        <f t="shared" si="4"/>
        <v>2025</v>
      </c>
      <c r="E73">
        <f t="shared" si="5"/>
        <v>7</v>
      </c>
      <c r="F73" s="13" t="s">
        <v>154</v>
      </c>
      <c r="G73" s="13" t="s">
        <v>11</v>
      </c>
      <c r="H73" s="13" t="s">
        <v>825</v>
      </c>
    </row>
    <row r="74" spans="1:8" x14ac:dyDescent="0.25">
      <c r="A74" t="s">
        <v>155</v>
      </c>
      <c r="B74" s="14" cm="1">
        <f t="array" ref="B74">_xll.GetPrice("FP-PNL-0115",,"Low",_SPECIFIEDvarPubDate,)</f>
        <v>215</v>
      </c>
      <c r="C74" s="1">
        <f t="shared" si="3"/>
        <v>45849</v>
      </c>
      <c r="D74">
        <f t="shared" si="4"/>
        <v>2025</v>
      </c>
      <c r="E74">
        <f t="shared" si="5"/>
        <v>7</v>
      </c>
      <c r="F74" s="13" t="s">
        <v>156</v>
      </c>
      <c r="G74" s="13" t="s">
        <v>11</v>
      </c>
      <c r="H74" s="13" t="s">
        <v>825</v>
      </c>
    </row>
    <row r="75" spans="1:8" x14ac:dyDescent="0.25">
      <c r="A75" t="s">
        <v>157</v>
      </c>
      <c r="B75" s="14" cm="1">
        <f t="array" ref="B75">_xll.GetPrice("FP-PNL-0116",,"Low",_SPECIFIEDvarPubDate,)</f>
        <v>215</v>
      </c>
      <c r="C75" s="1">
        <f t="shared" si="3"/>
        <v>45849</v>
      </c>
      <c r="D75">
        <f t="shared" si="4"/>
        <v>2025</v>
      </c>
      <c r="E75">
        <f t="shared" si="5"/>
        <v>7</v>
      </c>
      <c r="F75" s="13" t="s">
        <v>158</v>
      </c>
      <c r="G75" s="13" t="s">
        <v>11</v>
      </c>
      <c r="H75" s="13" t="s">
        <v>825</v>
      </c>
    </row>
    <row r="76" spans="1:8" x14ac:dyDescent="0.25">
      <c r="A76" t="s">
        <v>159</v>
      </c>
      <c r="B76" s="14" cm="1">
        <f t="array" ref="B76">_xll.GetPrice("FP-PNL-0117",,"Low",_SPECIFIEDvarPubDate,)</f>
        <v>235</v>
      </c>
      <c r="C76" s="1">
        <f t="shared" si="3"/>
        <v>45849</v>
      </c>
      <c r="D76">
        <f t="shared" si="4"/>
        <v>2025</v>
      </c>
      <c r="E76">
        <f t="shared" si="5"/>
        <v>7</v>
      </c>
      <c r="F76" s="13" t="s">
        <v>160</v>
      </c>
      <c r="G76" s="13" t="s">
        <v>11</v>
      </c>
      <c r="H76" s="13" t="s">
        <v>825</v>
      </c>
    </row>
    <row r="77" spans="1:8" x14ac:dyDescent="0.25">
      <c r="A77" t="s">
        <v>161</v>
      </c>
      <c r="B77" s="14" cm="1">
        <f t="array" ref="B77">_xll.GetPrice("FP-PNL-0118",,"Low",_SPECIFIEDvarPubDate,)</f>
        <v>255</v>
      </c>
      <c r="C77" s="1">
        <f t="shared" si="3"/>
        <v>45849</v>
      </c>
      <c r="D77">
        <f t="shared" si="4"/>
        <v>2025</v>
      </c>
      <c r="E77">
        <f t="shared" si="5"/>
        <v>7</v>
      </c>
      <c r="F77" s="13" t="s">
        <v>162</v>
      </c>
      <c r="G77" s="13" t="s">
        <v>11</v>
      </c>
      <c r="H77" s="13" t="s">
        <v>825</v>
      </c>
    </row>
    <row r="78" spans="1:8" x14ac:dyDescent="0.25">
      <c r="A78" t="s">
        <v>163</v>
      </c>
      <c r="B78" s="14" cm="1">
        <f t="array" ref="B78">_xll.GetPrice("FP-PNL-0119",,"Low",_SPECIFIEDvarPubDate,)</f>
        <v>340</v>
      </c>
      <c r="C78" s="1">
        <f t="shared" si="3"/>
        <v>45849</v>
      </c>
      <c r="D78">
        <f t="shared" si="4"/>
        <v>2025</v>
      </c>
      <c r="E78">
        <f t="shared" si="5"/>
        <v>7</v>
      </c>
      <c r="F78" s="13" t="s">
        <v>164</v>
      </c>
      <c r="G78" s="13" t="s">
        <v>11</v>
      </c>
      <c r="H78" s="13" t="s">
        <v>825</v>
      </c>
    </row>
    <row r="79" spans="1:8" x14ac:dyDescent="0.25">
      <c r="A79" t="s">
        <v>165</v>
      </c>
      <c r="B79" s="14" cm="1">
        <f t="array" ref="B79">_xll.GetPrice("FP-PNL-0120",,"Low",_SPECIFIEDvarPubDate,)</f>
        <v>385</v>
      </c>
      <c r="C79" s="1">
        <f t="shared" si="3"/>
        <v>45849</v>
      </c>
      <c r="D79">
        <f t="shared" si="4"/>
        <v>2025</v>
      </c>
      <c r="E79">
        <f t="shared" si="5"/>
        <v>7</v>
      </c>
      <c r="F79" s="13" t="s">
        <v>166</v>
      </c>
      <c r="G79" s="13" t="s">
        <v>11</v>
      </c>
      <c r="H79" s="13" t="s">
        <v>825</v>
      </c>
    </row>
    <row r="80" spans="1:8" x14ac:dyDescent="0.25">
      <c r="A80" t="s">
        <v>167</v>
      </c>
      <c r="B80" s="14" cm="1">
        <f t="array" ref="B80">_xll.GetPrice("FP-PNL-0048",,"Low",_SPECIFIEDvarPubDate,)</f>
        <v>380</v>
      </c>
      <c r="C80" s="1">
        <f t="shared" si="3"/>
        <v>45849</v>
      </c>
      <c r="D80">
        <f t="shared" si="4"/>
        <v>2025</v>
      </c>
      <c r="E80">
        <f t="shared" si="5"/>
        <v>7</v>
      </c>
      <c r="F80" s="13" t="s">
        <v>168</v>
      </c>
      <c r="G80" s="13" t="s">
        <v>11</v>
      </c>
      <c r="H80" s="13" t="s">
        <v>825</v>
      </c>
    </row>
    <row r="81" spans="1:8" x14ac:dyDescent="0.25">
      <c r="A81" t="s">
        <v>169</v>
      </c>
      <c r="B81" s="14" cm="1">
        <f t="array" ref="B81">_xll.GetPrice("FP-PNL-0053",,"Low",_SPECIFIEDvarPubDate,)</f>
        <v>385</v>
      </c>
      <c r="C81" s="1">
        <f t="shared" si="3"/>
        <v>45849</v>
      </c>
      <c r="D81">
        <f t="shared" si="4"/>
        <v>2025</v>
      </c>
      <c r="E81">
        <f t="shared" si="5"/>
        <v>7</v>
      </c>
      <c r="F81" s="13" t="s">
        <v>170</v>
      </c>
      <c r="G81" s="13" t="s">
        <v>11</v>
      </c>
      <c r="H81" s="13" t="s">
        <v>825</v>
      </c>
    </row>
    <row r="82" spans="1:8" x14ac:dyDescent="0.25">
      <c r="A82" t="s">
        <v>171</v>
      </c>
      <c r="B82" s="14" cm="1">
        <f t="array" ref="B82">_xll.GetPrice("FP-PNL-0140",,"Low",_SPECIFIEDvarPubDate,)</f>
        <v>415</v>
      </c>
      <c r="C82" s="1">
        <f t="shared" si="3"/>
        <v>45849</v>
      </c>
      <c r="D82">
        <f t="shared" si="4"/>
        <v>2025</v>
      </c>
      <c r="E82">
        <f t="shared" si="5"/>
        <v>7</v>
      </c>
      <c r="F82" s="13" t="s">
        <v>172</v>
      </c>
      <c r="G82" s="13" t="s">
        <v>11</v>
      </c>
      <c r="H82" s="13" t="s">
        <v>825</v>
      </c>
    </row>
    <row r="83" spans="1:8" x14ac:dyDescent="0.25">
      <c r="A83" t="s">
        <v>173</v>
      </c>
      <c r="B83" s="14" cm="1">
        <f t="array" ref="B83">_xll.GetPrice("FP-PNL-0130",,"Low",_SPECIFIEDvarPubDate,)</f>
        <v>390</v>
      </c>
      <c r="C83" s="1">
        <f t="shared" si="3"/>
        <v>45849</v>
      </c>
      <c r="D83">
        <f t="shared" si="4"/>
        <v>2025</v>
      </c>
      <c r="E83">
        <f t="shared" si="5"/>
        <v>7</v>
      </c>
      <c r="F83" s="13" t="s">
        <v>174</v>
      </c>
      <c r="G83" s="13" t="s">
        <v>11</v>
      </c>
      <c r="H83" s="13" t="s">
        <v>825</v>
      </c>
    </row>
    <row r="84" spans="1:8" x14ac:dyDescent="0.25">
      <c r="A84" t="s">
        <v>175</v>
      </c>
      <c r="B84" s="14" cm="1">
        <f t="array" ref="B84">_xll.GetPrice("FP-PNL-0145",,"Low",_SPECIFIEDvarPubDate,)</f>
        <v>435</v>
      </c>
      <c r="C84" s="1">
        <f t="shared" si="3"/>
        <v>45849</v>
      </c>
      <c r="D84">
        <f t="shared" si="4"/>
        <v>2025</v>
      </c>
      <c r="E84">
        <f t="shared" si="5"/>
        <v>7</v>
      </c>
      <c r="F84" s="13" t="s">
        <v>176</v>
      </c>
      <c r="G84" s="13" t="s">
        <v>11</v>
      </c>
      <c r="H84" s="13" t="s">
        <v>825</v>
      </c>
    </row>
    <row r="85" spans="1:8" x14ac:dyDescent="0.25">
      <c r="A85" t="s">
        <v>177</v>
      </c>
      <c r="B85" s="14" cm="1">
        <f t="array" ref="B85">_xll.GetPrice("FP-PNL-0150",,"Low",_SPECIFIEDvarPubDate,)</f>
        <v>435</v>
      </c>
      <c r="C85" s="1">
        <f t="shared" si="3"/>
        <v>45849</v>
      </c>
      <c r="D85">
        <f t="shared" si="4"/>
        <v>2025</v>
      </c>
      <c r="E85">
        <f t="shared" si="5"/>
        <v>7</v>
      </c>
      <c r="F85" s="13" t="s">
        <v>178</v>
      </c>
      <c r="G85" s="13" t="s">
        <v>11</v>
      </c>
      <c r="H85" s="13" t="s">
        <v>825</v>
      </c>
    </row>
    <row r="86" spans="1:8" x14ac:dyDescent="0.25">
      <c r="A86" t="s">
        <v>179</v>
      </c>
      <c r="B86" s="14" cm="1">
        <f t="array" ref="B86">_xll.GetPrice("FP-PNL-0135",,"Low",_SPECIFIEDvarPubDate,)</f>
        <v>390</v>
      </c>
      <c r="C86" s="1">
        <f t="shared" si="3"/>
        <v>45849</v>
      </c>
      <c r="D86">
        <f t="shared" si="4"/>
        <v>2025</v>
      </c>
      <c r="E86">
        <f t="shared" si="5"/>
        <v>7</v>
      </c>
      <c r="F86" s="13" t="s">
        <v>180</v>
      </c>
      <c r="G86" s="13" t="s">
        <v>11</v>
      </c>
      <c r="H86" s="13" t="s">
        <v>825</v>
      </c>
    </row>
    <row r="87" spans="1:8" x14ac:dyDescent="0.25">
      <c r="A87" t="s">
        <v>181</v>
      </c>
      <c r="B87" s="14" cm="1">
        <f t="array" ref="B87">_xll.GetPrice("FP-PNL-0059",,"Low",_SPECIFIEDvarPubDate,)</f>
        <v>510</v>
      </c>
      <c r="C87" s="1">
        <f t="shared" si="3"/>
        <v>45849</v>
      </c>
      <c r="D87">
        <f t="shared" si="4"/>
        <v>2025</v>
      </c>
      <c r="E87">
        <f t="shared" si="5"/>
        <v>7</v>
      </c>
      <c r="F87" s="13" t="s">
        <v>182</v>
      </c>
      <c r="G87" s="13" t="s">
        <v>11</v>
      </c>
      <c r="H87" s="13" t="s">
        <v>825</v>
      </c>
    </row>
    <row r="88" spans="1:8" x14ac:dyDescent="0.25">
      <c r="A88" t="s">
        <v>187</v>
      </c>
      <c r="B88" s="14" cm="1">
        <f t="array" ref="B88">_xll.GetPrice("FP-PNL-0049",,"Low",_SPECIFIEDvarPubDate,)</f>
        <v>480</v>
      </c>
      <c r="C88" s="1">
        <f t="shared" si="3"/>
        <v>45849</v>
      </c>
      <c r="D88">
        <f t="shared" si="4"/>
        <v>2025</v>
      </c>
      <c r="E88">
        <f t="shared" si="5"/>
        <v>7</v>
      </c>
      <c r="F88" s="13" t="s">
        <v>188</v>
      </c>
      <c r="G88" s="13" t="s">
        <v>11</v>
      </c>
      <c r="H88" s="13" t="s">
        <v>825</v>
      </c>
    </row>
    <row r="89" spans="1:8" x14ac:dyDescent="0.25">
      <c r="A89" t="s">
        <v>189</v>
      </c>
      <c r="B89" s="14" cm="1">
        <f t="array" ref="B89">_xll.GetPrice("FP-PNL-0054",,"Low",_SPECIFIEDvarPubDate,)</f>
        <v>485</v>
      </c>
      <c r="C89" s="1">
        <f t="shared" si="3"/>
        <v>45849</v>
      </c>
      <c r="D89">
        <f t="shared" si="4"/>
        <v>2025</v>
      </c>
      <c r="E89">
        <f t="shared" si="5"/>
        <v>7</v>
      </c>
      <c r="F89" s="13" t="s">
        <v>190</v>
      </c>
      <c r="G89" s="13" t="s">
        <v>11</v>
      </c>
      <c r="H89" s="13" t="s">
        <v>825</v>
      </c>
    </row>
    <row r="90" spans="1:8" x14ac:dyDescent="0.25">
      <c r="A90" t="s">
        <v>191</v>
      </c>
      <c r="B90" s="14" cm="1">
        <f t="array" ref="B90">_xll.GetPrice("FP-PNL-0141",,"Low",_SPECIFIEDvarPubDate,)</f>
        <v>460</v>
      </c>
      <c r="C90" s="1">
        <f t="shared" si="3"/>
        <v>45849</v>
      </c>
      <c r="D90">
        <f t="shared" si="4"/>
        <v>2025</v>
      </c>
      <c r="E90">
        <f t="shared" si="5"/>
        <v>7</v>
      </c>
      <c r="F90" s="13" t="s">
        <v>192</v>
      </c>
      <c r="G90" s="13" t="s">
        <v>11</v>
      </c>
      <c r="H90" s="13" t="s">
        <v>825</v>
      </c>
    </row>
    <row r="91" spans="1:8" x14ac:dyDescent="0.25">
      <c r="A91" t="s">
        <v>193</v>
      </c>
      <c r="B91" s="14" cm="1">
        <f t="array" ref="B91">_xll.GetPrice("FP-PNL-0131",,"Low",_SPECIFIEDvarPubDate,)</f>
        <v>435</v>
      </c>
      <c r="C91" s="1">
        <f t="shared" si="3"/>
        <v>45849</v>
      </c>
      <c r="D91">
        <f t="shared" si="4"/>
        <v>2025</v>
      </c>
      <c r="E91">
        <f t="shared" si="5"/>
        <v>7</v>
      </c>
      <c r="F91" s="13" t="s">
        <v>194</v>
      </c>
      <c r="G91" s="13" t="s">
        <v>11</v>
      </c>
      <c r="H91" s="13" t="s">
        <v>825</v>
      </c>
    </row>
    <row r="92" spans="1:8" x14ac:dyDescent="0.25">
      <c r="A92" t="s">
        <v>195</v>
      </c>
      <c r="B92" s="14" cm="1">
        <f t="array" ref="B92">_xll.GetPrice("FP-PNL-0146",,"Low",_SPECIFIEDvarPubDate,)</f>
        <v>490</v>
      </c>
      <c r="C92" s="1">
        <f t="shared" si="3"/>
        <v>45849</v>
      </c>
      <c r="D92">
        <f t="shared" si="4"/>
        <v>2025</v>
      </c>
      <c r="E92">
        <f t="shared" si="5"/>
        <v>7</v>
      </c>
      <c r="F92" s="13" t="s">
        <v>196</v>
      </c>
      <c r="G92" s="13" t="s">
        <v>11</v>
      </c>
      <c r="H92" s="13" t="s">
        <v>825</v>
      </c>
    </row>
    <row r="93" spans="1:8" x14ac:dyDescent="0.25">
      <c r="A93" t="s">
        <v>197</v>
      </c>
      <c r="B93" s="14" cm="1">
        <f t="array" ref="B93">_xll.GetPrice("FP-PNL-0151",,"Low",_SPECIFIEDvarPubDate,)</f>
        <v>490</v>
      </c>
      <c r="C93" s="1">
        <f t="shared" si="3"/>
        <v>45849</v>
      </c>
      <c r="D93">
        <f t="shared" si="4"/>
        <v>2025</v>
      </c>
      <c r="E93">
        <f t="shared" si="5"/>
        <v>7</v>
      </c>
      <c r="F93" s="13" t="s">
        <v>198</v>
      </c>
      <c r="G93" s="13" t="s">
        <v>11</v>
      </c>
      <c r="H93" s="13" t="s">
        <v>825</v>
      </c>
    </row>
    <row r="94" spans="1:8" x14ac:dyDescent="0.25">
      <c r="A94" t="s">
        <v>199</v>
      </c>
      <c r="B94" s="14" cm="1">
        <f t="array" ref="B94">_xll.GetPrice("FP-PNL-0136",,"Low",_SPECIFIEDvarPubDate,)</f>
        <v>435</v>
      </c>
      <c r="C94" s="1">
        <f t="shared" si="3"/>
        <v>45849</v>
      </c>
      <c r="D94">
        <f t="shared" si="4"/>
        <v>2025</v>
      </c>
      <c r="E94">
        <f t="shared" si="5"/>
        <v>7</v>
      </c>
      <c r="F94" s="13" t="s">
        <v>200</v>
      </c>
      <c r="G94" s="13" t="s">
        <v>11</v>
      </c>
      <c r="H94" s="13" t="s">
        <v>825</v>
      </c>
    </row>
    <row r="95" spans="1:8" x14ac:dyDescent="0.25">
      <c r="A95" t="s">
        <v>201</v>
      </c>
      <c r="B95" s="14" cm="1">
        <f t="array" ref="B95">_xll.GetPrice("FP-PNL-0060",,"Low",_SPECIFIEDvarPubDate,)</f>
        <v>625</v>
      </c>
      <c r="C95" s="1">
        <f t="shared" si="3"/>
        <v>45849</v>
      </c>
      <c r="D95">
        <f t="shared" si="4"/>
        <v>2025</v>
      </c>
      <c r="E95">
        <f t="shared" si="5"/>
        <v>7</v>
      </c>
      <c r="F95" s="13" t="s">
        <v>202</v>
      </c>
      <c r="G95" s="13" t="s">
        <v>11</v>
      </c>
      <c r="H95" s="13" t="s">
        <v>825</v>
      </c>
    </row>
    <row r="96" spans="1:8" x14ac:dyDescent="0.25">
      <c r="A96" t="s">
        <v>203</v>
      </c>
      <c r="B96" s="14" cm="1">
        <f t="array" ref="B96">_xll.GetPrice("FP-PNL-0235",,"Low",_SPECIFIEDvarPubDate,)</f>
        <v>1210</v>
      </c>
      <c r="C96" s="1">
        <f t="shared" si="3"/>
        <v>45849</v>
      </c>
      <c r="D96">
        <f t="shared" si="4"/>
        <v>2025</v>
      </c>
      <c r="E96">
        <f t="shared" si="5"/>
        <v>7</v>
      </c>
      <c r="F96" s="13" t="s">
        <v>204</v>
      </c>
      <c r="G96" s="13" t="s">
        <v>11</v>
      </c>
      <c r="H96" s="13" t="s">
        <v>825</v>
      </c>
    </row>
    <row r="97" spans="1:8" x14ac:dyDescent="0.25">
      <c r="A97" t="s">
        <v>205</v>
      </c>
      <c r="B97" s="14" cm="1">
        <f t="array" ref="B97">_xll.GetPrice("FP-PNL-0236",,"Low",_SPECIFIEDvarPubDate,)</f>
        <v>1545</v>
      </c>
      <c r="C97" s="1">
        <f t="shared" si="3"/>
        <v>45849</v>
      </c>
      <c r="D97">
        <f t="shared" si="4"/>
        <v>2025</v>
      </c>
      <c r="E97">
        <f t="shared" si="5"/>
        <v>7</v>
      </c>
      <c r="F97" s="13" t="s">
        <v>206</v>
      </c>
      <c r="G97" s="13" t="s">
        <v>11</v>
      </c>
      <c r="H97" s="13" t="s">
        <v>825</v>
      </c>
    </row>
    <row r="98" spans="1:8" x14ac:dyDescent="0.25">
      <c r="A98" t="s">
        <v>207</v>
      </c>
      <c r="B98" s="14" cm="1">
        <f t="array" ref="B98">_xll.GetPrice("FP-PNL-0237",,"Low",_SPECIFIEDvarPubDate,)</f>
        <v>1695</v>
      </c>
      <c r="C98" s="1">
        <f t="shared" si="3"/>
        <v>45849</v>
      </c>
      <c r="D98">
        <f t="shared" si="4"/>
        <v>2025</v>
      </c>
      <c r="E98">
        <f t="shared" si="5"/>
        <v>7</v>
      </c>
      <c r="F98" s="13" t="s">
        <v>208</v>
      </c>
      <c r="G98" s="13" t="s">
        <v>11</v>
      </c>
      <c r="H98" s="13" t="s">
        <v>825</v>
      </c>
    </row>
    <row r="99" spans="1:8" x14ac:dyDescent="0.25">
      <c r="A99" t="s">
        <v>209</v>
      </c>
      <c r="B99" s="14" cm="1">
        <f t="array" ref="B99">_xll.GetPrice("FP-PNL-0238",,"Low",_SPECIFIEDvarPubDate,)</f>
        <v>1785</v>
      </c>
      <c r="C99" s="1">
        <f t="shared" si="3"/>
        <v>45849</v>
      </c>
      <c r="D99">
        <f t="shared" si="4"/>
        <v>2025</v>
      </c>
      <c r="E99">
        <f t="shared" si="5"/>
        <v>7</v>
      </c>
      <c r="F99" s="13" t="s">
        <v>210</v>
      </c>
      <c r="G99" s="13" t="s">
        <v>11</v>
      </c>
      <c r="H99" s="13" t="s">
        <v>825</v>
      </c>
    </row>
    <row r="100" spans="1:8" x14ac:dyDescent="0.25">
      <c r="A100" t="s">
        <v>211</v>
      </c>
      <c r="B100" s="14" cm="1">
        <f t="array" ref="B100">_xll.GetPrice("FP-PNL-0268",,"Low",_SPECIFIEDvarPubDate,)</f>
        <v>1310</v>
      </c>
      <c r="C100" s="1">
        <f t="shared" si="3"/>
        <v>45849</v>
      </c>
      <c r="D100">
        <f t="shared" si="4"/>
        <v>2025</v>
      </c>
      <c r="E100">
        <f t="shared" si="5"/>
        <v>7</v>
      </c>
      <c r="F100" s="13" t="s">
        <v>212</v>
      </c>
      <c r="G100" s="13" t="s">
        <v>11</v>
      </c>
      <c r="H100" s="13" t="s">
        <v>825</v>
      </c>
    </row>
    <row r="101" spans="1:8" x14ac:dyDescent="0.25">
      <c r="A101" t="s">
        <v>213</v>
      </c>
      <c r="B101" s="14" cm="1">
        <f t="array" ref="B101">_xll.GetPrice("FP-PNL-0269",,"Low",_SPECIFIEDvarPubDate,)</f>
        <v>1885</v>
      </c>
      <c r="C101" s="1">
        <f t="shared" si="3"/>
        <v>45849</v>
      </c>
      <c r="D101">
        <f t="shared" si="4"/>
        <v>2025</v>
      </c>
      <c r="E101">
        <f t="shared" si="5"/>
        <v>7</v>
      </c>
      <c r="F101" s="13" t="s">
        <v>214</v>
      </c>
      <c r="G101" s="13" t="s">
        <v>11</v>
      </c>
      <c r="H101" s="13" t="s">
        <v>825</v>
      </c>
    </row>
    <row r="102" spans="1:8" x14ac:dyDescent="0.25">
      <c r="A102" t="s">
        <v>215</v>
      </c>
      <c r="B102" s="14" cm="1">
        <f t="array" ref="B102">_xll.GetPrice("FP-PNL-0270",,"Low",_SPECIFIEDvarPubDate,)</f>
        <v>1935</v>
      </c>
      <c r="C102" s="1">
        <f t="shared" si="3"/>
        <v>45849</v>
      </c>
      <c r="D102">
        <f t="shared" si="4"/>
        <v>2025</v>
      </c>
      <c r="E102">
        <f t="shared" si="5"/>
        <v>7</v>
      </c>
      <c r="F102" s="13" t="s">
        <v>216</v>
      </c>
      <c r="G102" s="13" t="s">
        <v>11</v>
      </c>
      <c r="H102" s="13" t="s">
        <v>825</v>
      </c>
    </row>
    <row r="103" spans="1:8" x14ac:dyDescent="0.25">
      <c r="A103" t="s">
        <v>217</v>
      </c>
      <c r="B103" s="14" cm="1">
        <f t="array" ref="B103">_xll.GetPrice("FP-PNL-0085",,"Low",_SPECIFIEDvarPubDate,)</f>
        <v>330</v>
      </c>
      <c r="C103" s="1">
        <f t="shared" si="3"/>
        <v>45849</v>
      </c>
      <c r="D103">
        <f t="shared" si="4"/>
        <v>2025</v>
      </c>
      <c r="E103">
        <f t="shared" si="5"/>
        <v>7</v>
      </c>
      <c r="F103" s="13" t="s">
        <v>218</v>
      </c>
      <c r="G103" s="13" t="s">
        <v>11</v>
      </c>
      <c r="H103" s="13" t="s">
        <v>825</v>
      </c>
    </row>
    <row r="104" spans="1:8" x14ac:dyDescent="0.25">
      <c r="A104" t="s">
        <v>219</v>
      </c>
      <c r="B104" s="14" cm="1">
        <f t="array" ref="B104">_xll.GetPrice("FP-PNL-0086",,"Low",_SPECIFIEDvarPubDate,)</f>
        <v>335</v>
      </c>
      <c r="C104" s="1">
        <f t="shared" si="3"/>
        <v>45849</v>
      </c>
      <c r="D104">
        <f t="shared" si="4"/>
        <v>2025</v>
      </c>
      <c r="E104">
        <f t="shared" si="5"/>
        <v>7</v>
      </c>
      <c r="F104" s="13" t="s">
        <v>220</v>
      </c>
      <c r="G104" s="13" t="s">
        <v>11</v>
      </c>
      <c r="H104" s="13" t="s">
        <v>825</v>
      </c>
    </row>
    <row r="105" spans="1:8" x14ac:dyDescent="0.25">
      <c r="A105" t="s">
        <v>221</v>
      </c>
      <c r="B105" s="14" cm="1">
        <f t="array" ref="B105">_xll.GetPrice("FP-PNL-0087",,"Low",_SPECIFIEDvarPubDate,)</f>
        <v>355</v>
      </c>
      <c r="C105" s="1">
        <f t="shared" si="3"/>
        <v>45849</v>
      </c>
      <c r="D105">
        <f t="shared" si="4"/>
        <v>2025</v>
      </c>
      <c r="E105">
        <f t="shared" si="5"/>
        <v>7</v>
      </c>
      <c r="F105" s="13" t="s">
        <v>222</v>
      </c>
      <c r="G105" s="13" t="s">
        <v>11</v>
      </c>
      <c r="H105" s="13" t="s">
        <v>825</v>
      </c>
    </row>
    <row r="106" spans="1:8" x14ac:dyDescent="0.25">
      <c r="A106" t="s">
        <v>223</v>
      </c>
      <c r="B106" s="14" cm="1">
        <f t="array" ref="B106">_xll.GetPrice("FP-PNL-0088",,"Low",_SPECIFIEDvarPubDate,)</f>
        <v>375</v>
      </c>
      <c r="C106" s="1">
        <f t="shared" si="3"/>
        <v>45849</v>
      </c>
      <c r="D106">
        <f t="shared" si="4"/>
        <v>2025</v>
      </c>
      <c r="E106">
        <f t="shared" si="5"/>
        <v>7</v>
      </c>
      <c r="F106" s="13" t="s">
        <v>224</v>
      </c>
      <c r="G106" s="13" t="s">
        <v>11</v>
      </c>
      <c r="H106" s="13" t="s">
        <v>825</v>
      </c>
    </row>
    <row r="107" spans="1:8" x14ac:dyDescent="0.25">
      <c r="A107" t="s">
        <v>225</v>
      </c>
      <c r="B107" s="14" cm="1">
        <f t="array" ref="B107">_xll.GetPrice("FP-PNL-0089",,"Low",_SPECIFIEDvarPubDate,)</f>
        <v>510</v>
      </c>
      <c r="C107" s="1">
        <f t="shared" si="3"/>
        <v>45849</v>
      </c>
      <c r="D107">
        <f t="shared" si="4"/>
        <v>2025</v>
      </c>
      <c r="E107">
        <f t="shared" si="5"/>
        <v>7</v>
      </c>
      <c r="F107" s="13" t="s">
        <v>226</v>
      </c>
      <c r="G107" s="13" t="s">
        <v>11</v>
      </c>
      <c r="H107" s="13" t="s">
        <v>825</v>
      </c>
    </row>
    <row r="108" spans="1:8" x14ac:dyDescent="0.25">
      <c r="A108" t="s">
        <v>227</v>
      </c>
      <c r="B108" s="14" cm="1">
        <f t="array" ref="B108">_xll.GetPrice("FP-PNL-0090",,"Low",_SPECIFIEDvarPubDate,)</f>
        <v>620</v>
      </c>
      <c r="C108" s="1">
        <f t="shared" si="3"/>
        <v>45849</v>
      </c>
      <c r="D108">
        <f t="shared" si="4"/>
        <v>2025</v>
      </c>
      <c r="E108">
        <f t="shared" si="5"/>
        <v>7</v>
      </c>
      <c r="F108" s="13" t="s">
        <v>228</v>
      </c>
      <c r="G108" s="13" t="s">
        <v>11</v>
      </c>
      <c r="H108" s="13" t="s">
        <v>825</v>
      </c>
    </row>
    <row r="109" spans="1:8" x14ac:dyDescent="0.25">
      <c r="A109" t="s">
        <v>229</v>
      </c>
      <c r="B109" s="14" cm="1">
        <f t="array" ref="B109">_xll.GetPrice("FP-PNL-0239",,"Low",_SPECIFIEDvarPubDate,)</f>
        <v>295</v>
      </c>
      <c r="C109" s="1">
        <f t="shared" si="3"/>
        <v>45849</v>
      </c>
      <c r="D109">
        <f t="shared" si="4"/>
        <v>2025</v>
      </c>
      <c r="E109">
        <f t="shared" si="5"/>
        <v>7</v>
      </c>
      <c r="F109" s="13" t="s">
        <v>230</v>
      </c>
      <c r="G109" s="13" t="s">
        <v>11</v>
      </c>
      <c r="H109" s="13" t="s">
        <v>825</v>
      </c>
    </row>
    <row r="110" spans="1:8" x14ac:dyDescent="0.25">
      <c r="A110" t="s">
        <v>231</v>
      </c>
      <c r="B110" s="14" cm="1">
        <f t="array" ref="B110">_xll.GetPrice("FP-PNL-0240",,"Low",_SPECIFIEDvarPubDate,)</f>
        <v>300</v>
      </c>
      <c r="C110" s="1">
        <f t="shared" si="3"/>
        <v>45849</v>
      </c>
      <c r="D110">
        <f t="shared" si="4"/>
        <v>2025</v>
      </c>
      <c r="E110">
        <f t="shared" si="5"/>
        <v>7</v>
      </c>
      <c r="F110" s="13" t="s">
        <v>232</v>
      </c>
      <c r="G110" s="13" t="s">
        <v>11</v>
      </c>
      <c r="H110" s="13" t="s">
        <v>825</v>
      </c>
    </row>
    <row r="111" spans="1:8" x14ac:dyDescent="0.25">
      <c r="A111" t="s">
        <v>233</v>
      </c>
      <c r="B111" s="14" cm="1">
        <f t="array" ref="B111">_xll.GetPrice("FP-PNL-0241",,"Low",_SPECIFIEDvarPubDate,)</f>
        <v>380</v>
      </c>
      <c r="C111" s="1">
        <f t="shared" si="3"/>
        <v>45849</v>
      </c>
      <c r="D111">
        <f t="shared" si="4"/>
        <v>2025</v>
      </c>
      <c r="E111">
        <f t="shared" si="5"/>
        <v>7</v>
      </c>
      <c r="F111" s="13" t="s">
        <v>234</v>
      </c>
      <c r="G111" s="13" t="s">
        <v>11</v>
      </c>
      <c r="H111" s="13" t="s">
        <v>825</v>
      </c>
    </row>
    <row r="112" spans="1:8" x14ac:dyDescent="0.25">
      <c r="A112" t="s">
        <v>235</v>
      </c>
      <c r="B112" s="14" cm="1">
        <f t="array" ref="B112">_xll.GetPrice("FP-PNL-0242",,"Low",_SPECIFIEDvarPubDate,)</f>
        <v>500</v>
      </c>
      <c r="C112" s="1">
        <f t="shared" si="3"/>
        <v>45849</v>
      </c>
      <c r="D112">
        <f t="shared" si="4"/>
        <v>2025</v>
      </c>
      <c r="E112">
        <f t="shared" si="5"/>
        <v>7</v>
      </c>
      <c r="F112" s="13" t="s">
        <v>236</v>
      </c>
      <c r="G112" s="13" t="s">
        <v>11</v>
      </c>
      <c r="H112" s="13" t="s">
        <v>825</v>
      </c>
    </row>
    <row r="113" spans="1:8" x14ac:dyDescent="0.25">
      <c r="A113" t="s">
        <v>237</v>
      </c>
      <c r="B113" s="14" cm="1">
        <f t="array" ref="B113">_xll.GetPrice("FP-PNL-0271",,"Low",_SPECIFIEDvarPubDate,)</f>
        <v>1230</v>
      </c>
      <c r="C113" s="1">
        <f t="shared" si="3"/>
        <v>45849</v>
      </c>
      <c r="D113">
        <f t="shared" si="4"/>
        <v>2025</v>
      </c>
      <c r="E113">
        <f t="shared" si="5"/>
        <v>7</v>
      </c>
      <c r="F113" s="13" t="s">
        <v>238</v>
      </c>
      <c r="G113" s="13" t="s">
        <v>11</v>
      </c>
      <c r="H113" s="13" t="s">
        <v>825</v>
      </c>
    </row>
    <row r="114" spans="1:8" x14ac:dyDescent="0.25">
      <c r="A114" t="s">
        <v>239</v>
      </c>
      <c r="B114" s="14" cm="1">
        <f t="array" ref="B114">_xll.GetPrice("FP-PNL-0272",,"Low",_SPECIFIEDvarPubDate,)</f>
        <v>1830</v>
      </c>
      <c r="C114" s="1">
        <f t="shared" si="3"/>
        <v>45849</v>
      </c>
      <c r="D114">
        <f t="shared" si="4"/>
        <v>2025</v>
      </c>
      <c r="E114">
        <f t="shared" si="5"/>
        <v>7</v>
      </c>
      <c r="F114" s="13" t="s">
        <v>240</v>
      </c>
      <c r="G114" s="13" t="s">
        <v>11</v>
      </c>
      <c r="H114" s="13" t="s">
        <v>825</v>
      </c>
    </row>
    <row r="115" spans="1:8" x14ac:dyDescent="0.25">
      <c r="A115" t="s">
        <v>241</v>
      </c>
      <c r="B115" s="14" cm="1">
        <f t="array" ref="B115">_xll.GetPrice("FP-PNL-0273",,"Low",_SPECIFIEDvarPubDate,)</f>
        <v>1885</v>
      </c>
      <c r="C115" s="1">
        <f t="shared" si="3"/>
        <v>45849</v>
      </c>
      <c r="D115">
        <f t="shared" si="4"/>
        <v>2025</v>
      </c>
      <c r="E115">
        <f t="shared" si="5"/>
        <v>7</v>
      </c>
      <c r="F115" s="13" t="s">
        <v>242</v>
      </c>
      <c r="G115" s="13" t="s">
        <v>11</v>
      </c>
      <c r="H115" s="13" t="s">
        <v>825</v>
      </c>
    </row>
    <row r="116" spans="1:8" x14ac:dyDescent="0.25">
      <c r="A116" t="s">
        <v>243</v>
      </c>
      <c r="B116" s="14" cm="1">
        <f t="array" ref="B116">_xll.GetPrice("FP-PNL-0153",,"Low",_SPECIFIEDvarPubDate,)</f>
        <v>345</v>
      </c>
      <c r="C116" s="1">
        <f t="shared" si="3"/>
        <v>45849</v>
      </c>
      <c r="D116">
        <f t="shared" si="4"/>
        <v>2025</v>
      </c>
      <c r="E116">
        <f t="shared" si="5"/>
        <v>7</v>
      </c>
      <c r="F116" s="13" t="s">
        <v>244</v>
      </c>
      <c r="G116" s="13" t="s">
        <v>11</v>
      </c>
      <c r="H116" s="13" t="s">
        <v>825</v>
      </c>
    </row>
    <row r="117" spans="1:8" x14ac:dyDescent="0.25">
      <c r="A117" t="s">
        <v>245</v>
      </c>
      <c r="B117" s="14" cm="1">
        <f t="array" ref="B117">_xll.GetPrice("FP-PNL-0154",,"Low",_SPECIFIEDvarPubDate,)</f>
        <v>416</v>
      </c>
      <c r="C117" s="1">
        <f t="shared" si="3"/>
        <v>45849</v>
      </c>
      <c r="D117">
        <f t="shared" si="4"/>
        <v>2025</v>
      </c>
      <c r="E117">
        <f t="shared" si="5"/>
        <v>7</v>
      </c>
      <c r="F117" s="13" t="s">
        <v>246</v>
      </c>
      <c r="G117" s="13" t="s">
        <v>11</v>
      </c>
      <c r="H117" s="13" t="s">
        <v>825</v>
      </c>
    </row>
    <row r="118" spans="1:8" x14ac:dyDescent="0.25">
      <c r="A118" t="s">
        <v>247</v>
      </c>
      <c r="B118" s="14" cm="1">
        <f t="array" ref="B118">_xll.GetPrice("FP-PNL-0155",,"Low",_SPECIFIEDvarPubDate,)</f>
        <v>421</v>
      </c>
      <c r="C118" s="1">
        <f t="shared" si="3"/>
        <v>45849</v>
      </c>
      <c r="D118">
        <f t="shared" si="4"/>
        <v>2025</v>
      </c>
      <c r="E118">
        <f t="shared" si="5"/>
        <v>7</v>
      </c>
      <c r="F118" s="13" t="s">
        <v>248</v>
      </c>
      <c r="G118" s="13" t="s">
        <v>11</v>
      </c>
      <c r="H118" s="13" t="s">
        <v>825</v>
      </c>
    </row>
    <row r="119" spans="1:8" x14ac:dyDescent="0.25">
      <c r="A119" t="s">
        <v>249</v>
      </c>
      <c r="B119" s="14" cm="1">
        <f t="array" ref="B119">_xll.GetPrice("FP-PNL-0156",,"Low",_SPECIFIEDvarPubDate,)</f>
        <v>476</v>
      </c>
      <c r="C119" s="1">
        <f t="shared" si="3"/>
        <v>45849</v>
      </c>
      <c r="D119">
        <f t="shared" si="4"/>
        <v>2025</v>
      </c>
      <c r="E119">
        <f t="shared" si="5"/>
        <v>7</v>
      </c>
      <c r="F119" s="13" t="s">
        <v>250</v>
      </c>
      <c r="G119" s="13" t="s">
        <v>11</v>
      </c>
      <c r="H119" s="13" t="s">
        <v>825</v>
      </c>
    </row>
    <row r="120" spans="1:8" x14ac:dyDescent="0.25">
      <c r="A120" t="s">
        <v>251</v>
      </c>
      <c r="B120" s="14" cm="1">
        <f t="array" ref="B120">_xll.GetPrice("FP-PNL-0157",,"Low",_SPECIFIEDvarPubDate,)</f>
        <v>655</v>
      </c>
      <c r="C120" s="1">
        <f t="shared" si="3"/>
        <v>45849</v>
      </c>
      <c r="D120">
        <f t="shared" si="4"/>
        <v>2025</v>
      </c>
      <c r="E120">
        <f t="shared" si="5"/>
        <v>7</v>
      </c>
      <c r="F120" s="13" t="s">
        <v>252</v>
      </c>
      <c r="G120" s="13" t="s">
        <v>11</v>
      </c>
      <c r="H120" s="13" t="s">
        <v>825</v>
      </c>
    </row>
    <row r="121" spans="1:8" x14ac:dyDescent="0.25">
      <c r="A121" t="s">
        <v>253</v>
      </c>
      <c r="B121" s="14" cm="1">
        <f t="array" ref="B121">_xll.GetPrice("FP-PNL-0183",,"Low",_SPECIFIEDvarPubDate,)</f>
        <v>528</v>
      </c>
      <c r="C121" s="1">
        <f t="shared" si="3"/>
        <v>45849</v>
      </c>
      <c r="D121">
        <f t="shared" si="4"/>
        <v>2025</v>
      </c>
      <c r="E121">
        <f t="shared" si="5"/>
        <v>7</v>
      </c>
      <c r="F121" s="13" t="s">
        <v>254</v>
      </c>
      <c r="G121" s="13" t="s">
        <v>11</v>
      </c>
      <c r="H121" s="13" t="s">
        <v>825</v>
      </c>
    </row>
    <row r="122" spans="1:8" x14ac:dyDescent="0.25">
      <c r="A122" t="s">
        <v>255</v>
      </c>
      <c r="B122" s="14" cm="1">
        <f t="array" ref="B122">_xll.GetPrice("FP-PNL-0184",,"Low",_SPECIFIEDvarPubDate,)</f>
        <v>608</v>
      </c>
      <c r="C122" s="1">
        <f t="shared" si="3"/>
        <v>45849</v>
      </c>
      <c r="D122">
        <f t="shared" si="4"/>
        <v>2025</v>
      </c>
      <c r="E122">
        <f t="shared" si="5"/>
        <v>7</v>
      </c>
      <c r="F122" s="13" t="s">
        <v>256</v>
      </c>
      <c r="G122" s="13" t="s">
        <v>11</v>
      </c>
      <c r="H122" s="13" t="s">
        <v>825</v>
      </c>
    </row>
    <row r="123" spans="1:8" x14ac:dyDescent="0.25">
      <c r="A123" t="s">
        <v>257</v>
      </c>
      <c r="B123" s="14" cm="1">
        <f t="array" ref="B123">_xll.GetPrice("FP-PNL-0185",,"Low",_SPECIFIEDvarPubDate,)</f>
        <v>848</v>
      </c>
      <c r="C123" s="1">
        <f t="shared" si="3"/>
        <v>45849</v>
      </c>
      <c r="D123">
        <f t="shared" si="4"/>
        <v>2025</v>
      </c>
      <c r="E123">
        <f t="shared" si="5"/>
        <v>7</v>
      </c>
      <c r="F123" s="13" t="s">
        <v>258</v>
      </c>
      <c r="G123" s="13" t="s">
        <v>11</v>
      </c>
      <c r="H123" s="13" t="s">
        <v>825</v>
      </c>
    </row>
    <row r="124" spans="1:8" x14ac:dyDescent="0.25">
      <c r="A124" t="s">
        <v>259</v>
      </c>
      <c r="B124" s="14" cm="1">
        <f t="array" ref="B124">_xll.GetPrice("FP-PNL-0186",,"Low",_SPECIFIEDvarPubDate,)</f>
        <v>888</v>
      </c>
      <c r="C124" s="1">
        <f t="shared" si="3"/>
        <v>45849</v>
      </c>
      <c r="D124">
        <f t="shared" si="4"/>
        <v>2025</v>
      </c>
      <c r="E124">
        <f t="shared" si="5"/>
        <v>7</v>
      </c>
      <c r="F124" s="13" t="s">
        <v>260</v>
      </c>
      <c r="G124" s="13" t="s">
        <v>11</v>
      </c>
      <c r="H124" s="13" t="s">
        <v>825</v>
      </c>
    </row>
    <row r="125" spans="1:8" x14ac:dyDescent="0.25">
      <c r="A125" t="s">
        <v>261</v>
      </c>
      <c r="B125" s="14" cm="1">
        <f t="array" ref="B125">_xll.GetPrice("FP-PNL-0187",,"Low",_SPECIFIEDvarPubDate,)</f>
        <v>1003</v>
      </c>
      <c r="C125" s="1">
        <f t="shared" si="3"/>
        <v>45849</v>
      </c>
      <c r="D125">
        <f t="shared" si="4"/>
        <v>2025</v>
      </c>
      <c r="E125">
        <f t="shared" si="5"/>
        <v>7</v>
      </c>
      <c r="F125" s="13" t="s">
        <v>262</v>
      </c>
      <c r="G125" s="13" t="s">
        <v>11</v>
      </c>
      <c r="H125" s="13" t="s">
        <v>825</v>
      </c>
    </row>
    <row r="126" spans="1:8" x14ac:dyDescent="0.25">
      <c r="A126" t="s">
        <v>263</v>
      </c>
      <c r="B126" s="14" cm="1">
        <f t="array" ref="B126">_xll.GetPrice("FP-PNL-0213",,"Low",_SPECIFIEDvarPubDate,)</f>
        <v>925</v>
      </c>
      <c r="C126" s="1">
        <f t="shared" ref="C126:C183" si="6">_SPECIFIEDvarPubDate</f>
        <v>45849</v>
      </c>
      <c r="D126">
        <f t="shared" ref="D126:D183" si="7">_SPECIFIEDvarYear</f>
        <v>2025</v>
      </c>
      <c r="E126">
        <f t="shared" ref="E126:E183" si="8">_SPECIFIEDvarMonth</f>
        <v>7</v>
      </c>
      <c r="F126" s="13" t="s">
        <v>264</v>
      </c>
      <c r="G126" s="13" t="s">
        <v>11</v>
      </c>
      <c r="H126" s="13" t="s">
        <v>825</v>
      </c>
    </row>
    <row r="127" spans="1:8" x14ac:dyDescent="0.25">
      <c r="A127" t="s">
        <v>265</v>
      </c>
      <c r="B127" s="14" cm="1">
        <f t="array" ref="B127">_xll.GetPrice("FP-PNL-0214",,"Low",_SPECIFIEDvarPubDate,)</f>
        <v>1245</v>
      </c>
      <c r="C127" s="1">
        <f t="shared" si="6"/>
        <v>45849</v>
      </c>
      <c r="D127">
        <f t="shared" si="7"/>
        <v>2025</v>
      </c>
      <c r="E127">
        <f t="shared" si="8"/>
        <v>7</v>
      </c>
      <c r="F127" s="13" t="s">
        <v>266</v>
      </c>
      <c r="G127" s="13" t="s">
        <v>11</v>
      </c>
      <c r="H127" s="13" t="s">
        <v>825</v>
      </c>
    </row>
    <row r="128" spans="1:8" x14ac:dyDescent="0.25">
      <c r="A128" t="s">
        <v>267</v>
      </c>
      <c r="B128" s="14" cm="1">
        <f t="array" ref="B128">_xll.GetPrice("FP-PNL-0215",,"Low",_SPECIFIEDvarPubDate,)</f>
        <v>1265</v>
      </c>
      <c r="C128" s="1">
        <f t="shared" si="6"/>
        <v>45849</v>
      </c>
      <c r="D128">
        <f t="shared" si="7"/>
        <v>2025</v>
      </c>
      <c r="E128">
        <f t="shared" si="8"/>
        <v>7</v>
      </c>
      <c r="F128" s="13" t="s">
        <v>268</v>
      </c>
      <c r="G128" s="13" t="s">
        <v>11</v>
      </c>
      <c r="H128" s="13" t="s">
        <v>825</v>
      </c>
    </row>
    <row r="129" spans="1:8" x14ac:dyDescent="0.25">
      <c r="A129" t="s">
        <v>269</v>
      </c>
      <c r="B129" s="14" cm="1">
        <f t="array" ref="B129">_xll.GetPrice("FP-PNL-0301",,"Low",_SPECIFIEDvarPubDate,)</f>
        <v>455</v>
      </c>
      <c r="C129" s="1">
        <f t="shared" si="6"/>
        <v>45849</v>
      </c>
      <c r="D129">
        <f t="shared" si="7"/>
        <v>2025</v>
      </c>
      <c r="E129">
        <f t="shared" si="8"/>
        <v>7</v>
      </c>
      <c r="F129" s="13" t="s">
        <v>270</v>
      </c>
      <c r="G129" s="13" t="s">
        <v>11</v>
      </c>
      <c r="H129" s="13" t="s">
        <v>825</v>
      </c>
    </row>
    <row r="130" spans="1:8" x14ac:dyDescent="0.25">
      <c r="A130" t="s">
        <v>271</v>
      </c>
      <c r="B130" s="14" cm="1">
        <f t="array" ref="B130">_xll.GetPrice("FP-PNL-0302",,"Low",_SPECIFIEDvarPubDate,)</f>
        <v>485</v>
      </c>
      <c r="C130" s="1">
        <f t="shared" si="6"/>
        <v>45849</v>
      </c>
      <c r="D130">
        <f t="shared" si="7"/>
        <v>2025</v>
      </c>
      <c r="E130">
        <f t="shared" si="8"/>
        <v>7</v>
      </c>
      <c r="F130" s="13" t="s">
        <v>272</v>
      </c>
      <c r="G130" s="13" t="s">
        <v>11</v>
      </c>
      <c r="H130" s="13" t="s">
        <v>825</v>
      </c>
    </row>
    <row r="131" spans="1:8" x14ac:dyDescent="0.25">
      <c r="A131" t="s">
        <v>273</v>
      </c>
      <c r="B131" s="14" cm="1">
        <f t="array" ref="B131">_xll.GetPrice("FP-PNL-0303",,"Low",_SPECIFIEDvarPubDate,)</f>
        <v>530</v>
      </c>
      <c r="C131" s="1">
        <f t="shared" si="6"/>
        <v>45849</v>
      </c>
      <c r="D131">
        <f t="shared" si="7"/>
        <v>2025</v>
      </c>
      <c r="E131">
        <f t="shared" si="8"/>
        <v>7</v>
      </c>
      <c r="F131" s="13" t="s">
        <v>274</v>
      </c>
      <c r="G131" s="13" t="s">
        <v>11</v>
      </c>
      <c r="H131" s="13" t="s">
        <v>825</v>
      </c>
    </row>
    <row r="132" spans="1:8" x14ac:dyDescent="0.25">
      <c r="A132" t="s">
        <v>275</v>
      </c>
      <c r="B132" s="14" cm="1">
        <f t="array" ref="B132">_xll.GetPrice("FP-PNL-0304",,"Low",_SPECIFIEDvarPubDate,)</f>
        <v>555</v>
      </c>
      <c r="C132" s="1">
        <f t="shared" si="6"/>
        <v>45849</v>
      </c>
      <c r="D132">
        <f t="shared" si="7"/>
        <v>2025</v>
      </c>
      <c r="E132">
        <f t="shared" si="8"/>
        <v>7</v>
      </c>
      <c r="F132" s="13" t="s">
        <v>276</v>
      </c>
      <c r="G132" s="13" t="s">
        <v>11</v>
      </c>
      <c r="H132" s="13" t="s">
        <v>825</v>
      </c>
    </row>
    <row r="133" spans="1:8" x14ac:dyDescent="0.25">
      <c r="A133" t="s">
        <v>279</v>
      </c>
      <c r="B133" s="14" cm="1">
        <f t="array" ref="B133">_xll.GetPrice("FP-PNL-0158",,"Low",_SPECIFIEDvarPubDate,)</f>
        <v>361</v>
      </c>
      <c r="C133" s="1">
        <f t="shared" si="6"/>
        <v>45849</v>
      </c>
      <c r="D133">
        <f t="shared" si="7"/>
        <v>2025</v>
      </c>
      <c r="E133">
        <f t="shared" si="8"/>
        <v>7</v>
      </c>
      <c r="F133" s="13" t="s">
        <v>280</v>
      </c>
      <c r="G133" s="13" t="s">
        <v>11</v>
      </c>
      <c r="H133" s="13" t="s">
        <v>825</v>
      </c>
    </row>
    <row r="134" spans="1:8" x14ac:dyDescent="0.25">
      <c r="A134" t="s">
        <v>281</v>
      </c>
      <c r="B134" s="14" cm="1">
        <f t="array" ref="B134">_xll.GetPrice("FP-PNL-0159",,"Low",_SPECIFIEDvarPubDate,)</f>
        <v>433</v>
      </c>
      <c r="C134" s="1">
        <f t="shared" si="6"/>
        <v>45849</v>
      </c>
      <c r="D134">
        <f t="shared" si="7"/>
        <v>2025</v>
      </c>
      <c r="E134">
        <f t="shared" si="8"/>
        <v>7</v>
      </c>
      <c r="F134" s="13" t="s">
        <v>282</v>
      </c>
      <c r="G134" s="13" t="s">
        <v>11</v>
      </c>
      <c r="H134" s="13" t="s">
        <v>825</v>
      </c>
    </row>
    <row r="135" spans="1:8" x14ac:dyDescent="0.25">
      <c r="A135" t="s">
        <v>283</v>
      </c>
      <c r="B135" s="14" cm="1">
        <f t="array" ref="B135">_xll.GetPrice("FP-PNL-0160",,"Low",_SPECIFIEDvarPubDate,)</f>
        <v>436</v>
      </c>
      <c r="C135" s="1">
        <f t="shared" si="6"/>
        <v>45849</v>
      </c>
      <c r="D135">
        <f t="shared" si="7"/>
        <v>2025</v>
      </c>
      <c r="E135">
        <f t="shared" si="8"/>
        <v>7</v>
      </c>
      <c r="F135" s="13" t="s">
        <v>284</v>
      </c>
      <c r="G135" s="13" t="s">
        <v>11</v>
      </c>
      <c r="H135" s="13" t="s">
        <v>825</v>
      </c>
    </row>
    <row r="136" spans="1:8" x14ac:dyDescent="0.25">
      <c r="A136" t="s">
        <v>285</v>
      </c>
      <c r="B136" s="14" cm="1">
        <f t="array" ref="B136">_xll.GetPrice("FP-PNL-0161",,"Low",_SPECIFIEDvarPubDate,)</f>
        <v>479</v>
      </c>
      <c r="C136" s="1">
        <f t="shared" si="6"/>
        <v>45849</v>
      </c>
      <c r="D136">
        <f t="shared" si="7"/>
        <v>2025</v>
      </c>
      <c r="E136">
        <f t="shared" si="8"/>
        <v>7</v>
      </c>
      <c r="F136" s="13" t="s">
        <v>286</v>
      </c>
      <c r="G136" s="13" t="s">
        <v>11</v>
      </c>
      <c r="H136" s="13" t="s">
        <v>825</v>
      </c>
    </row>
    <row r="137" spans="1:8" x14ac:dyDescent="0.25">
      <c r="A137" t="s">
        <v>287</v>
      </c>
      <c r="B137" s="14" cm="1">
        <f t="array" ref="B137">_xll.GetPrice("FP-PNL-0162",,"Low",_SPECIFIEDvarPubDate,)</f>
        <v>649</v>
      </c>
      <c r="C137" s="1">
        <f t="shared" si="6"/>
        <v>45849</v>
      </c>
      <c r="D137">
        <f t="shared" si="7"/>
        <v>2025</v>
      </c>
      <c r="E137">
        <f t="shared" si="8"/>
        <v>7</v>
      </c>
      <c r="F137" s="13" t="s">
        <v>288</v>
      </c>
      <c r="G137" s="13" t="s">
        <v>11</v>
      </c>
      <c r="H137" s="13" t="s">
        <v>825</v>
      </c>
    </row>
    <row r="138" spans="1:8" x14ac:dyDescent="0.25">
      <c r="A138" t="s">
        <v>289</v>
      </c>
      <c r="B138" s="14" cm="1">
        <f t="array" ref="B138">_xll.GetPrice("FP-PNL-0188",,"Low",_SPECIFIEDvarPubDate,)</f>
        <v>560</v>
      </c>
      <c r="C138" s="1">
        <f t="shared" si="6"/>
        <v>45849</v>
      </c>
      <c r="D138">
        <f t="shared" si="7"/>
        <v>2025</v>
      </c>
      <c r="E138">
        <f t="shared" si="8"/>
        <v>7</v>
      </c>
      <c r="F138" s="13" t="s">
        <v>290</v>
      </c>
      <c r="G138" s="13" t="s">
        <v>11</v>
      </c>
      <c r="H138" s="13" t="s">
        <v>825</v>
      </c>
    </row>
    <row r="139" spans="1:8" x14ac:dyDescent="0.25">
      <c r="A139" t="s">
        <v>291</v>
      </c>
      <c r="B139" s="14" cm="1">
        <f t="array" ref="B139">_xll.GetPrice("FP-PNL-0189",,"Low",_SPECIFIEDvarPubDate,)</f>
        <v>550</v>
      </c>
      <c r="C139" s="1">
        <f t="shared" si="6"/>
        <v>45849</v>
      </c>
      <c r="D139">
        <f t="shared" si="7"/>
        <v>2025</v>
      </c>
      <c r="E139">
        <f t="shared" si="8"/>
        <v>7</v>
      </c>
      <c r="F139" s="13" t="s">
        <v>292</v>
      </c>
      <c r="G139" s="13" t="s">
        <v>11</v>
      </c>
      <c r="H139" s="13" t="s">
        <v>825</v>
      </c>
    </row>
    <row r="140" spans="1:8" x14ac:dyDescent="0.25">
      <c r="A140" t="s">
        <v>293</v>
      </c>
      <c r="B140" s="14" cm="1">
        <f t="array" ref="B140">_xll.GetPrice("FP-PNL-0190",,"Low",_SPECIFIEDvarPubDate,)</f>
        <v>805</v>
      </c>
      <c r="C140" s="1">
        <f t="shared" si="6"/>
        <v>45849</v>
      </c>
      <c r="D140">
        <f t="shared" si="7"/>
        <v>2025</v>
      </c>
      <c r="E140">
        <f t="shared" si="8"/>
        <v>7</v>
      </c>
      <c r="F140" s="13" t="s">
        <v>294</v>
      </c>
      <c r="G140" s="13" t="s">
        <v>11</v>
      </c>
      <c r="H140" s="13" t="s">
        <v>825</v>
      </c>
    </row>
    <row r="141" spans="1:8" x14ac:dyDescent="0.25">
      <c r="A141" t="s">
        <v>295</v>
      </c>
      <c r="B141" s="14" cm="1">
        <f t="array" ref="B141">_xll.GetPrice("FP-PNL-0191",,"Low",_SPECIFIEDvarPubDate,)</f>
        <v>810</v>
      </c>
      <c r="C141" s="1">
        <f t="shared" si="6"/>
        <v>45849</v>
      </c>
      <c r="D141">
        <f t="shared" si="7"/>
        <v>2025</v>
      </c>
      <c r="E141">
        <f t="shared" si="8"/>
        <v>7</v>
      </c>
      <c r="F141" s="13" t="s">
        <v>296</v>
      </c>
      <c r="G141" s="13" t="s">
        <v>11</v>
      </c>
      <c r="H141" s="13" t="s">
        <v>825</v>
      </c>
    </row>
    <row r="142" spans="1:8" x14ac:dyDescent="0.25">
      <c r="A142" t="s">
        <v>297</v>
      </c>
      <c r="B142" s="14" cm="1">
        <f t="array" ref="B142">_xll.GetPrice("FP-PNL-0192",,"Low",_SPECIFIEDvarPubDate,)</f>
        <v>975</v>
      </c>
      <c r="C142" s="1">
        <f t="shared" si="6"/>
        <v>45849</v>
      </c>
      <c r="D142">
        <f t="shared" si="7"/>
        <v>2025</v>
      </c>
      <c r="E142">
        <f t="shared" si="8"/>
        <v>7</v>
      </c>
      <c r="F142" s="13" t="s">
        <v>298</v>
      </c>
      <c r="G142" s="13" t="s">
        <v>11</v>
      </c>
      <c r="H142" s="13" t="s">
        <v>825</v>
      </c>
    </row>
    <row r="143" spans="1:8" x14ac:dyDescent="0.25">
      <c r="A143" t="s">
        <v>299</v>
      </c>
      <c r="B143" s="14" cm="1">
        <f t="array" ref="B143">_xll.GetPrice("FP-PNL-0216",,"Low",_SPECIFIEDvarPubDate,)</f>
        <v>945</v>
      </c>
      <c r="C143" s="1">
        <f t="shared" si="6"/>
        <v>45849</v>
      </c>
      <c r="D143">
        <f t="shared" si="7"/>
        <v>2025</v>
      </c>
      <c r="E143">
        <f t="shared" si="8"/>
        <v>7</v>
      </c>
      <c r="F143" s="13" t="s">
        <v>300</v>
      </c>
      <c r="G143" s="13" t="s">
        <v>11</v>
      </c>
      <c r="H143" s="13" t="s">
        <v>825</v>
      </c>
    </row>
    <row r="144" spans="1:8" x14ac:dyDescent="0.25">
      <c r="A144" t="s">
        <v>301</v>
      </c>
      <c r="B144" s="14" cm="1">
        <f t="array" ref="B144">_xll.GetPrice("FP-PNL-0217",,"Low",_SPECIFIEDvarPubDate,)</f>
        <v>1220</v>
      </c>
      <c r="C144" s="1">
        <f t="shared" si="6"/>
        <v>45849</v>
      </c>
      <c r="D144">
        <f t="shared" si="7"/>
        <v>2025</v>
      </c>
      <c r="E144">
        <f t="shared" si="8"/>
        <v>7</v>
      </c>
      <c r="F144" s="13" t="s">
        <v>302</v>
      </c>
      <c r="G144" s="13" t="s">
        <v>11</v>
      </c>
      <c r="H144" s="13" t="s">
        <v>825</v>
      </c>
    </row>
    <row r="145" spans="1:8" x14ac:dyDescent="0.25">
      <c r="A145" t="s">
        <v>303</v>
      </c>
      <c r="B145" s="14" cm="1">
        <f t="array" ref="B145">_xll.GetPrice("FP-PNL-0218",,"Low",_SPECIFIEDvarPubDate,)</f>
        <v>1245</v>
      </c>
      <c r="C145" s="1">
        <f t="shared" si="6"/>
        <v>45849</v>
      </c>
      <c r="D145">
        <f t="shared" si="7"/>
        <v>2025</v>
      </c>
      <c r="E145">
        <f t="shared" si="8"/>
        <v>7</v>
      </c>
      <c r="F145" s="13" t="s">
        <v>304</v>
      </c>
      <c r="G145" s="13" t="s">
        <v>11</v>
      </c>
      <c r="H145" s="13" t="s">
        <v>825</v>
      </c>
    </row>
    <row r="146" spans="1:8" x14ac:dyDescent="0.25">
      <c r="A146" t="s">
        <v>305</v>
      </c>
      <c r="B146" s="14" cm="1">
        <f t="array" ref="B146">_xll.GetPrice("FP-PNL-0305",,"Low",_SPECIFIEDvarPubDate,)</f>
        <v>460</v>
      </c>
      <c r="C146" s="1">
        <f t="shared" si="6"/>
        <v>45849</v>
      </c>
      <c r="D146">
        <f t="shared" si="7"/>
        <v>2025</v>
      </c>
      <c r="E146">
        <f t="shared" si="8"/>
        <v>7</v>
      </c>
      <c r="F146" s="13" t="s">
        <v>306</v>
      </c>
      <c r="G146" s="13" t="s">
        <v>11</v>
      </c>
      <c r="H146" s="13" t="s">
        <v>825</v>
      </c>
    </row>
    <row r="147" spans="1:8" x14ac:dyDescent="0.25">
      <c r="A147" t="s">
        <v>307</v>
      </c>
      <c r="B147" s="14" cm="1">
        <f t="array" ref="B147">_xll.GetPrice("FP-PNL-0306",,"Low",_SPECIFIEDvarPubDate,)</f>
        <v>485</v>
      </c>
      <c r="C147" s="1">
        <f t="shared" si="6"/>
        <v>45849</v>
      </c>
      <c r="D147">
        <f t="shared" si="7"/>
        <v>2025</v>
      </c>
      <c r="E147">
        <f t="shared" si="8"/>
        <v>7</v>
      </c>
      <c r="F147" s="13" t="s">
        <v>308</v>
      </c>
      <c r="G147" s="13" t="s">
        <v>11</v>
      </c>
      <c r="H147" s="13" t="s">
        <v>825</v>
      </c>
    </row>
    <row r="148" spans="1:8" x14ac:dyDescent="0.25">
      <c r="A148" t="s">
        <v>309</v>
      </c>
      <c r="B148" s="14" cm="1">
        <f t="array" ref="B148">_xll.GetPrice("FP-PNL-0307",,"Low",_SPECIFIEDvarPubDate,)</f>
        <v>535</v>
      </c>
      <c r="C148" s="1">
        <f t="shared" si="6"/>
        <v>45849</v>
      </c>
      <c r="D148">
        <f t="shared" si="7"/>
        <v>2025</v>
      </c>
      <c r="E148">
        <f t="shared" si="8"/>
        <v>7</v>
      </c>
      <c r="F148" s="13" t="s">
        <v>310</v>
      </c>
      <c r="G148" s="13" t="s">
        <v>11</v>
      </c>
      <c r="H148" s="13" t="s">
        <v>825</v>
      </c>
    </row>
    <row r="149" spans="1:8" x14ac:dyDescent="0.25">
      <c r="A149" t="s">
        <v>311</v>
      </c>
      <c r="B149" s="14" cm="1">
        <f t="array" ref="B149">_xll.GetPrice("FP-PNL-0308",,"Low",_SPECIFIEDvarPubDate,)</f>
        <v>555</v>
      </c>
      <c r="C149" s="1">
        <f t="shared" si="6"/>
        <v>45849</v>
      </c>
      <c r="D149">
        <f t="shared" si="7"/>
        <v>2025</v>
      </c>
      <c r="E149">
        <f t="shared" si="8"/>
        <v>7</v>
      </c>
      <c r="F149" s="13" t="s">
        <v>312</v>
      </c>
      <c r="G149" s="13" t="s">
        <v>11</v>
      </c>
      <c r="H149" s="13" t="s">
        <v>825</v>
      </c>
    </row>
    <row r="150" spans="1:8" x14ac:dyDescent="0.25">
      <c r="A150" t="s">
        <v>315</v>
      </c>
      <c r="B150" s="14" cm="1">
        <f t="array" ref="B150">_xll.GetPrice("FP-PNL-0163",,"Low",_SPECIFIEDvarPubDate,)</f>
        <v>410</v>
      </c>
      <c r="C150" s="1">
        <f t="shared" si="6"/>
        <v>45849</v>
      </c>
      <c r="D150">
        <f t="shared" si="7"/>
        <v>2025</v>
      </c>
      <c r="E150">
        <f t="shared" si="8"/>
        <v>7</v>
      </c>
      <c r="F150" s="13" t="s">
        <v>316</v>
      </c>
      <c r="G150" s="13" t="s">
        <v>11</v>
      </c>
      <c r="H150" s="13" t="s">
        <v>825</v>
      </c>
    </row>
    <row r="151" spans="1:8" x14ac:dyDescent="0.25">
      <c r="A151" t="s">
        <v>317</v>
      </c>
      <c r="B151" s="14" cm="1">
        <f t="array" ref="B151">_xll.GetPrice("FP-PNL-0164",,"Low",_SPECIFIEDvarPubDate,)</f>
        <v>455</v>
      </c>
      <c r="C151" s="1">
        <f t="shared" si="6"/>
        <v>45849</v>
      </c>
      <c r="D151">
        <f t="shared" si="7"/>
        <v>2025</v>
      </c>
      <c r="E151">
        <f t="shared" si="8"/>
        <v>7</v>
      </c>
      <c r="F151" s="13" t="s">
        <v>318</v>
      </c>
      <c r="G151" s="13" t="s">
        <v>11</v>
      </c>
      <c r="H151" s="13" t="s">
        <v>825</v>
      </c>
    </row>
    <row r="152" spans="1:8" x14ac:dyDescent="0.25">
      <c r="A152" t="s">
        <v>319</v>
      </c>
      <c r="B152" s="14" cm="1">
        <f t="array" ref="B152">_xll.GetPrice("FP-PNL-0165",,"Low",_SPECIFIEDvarPubDate,)</f>
        <v>483</v>
      </c>
      <c r="C152" s="1">
        <f t="shared" si="6"/>
        <v>45849</v>
      </c>
      <c r="D152">
        <f t="shared" si="7"/>
        <v>2025</v>
      </c>
      <c r="E152">
        <f t="shared" si="8"/>
        <v>7</v>
      </c>
      <c r="F152" s="13" t="s">
        <v>320</v>
      </c>
      <c r="G152" s="13" t="s">
        <v>11</v>
      </c>
      <c r="H152" s="13" t="s">
        <v>825</v>
      </c>
    </row>
    <row r="153" spans="1:8" x14ac:dyDescent="0.25">
      <c r="A153" t="s">
        <v>321</v>
      </c>
      <c r="B153" s="14" cm="1">
        <f t="array" ref="B153">_xll.GetPrice("FP-PNL-0166",,"Low",_SPECIFIEDvarPubDate,)</f>
        <v>491</v>
      </c>
      <c r="C153" s="1">
        <f t="shared" si="6"/>
        <v>45849</v>
      </c>
      <c r="D153">
        <f t="shared" si="7"/>
        <v>2025</v>
      </c>
      <c r="E153">
        <f t="shared" si="8"/>
        <v>7</v>
      </c>
      <c r="F153" s="13" t="s">
        <v>322</v>
      </c>
      <c r="G153" s="13" t="s">
        <v>11</v>
      </c>
      <c r="H153" s="13" t="s">
        <v>825</v>
      </c>
    </row>
    <row r="154" spans="1:8" x14ac:dyDescent="0.25">
      <c r="A154" t="s">
        <v>323</v>
      </c>
      <c r="B154" s="14" cm="1">
        <f t="array" ref="B154">_xll.GetPrice("FP-PNL-0167",,"Low",_SPECIFIEDvarPubDate,)</f>
        <v>692</v>
      </c>
      <c r="C154" s="1">
        <f t="shared" si="6"/>
        <v>45849</v>
      </c>
      <c r="D154">
        <f t="shared" si="7"/>
        <v>2025</v>
      </c>
      <c r="E154">
        <f t="shared" si="8"/>
        <v>7</v>
      </c>
      <c r="F154" s="13" t="s">
        <v>324</v>
      </c>
      <c r="G154" s="13" t="s">
        <v>11</v>
      </c>
      <c r="H154" s="13" t="s">
        <v>825</v>
      </c>
    </row>
    <row r="155" spans="1:8" x14ac:dyDescent="0.25">
      <c r="A155" t="s">
        <v>325</v>
      </c>
      <c r="B155" s="14" cm="1">
        <f t="array" ref="B155">_xll.GetPrice("FP-PNL-0193",,"Low",_SPECIFIEDvarPubDate,)</f>
        <v>510</v>
      </c>
      <c r="C155" s="1">
        <f t="shared" si="6"/>
        <v>45849</v>
      </c>
      <c r="D155">
        <f t="shared" si="7"/>
        <v>2025</v>
      </c>
      <c r="E155">
        <f t="shared" si="8"/>
        <v>7</v>
      </c>
      <c r="F155" s="13" t="s">
        <v>326</v>
      </c>
      <c r="G155" s="13" t="s">
        <v>11</v>
      </c>
      <c r="H155" s="13" t="s">
        <v>825</v>
      </c>
    </row>
    <row r="156" spans="1:8" x14ac:dyDescent="0.25">
      <c r="A156" t="s">
        <v>327</v>
      </c>
      <c r="B156" s="14" cm="1">
        <f t="array" ref="B156">_xll.GetPrice("FP-PNL-0194",,"Low",_SPECIFIEDvarPubDate,)</f>
        <v>560</v>
      </c>
      <c r="C156" s="1">
        <f t="shared" si="6"/>
        <v>45849</v>
      </c>
      <c r="D156">
        <f t="shared" si="7"/>
        <v>2025</v>
      </c>
      <c r="E156">
        <f t="shared" si="8"/>
        <v>7</v>
      </c>
      <c r="F156" s="13" t="s">
        <v>328</v>
      </c>
      <c r="G156" s="13" t="s">
        <v>11</v>
      </c>
      <c r="H156" s="13" t="s">
        <v>825</v>
      </c>
    </row>
    <row r="157" spans="1:8" x14ac:dyDescent="0.25">
      <c r="A157" t="s">
        <v>329</v>
      </c>
      <c r="B157" s="14" cm="1">
        <f t="array" ref="B157">_xll.GetPrice("FP-PNL-0195",,"Low",_SPECIFIEDvarPubDate,)</f>
        <v>805</v>
      </c>
      <c r="C157" s="1">
        <f t="shared" si="6"/>
        <v>45849</v>
      </c>
      <c r="D157">
        <f t="shared" si="7"/>
        <v>2025</v>
      </c>
      <c r="E157">
        <f t="shared" si="8"/>
        <v>7</v>
      </c>
      <c r="F157" s="13" t="s">
        <v>330</v>
      </c>
      <c r="G157" s="13" t="s">
        <v>11</v>
      </c>
      <c r="H157" s="13" t="s">
        <v>825</v>
      </c>
    </row>
    <row r="158" spans="1:8" x14ac:dyDescent="0.25">
      <c r="A158" t="s">
        <v>331</v>
      </c>
      <c r="B158" s="14" cm="1">
        <f t="array" ref="B158">_xll.GetPrice("FP-PNL-0196",,"Low",_SPECIFIEDvarPubDate,)</f>
        <v>855</v>
      </c>
      <c r="C158" s="1">
        <f t="shared" si="6"/>
        <v>45849</v>
      </c>
      <c r="D158">
        <f t="shared" si="7"/>
        <v>2025</v>
      </c>
      <c r="E158">
        <f t="shared" si="8"/>
        <v>7</v>
      </c>
      <c r="F158" s="13" t="s">
        <v>332</v>
      </c>
      <c r="G158" s="13" t="s">
        <v>11</v>
      </c>
      <c r="H158" s="13" t="s">
        <v>825</v>
      </c>
    </row>
    <row r="159" spans="1:8" x14ac:dyDescent="0.25">
      <c r="A159" t="s">
        <v>333</v>
      </c>
      <c r="B159" s="14" cm="1">
        <f t="array" ref="B159">_xll.GetPrice("FP-PNL-0197",,"Low",_SPECIFIEDvarPubDate,)</f>
        <v>960</v>
      </c>
      <c r="C159" s="1">
        <f t="shared" si="6"/>
        <v>45849</v>
      </c>
      <c r="D159">
        <f t="shared" si="7"/>
        <v>2025</v>
      </c>
      <c r="E159">
        <f t="shared" si="8"/>
        <v>7</v>
      </c>
      <c r="F159" s="13" t="s">
        <v>334</v>
      </c>
      <c r="G159" s="13" t="s">
        <v>11</v>
      </c>
      <c r="H159" s="13" t="s">
        <v>825</v>
      </c>
    </row>
    <row r="160" spans="1:8" x14ac:dyDescent="0.25">
      <c r="A160" t="s">
        <v>335</v>
      </c>
      <c r="B160" s="14" cm="1">
        <f t="array" ref="B160">_xll.GetPrice("FP-PNL-0310",,"Low",_SPECIFIEDvarPubDate,)</f>
        <v>360</v>
      </c>
      <c r="C160" s="1">
        <f t="shared" si="6"/>
        <v>45849</v>
      </c>
      <c r="D160">
        <f t="shared" si="7"/>
        <v>2025</v>
      </c>
      <c r="E160">
        <f t="shared" si="8"/>
        <v>7</v>
      </c>
      <c r="F160" s="13" t="s">
        <v>336</v>
      </c>
      <c r="G160" s="13" t="s">
        <v>11</v>
      </c>
      <c r="H160" s="13" t="s">
        <v>825</v>
      </c>
    </row>
    <row r="161" spans="1:8" x14ac:dyDescent="0.25">
      <c r="A161" t="s">
        <v>337</v>
      </c>
      <c r="B161" s="14" cm="1">
        <f t="array" ref="B161">_xll.GetPrice("FP-PNL-0311",,"Low",_SPECIFIEDvarPubDate,)</f>
        <v>425</v>
      </c>
      <c r="C161" s="1">
        <f t="shared" si="6"/>
        <v>45849</v>
      </c>
      <c r="D161">
        <f t="shared" si="7"/>
        <v>2025</v>
      </c>
      <c r="E161">
        <f t="shared" si="8"/>
        <v>7</v>
      </c>
      <c r="F161" s="13" t="s">
        <v>338</v>
      </c>
      <c r="G161" s="13" t="s">
        <v>11</v>
      </c>
      <c r="H161" s="13" t="s">
        <v>825</v>
      </c>
    </row>
    <row r="162" spans="1:8" x14ac:dyDescent="0.25">
      <c r="A162" t="s">
        <v>339</v>
      </c>
      <c r="B162" s="14" cm="1">
        <f t="array" ref="B162">_xll.GetPrice("FP-PNL-0312",,"Low",_SPECIFIEDvarPubDate,)</f>
        <v>450</v>
      </c>
      <c r="C162" s="1">
        <f t="shared" si="6"/>
        <v>45849</v>
      </c>
      <c r="D162">
        <f t="shared" si="7"/>
        <v>2025</v>
      </c>
      <c r="E162">
        <f t="shared" si="8"/>
        <v>7</v>
      </c>
      <c r="F162" s="13" t="s">
        <v>340</v>
      </c>
      <c r="G162" s="13" t="s">
        <v>11</v>
      </c>
      <c r="H162" s="13" t="s">
        <v>825</v>
      </c>
    </row>
    <row r="163" spans="1:8" x14ac:dyDescent="0.25">
      <c r="A163" t="s">
        <v>341</v>
      </c>
      <c r="B163" s="14" cm="1">
        <f t="array" ref="B163">_xll.GetPrice("FP-PNL-0313",,"Low",_SPECIFIEDvarPubDate,)</f>
        <v>475</v>
      </c>
      <c r="C163" s="1">
        <f t="shared" si="6"/>
        <v>45849</v>
      </c>
      <c r="D163">
        <f t="shared" si="7"/>
        <v>2025</v>
      </c>
      <c r="E163">
        <f t="shared" si="8"/>
        <v>7</v>
      </c>
      <c r="F163" s="13" t="s">
        <v>342</v>
      </c>
      <c r="G163" s="13" t="s">
        <v>11</v>
      </c>
      <c r="H163" s="13" t="s">
        <v>825</v>
      </c>
    </row>
    <row r="164" spans="1:8" x14ac:dyDescent="0.25">
      <c r="A164" t="s">
        <v>343</v>
      </c>
      <c r="B164" s="14" cm="1">
        <f t="array" ref="B164">_xll.GetPrice("FP-PNL-0314",,"Low",_SPECIFIEDvarPubDate,)</f>
        <v>685</v>
      </c>
      <c r="C164" s="1">
        <f t="shared" si="6"/>
        <v>45849</v>
      </c>
      <c r="D164">
        <f t="shared" si="7"/>
        <v>2025</v>
      </c>
      <c r="E164">
        <f t="shared" si="8"/>
        <v>7</v>
      </c>
      <c r="F164" s="13" t="s">
        <v>344</v>
      </c>
      <c r="G164" s="13" t="s">
        <v>11</v>
      </c>
      <c r="H164" s="13" t="s">
        <v>825</v>
      </c>
    </row>
    <row r="165" spans="1:8" x14ac:dyDescent="0.25">
      <c r="A165" t="s">
        <v>346</v>
      </c>
      <c r="B165" s="14" cm="1">
        <f t="array" ref="B165">_xll.GetPrice("FP-PNL-0168",,"Low",_SPECIFIEDvarPubDate,)</f>
        <v>335</v>
      </c>
      <c r="C165" s="1">
        <f t="shared" si="6"/>
        <v>45849</v>
      </c>
      <c r="D165">
        <f t="shared" si="7"/>
        <v>2025</v>
      </c>
      <c r="E165">
        <f t="shared" si="8"/>
        <v>7</v>
      </c>
      <c r="F165" s="13" t="s">
        <v>347</v>
      </c>
      <c r="G165" s="13" t="s">
        <v>11</v>
      </c>
      <c r="H165" s="13" t="s">
        <v>825</v>
      </c>
    </row>
    <row r="166" spans="1:8" x14ac:dyDescent="0.25">
      <c r="A166" t="s">
        <v>348</v>
      </c>
      <c r="B166" s="14" cm="1">
        <f t="array" ref="B166">_xll.GetPrice("FP-PNL-0169",,"Low",_SPECIFIEDvarPubDate,)</f>
        <v>361</v>
      </c>
      <c r="C166" s="1">
        <f t="shared" si="6"/>
        <v>45849</v>
      </c>
      <c r="D166">
        <f t="shared" si="7"/>
        <v>2025</v>
      </c>
      <c r="E166">
        <f t="shared" si="8"/>
        <v>7</v>
      </c>
      <c r="F166" s="13" t="s">
        <v>349</v>
      </c>
      <c r="G166" s="13" t="s">
        <v>11</v>
      </c>
      <c r="H166" s="13" t="s">
        <v>825</v>
      </c>
    </row>
    <row r="167" spans="1:8" x14ac:dyDescent="0.25">
      <c r="A167" t="s">
        <v>350</v>
      </c>
      <c r="B167" s="14" cm="1">
        <f t="array" ref="B167">_xll.GetPrice("FP-PNL-0170",,"Low",_SPECIFIEDvarPubDate,)</f>
        <v>368</v>
      </c>
      <c r="C167" s="1">
        <f t="shared" si="6"/>
        <v>45849</v>
      </c>
      <c r="D167">
        <f t="shared" si="7"/>
        <v>2025</v>
      </c>
      <c r="E167">
        <f t="shared" si="8"/>
        <v>7</v>
      </c>
      <c r="F167" s="13" t="s">
        <v>351</v>
      </c>
      <c r="G167" s="13" t="s">
        <v>11</v>
      </c>
      <c r="H167" s="13" t="s">
        <v>825</v>
      </c>
    </row>
    <row r="168" spans="1:8" x14ac:dyDescent="0.25">
      <c r="A168" t="s">
        <v>352</v>
      </c>
      <c r="B168" s="14" cm="1">
        <f t="array" ref="B168">_xll.GetPrice("FP-PNL-0171",,"Low",_SPECIFIEDvarPubDate,)</f>
        <v>371</v>
      </c>
      <c r="C168" s="1">
        <f t="shared" si="6"/>
        <v>45849</v>
      </c>
      <c r="D168">
        <f t="shared" si="7"/>
        <v>2025</v>
      </c>
      <c r="E168">
        <f t="shared" si="8"/>
        <v>7</v>
      </c>
      <c r="F168" s="13" t="s">
        <v>353</v>
      </c>
      <c r="G168" s="13" t="s">
        <v>11</v>
      </c>
      <c r="H168" s="13" t="s">
        <v>825</v>
      </c>
    </row>
    <row r="169" spans="1:8" x14ac:dyDescent="0.25">
      <c r="A169" t="s">
        <v>354</v>
      </c>
      <c r="B169" s="14" cm="1">
        <f t="array" ref="B169">_xll.GetPrice("FP-PNL-0172",,"Low",_SPECIFIEDvarPubDate,)</f>
        <v>535</v>
      </c>
      <c r="C169" s="1">
        <f t="shared" si="6"/>
        <v>45849</v>
      </c>
      <c r="D169">
        <f t="shared" si="7"/>
        <v>2025</v>
      </c>
      <c r="E169">
        <f t="shared" si="8"/>
        <v>7</v>
      </c>
      <c r="F169" s="13" t="s">
        <v>355</v>
      </c>
      <c r="G169" s="13" t="s">
        <v>11</v>
      </c>
      <c r="H169" s="13" t="s">
        <v>825</v>
      </c>
    </row>
    <row r="170" spans="1:8" x14ac:dyDescent="0.25">
      <c r="A170" t="s">
        <v>356</v>
      </c>
      <c r="B170" s="14" cm="1">
        <f t="array" ref="B170">_xll.GetPrice("FP-PNL-0198",,"Low",_SPECIFIEDvarPubDate,)</f>
        <v>530</v>
      </c>
      <c r="C170" s="1">
        <f t="shared" si="6"/>
        <v>45849</v>
      </c>
      <c r="D170">
        <f t="shared" si="7"/>
        <v>2025</v>
      </c>
      <c r="E170">
        <f t="shared" si="8"/>
        <v>7</v>
      </c>
      <c r="F170" s="13" t="s">
        <v>357</v>
      </c>
      <c r="G170" s="13" t="s">
        <v>11</v>
      </c>
      <c r="H170" s="13" t="s">
        <v>825</v>
      </c>
    </row>
    <row r="171" spans="1:8" x14ac:dyDescent="0.25">
      <c r="A171" t="s">
        <v>358</v>
      </c>
      <c r="B171" s="14" cm="1">
        <f t="array" ref="B171">_xll.GetPrice("FP-PNL-0199",,"Low",_SPECIFIEDvarPubDate,)</f>
        <v>510</v>
      </c>
      <c r="C171" s="1">
        <f t="shared" si="6"/>
        <v>45849</v>
      </c>
      <c r="D171">
        <f t="shared" si="7"/>
        <v>2025</v>
      </c>
      <c r="E171">
        <f t="shared" si="8"/>
        <v>7</v>
      </c>
      <c r="F171" s="13" t="s">
        <v>359</v>
      </c>
      <c r="G171" s="13" t="s">
        <v>11</v>
      </c>
      <c r="H171" s="13" t="s">
        <v>825</v>
      </c>
    </row>
    <row r="172" spans="1:8" x14ac:dyDescent="0.25">
      <c r="A172" t="s">
        <v>360</v>
      </c>
      <c r="B172" s="14" cm="1">
        <f t="array" ref="B172">_xll.GetPrice("FP-PNL-0200",,"Low",_SPECIFIEDvarPubDate,)</f>
        <v>760</v>
      </c>
      <c r="C172" s="1">
        <f t="shared" si="6"/>
        <v>45849</v>
      </c>
      <c r="D172">
        <f t="shared" si="7"/>
        <v>2025</v>
      </c>
      <c r="E172">
        <f t="shared" si="8"/>
        <v>7</v>
      </c>
      <c r="F172" s="13" t="s">
        <v>361</v>
      </c>
      <c r="G172" s="13" t="s">
        <v>11</v>
      </c>
      <c r="H172" s="13" t="s">
        <v>825</v>
      </c>
    </row>
    <row r="173" spans="1:8" x14ac:dyDescent="0.25">
      <c r="A173" t="s">
        <v>362</v>
      </c>
      <c r="B173" s="14" cm="1">
        <f t="array" ref="B173">_xll.GetPrice("FP-PNL-0201",,"Low",_SPECIFIEDvarPubDate,)</f>
        <v>770</v>
      </c>
      <c r="C173" s="1">
        <f t="shared" si="6"/>
        <v>45849</v>
      </c>
      <c r="D173">
        <f t="shared" si="7"/>
        <v>2025</v>
      </c>
      <c r="E173">
        <f t="shared" si="8"/>
        <v>7</v>
      </c>
      <c r="F173" s="13" t="s">
        <v>363</v>
      </c>
      <c r="G173" s="13" t="s">
        <v>11</v>
      </c>
      <c r="H173" s="13" t="s">
        <v>825</v>
      </c>
    </row>
    <row r="174" spans="1:8" x14ac:dyDescent="0.25">
      <c r="A174" t="s">
        <v>364</v>
      </c>
      <c r="B174" s="14" cm="1">
        <f t="array" ref="B174">_xll.GetPrice("FP-PNL-0202",,"Low",_SPECIFIEDvarPubDate,)</f>
        <v>915</v>
      </c>
      <c r="C174" s="1">
        <f t="shared" si="6"/>
        <v>45849</v>
      </c>
      <c r="D174">
        <f t="shared" si="7"/>
        <v>2025</v>
      </c>
      <c r="E174">
        <f t="shared" si="8"/>
        <v>7</v>
      </c>
      <c r="F174" s="13" t="s">
        <v>365</v>
      </c>
      <c r="G174" s="13" t="s">
        <v>11</v>
      </c>
      <c r="H174" s="13" t="s">
        <v>825</v>
      </c>
    </row>
    <row r="175" spans="1:8" x14ac:dyDescent="0.25">
      <c r="A175" t="s">
        <v>366</v>
      </c>
      <c r="B175" s="14" cm="1">
        <f t="array" ref="B175">_xll.GetPrice("FP-PNL-0316",,"Low",_SPECIFIEDvarPubDate,)</f>
        <v>410</v>
      </c>
      <c r="C175" s="1">
        <f t="shared" si="6"/>
        <v>45849</v>
      </c>
      <c r="D175">
        <f t="shared" si="7"/>
        <v>2025</v>
      </c>
      <c r="E175">
        <f t="shared" si="8"/>
        <v>7</v>
      </c>
      <c r="F175" s="13" t="s">
        <v>367</v>
      </c>
      <c r="G175" s="13" t="s">
        <v>11</v>
      </c>
      <c r="H175" s="13" t="s">
        <v>825</v>
      </c>
    </row>
    <row r="176" spans="1:8" x14ac:dyDescent="0.25">
      <c r="A176" t="s">
        <v>368</v>
      </c>
      <c r="B176" s="14" cm="1">
        <f t="array" ref="B176">_xll.GetPrice("FP-PNL-0317",,"Low",_SPECIFIEDvarPubDate,)</f>
        <v>475</v>
      </c>
      <c r="C176" s="1">
        <f t="shared" si="6"/>
        <v>45849</v>
      </c>
      <c r="D176">
        <f t="shared" si="7"/>
        <v>2025</v>
      </c>
      <c r="E176">
        <f t="shared" si="8"/>
        <v>7</v>
      </c>
      <c r="F176" s="13" t="s">
        <v>369</v>
      </c>
      <c r="G176" s="13" t="s">
        <v>11</v>
      </c>
      <c r="H176" s="13" t="s">
        <v>825</v>
      </c>
    </row>
    <row r="177" spans="1:8" x14ac:dyDescent="0.25">
      <c r="A177" t="s">
        <v>370</v>
      </c>
      <c r="B177" s="14" cm="1">
        <f t="array" ref="B177">_xll.GetPrice("FP-PNL-0318",,"Low",_SPECIFIEDvarPubDate,)</f>
        <v>500</v>
      </c>
      <c r="C177" s="1">
        <f t="shared" si="6"/>
        <v>45849</v>
      </c>
      <c r="D177">
        <f t="shared" si="7"/>
        <v>2025</v>
      </c>
      <c r="E177">
        <f t="shared" si="8"/>
        <v>7</v>
      </c>
      <c r="F177" s="13" t="s">
        <v>371</v>
      </c>
      <c r="G177" s="13" t="s">
        <v>11</v>
      </c>
      <c r="H177" s="13" t="s">
        <v>825</v>
      </c>
    </row>
    <row r="178" spans="1:8" x14ac:dyDescent="0.25">
      <c r="A178" t="s">
        <v>372</v>
      </c>
      <c r="B178" s="14" cm="1">
        <f t="array" ref="B178">_xll.GetPrice("FP-PNL-0319",,"Low",_SPECIFIEDvarPubDate,)</f>
        <v>520</v>
      </c>
      <c r="C178" s="1">
        <f t="shared" si="6"/>
        <v>45849</v>
      </c>
      <c r="D178">
        <f t="shared" si="7"/>
        <v>2025</v>
      </c>
      <c r="E178">
        <f t="shared" si="8"/>
        <v>7</v>
      </c>
      <c r="F178" s="13" t="s">
        <v>373</v>
      </c>
      <c r="G178" s="13" t="s">
        <v>11</v>
      </c>
      <c r="H178" s="13" t="s">
        <v>825</v>
      </c>
    </row>
    <row r="179" spans="1:8" x14ac:dyDescent="0.25">
      <c r="A179" t="s">
        <v>374</v>
      </c>
      <c r="B179" s="14" cm="1">
        <f t="array" ref="B179">_xll.GetPrice("FP-PNL-0320",,"Low",_SPECIFIEDvarPubDate,)</f>
        <v>730</v>
      </c>
      <c r="C179" s="1">
        <f t="shared" si="6"/>
        <v>45849</v>
      </c>
      <c r="D179">
        <f t="shared" si="7"/>
        <v>2025</v>
      </c>
      <c r="E179">
        <f t="shared" si="8"/>
        <v>7</v>
      </c>
      <c r="F179" s="13" t="s">
        <v>375</v>
      </c>
      <c r="G179" s="13" t="s">
        <v>11</v>
      </c>
      <c r="H179" s="13" t="s">
        <v>825</v>
      </c>
    </row>
    <row r="180" spans="1:8" x14ac:dyDescent="0.25">
      <c r="A180" t="s">
        <v>377</v>
      </c>
      <c r="B180" s="14" cm="1">
        <f t="array" ref="B180">_xll.GetPrice("FP-PNL-0173",,"Low",_SPECIFIEDvarPubDate,)</f>
        <v>340</v>
      </c>
      <c r="C180" s="1">
        <f t="shared" si="6"/>
        <v>45849</v>
      </c>
      <c r="D180">
        <f t="shared" si="7"/>
        <v>2025</v>
      </c>
      <c r="E180">
        <f t="shared" si="8"/>
        <v>7</v>
      </c>
      <c r="F180" s="13" t="s">
        <v>378</v>
      </c>
      <c r="G180" s="13" t="s">
        <v>11</v>
      </c>
      <c r="H180" s="13" t="s">
        <v>825</v>
      </c>
    </row>
    <row r="181" spans="1:8" x14ac:dyDescent="0.25">
      <c r="A181" t="s">
        <v>379</v>
      </c>
      <c r="B181" s="14" cm="1">
        <f t="array" ref="B181">_xll.GetPrice("FP-PNL-0174",,"Low",_SPECIFIEDvarPubDate,)</f>
        <v>365</v>
      </c>
      <c r="C181" s="1">
        <f t="shared" si="6"/>
        <v>45849</v>
      </c>
      <c r="D181">
        <f t="shared" si="7"/>
        <v>2025</v>
      </c>
      <c r="E181">
        <f t="shared" si="8"/>
        <v>7</v>
      </c>
      <c r="F181" s="13" t="s">
        <v>380</v>
      </c>
      <c r="G181" s="13" t="s">
        <v>11</v>
      </c>
      <c r="H181" s="13" t="s">
        <v>825</v>
      </c>
    </row>
    <row r="182" spans="1:8" x14ac:dyDescent="0.25">
      <c r="A182" t="s">
        <v>381</v>
      </c>
      <c r="B182" s="14" cm="1">
        <f t="array" ref="B182">_xll.GetPrice("FP-PNL-0175",,"Low",_SPECIFIEDvarPubDate,)</f>
        <v>369</v>
      </c>
      <c r="C182" s="1">
        <f t="shared" si="6"/>
        <v>45849</v>
      </c>
      <c r="D182">
        <f t="shared" si="7"/>
        <v>2025</v>
      </c>
      <c r="E182">
        <f t="shared" si="8"/>
        <v>7</v>
      </c>
      <c r="F182" s="13" t="s">
        <v>382</v>
      </c>
      <c r="G182" s="13" t="s">
        <v>11</v>
      </c>
      <c r="H182" s="13" t="s">
        <v>825</v>
      </c>
    </row>
    <row r="183" spans="1:8" x14ac:dyDescent="0.25">
      <c r="A183" t="s">
        <v>383</v>
      </c>
      <c r="B183" s="14" cm="1">
        <f t="array" ref="B183">_xll.GetPrice("FP-PNL-0176",,"Low",_SPECIFIEDvarPubDate,)</f>
        <v>372</v>
      </c>
      <c r="C183" s="1">
        <f t="shared" si="6"/>
        <v>45849</v>
      </c>
      <c r="D183">
        <f t="shared" si="7"/>
        <v>2025</v>
      </c>
      <c r="E183">
        <f t="shared" si="8"/>
        <v>7</v>
      </c>
      <c r="F183" s="13" t="s">
        <v>384</v>
      </c>
      <c r="G183" s="13" t="s">
        <v>11</v>
      </c>
      <c r="H183" s="13" t="s">
        <v>825</v>
      </c>
    </row>
    <row r="184" spans="1:8" x14ac:dyDescent="0.25">
      <c r="A184" t="s">
        <v>385</v>
      </c>
      <c r="B184" s="14" cm="1">
        <f t="array" ref="B184">_xll.GetPrice("FP-PNL-0177",,"Low",_SPECIFIEDvarPubDate,)</f>
        <v>525</v>
      </c>
      <c r="C184" s="1">
        <f t="shared" ref="C184:C246" si="9">_SPECIFIEDvarPubDate</f>
        <v>45849</v>
      </c>
      <c r="D184">
        <f t="shared" ref="D184:D246" si="10">_SPECIFIEDvarYear</f>
        <v>2025</v>
      </c>
      <c r="E184">
        <f t="shared" ref="E184:E246" si="11">_SPECIFIEDvarMonth</f>
        <v>7</v>
      </c>
      <c r="F184" s="13" t="s">
        <v>386</v>
      </c>
      <c r="G184" s="13" t="s">
        <v>11</v>
      </c>
      <c r="H184" s="13" t="s">
        <v>825</v>
      </c>
    </row>
    <row r="185" spans="1:8" x14ac:dyDescent="0.25">
      <c r="A185" t="s">
        <v>387</v>
      </c>
      <c r="B185" s="14" cm="1">
        <f t="array" ref="B185">_xll.GetPrice("FP-PNL-0321",,"Low",_SPECIFIEDvarPubDate,)</f>
        <v>460</v>
      </c>
      <c r="C185" s="1">
        <f t="shared" si="9"/>
        <v>45849</v>
      </c>
      <c r="D185">
        <f t="shared" si="10"/>
        <v>2025</v>
      </c>
      <c r="E185">
        <f t="shared" si="11"/>
        <v>7</v>
      </c>
      <c r="F185" s="13" t="s">
        <v>388</v>
      </c>
      <c r="G185" s="13" t="s">
        <v>11</v>
      </c>
      <c r="H185" s="13" t="s">
        <v>825</v>
      </c>
    </row>
    <row r="186" spans="1:8" x14ac:dyDescent="0.25">
      <c r="A186" t="s">
        <v>389</v>
      </c>
      <c r="B186" s="14" cm="1">
        <f t="array" ref="B186">_xll.GetPrice("FP-PNL-0322",,"Low",_SPECIFIEDvarPubDate,)</f>
        <v>480</v>
      </c>
      <c r="C186" s="1">
        <f t="shared" si="9"/>
        <v>45849</v>
      </c>
      <c r="D186">
        <f t="shared" si="10"/>
        <v>2025</v>
      </c>
      <c r="E186">
        <f t="shared" si="11"/>
        <v>7</v>
      </c>
      <c r="F186" s="13" t="s">
        <v>390</v>
      </c>
      <c r="G186" s="13" t="s">
        <v>11</v>
      </c>
      <c r="H186" s="13" t="s">
        <v>825</v>
      </c>
    </row>
    <row r="187" spans="1:8" x14ac:dyDescent="0.25">
      <c r="A187" t="s">
        <v>391</v>
      </c>
      <c r="B187" s="14" cm="1">
        <f t="array" ref="B187">_xll.GetPrice("FP-PNL-0323",,"Low",_SPECIFIEDvarPubDate,)</f>
        <v>530</v>
      </c>
      <c r="C187" s="1">
        <f t="shared" si="9"/>
        <v>45849</v>
      </c>
      <c r="D187">
        <f t="shared" si="10"/>
        <v>2025</v>
      </c>
      <c r="E187">
        <f t="shared" si="11"/>
        <v>7</v>
      </c>
      <c r="F187" s="13" t="s">
        <v>392</v>
      </c>
      <c r="G187" s="13" t="s">
        <v>11</v>
      </c>
      <c r="H187" s="13" t="s">
        <v>825</v>
      </c>
    </row>
    <row r="188" spans="1:8" x14ac:dyDescent="0.25">
      <c r="A188" t="s">
        <v>393</v>
      </c>
      <c r="B188" s="14" cm="1">
        <f t="array" ref="B188">_xll.GetPrice("FP-PNL-0324",,"Low",_SPECIFIEDvarPubDate,)</f>
        <v>570</v>
      </c>
      <c r="C188" s="1">
        <f t="shared" si="9"/>
        <v>45849</v>
      </c>
      <c r="D188">
        <f t="shared" si="10"/>
        <v>2025</v>
      </c>
      <c r="E188">
        <f t="shared" si="11"/>
        <v>7</v>
      </c>
      <c r="F188" s="13" t="s">
        <v>394</v>
      </c>
      <c r="G188" s="13" t="s">
        <v>11</v>
      </c>
      <c r="H188" s="13" t="s">
        <v>825</v>
      </c>
    </row>
    <row r="189" spans="1:8" x14ac:dyDescent="0.25">
      <c r="A189" t="s">
        <v>395</v>
      </c>
      <c r="B189" s="14" cm="1">
        <f t="array" ref="B189">_xll.GetPrice("FP-PNL-0178",,"Low",_SPECIFIEDvarPubDate,)</f>
        <v>305</v>
      </c>
      <c r="C189" s="1">
        <f t="shared" si="9"/>
        <v>45849</v>
      </c>
      <c r="D189">
        <f t="shared" si="10"/>
        <v>2025</v>
      </c>
      <c r="E189">
        <f t="shared" si="11"/>
        <v>7</v>
      </c>
      <c r="F189" s="13" t="s">
        <v>396</v>
      </c>
      <c r="G189" s="13" t="s">
        <v>11</v>
      </c>
      <c r="H189" s="13" t="s">
        <v>825</v>
      </c>
    </row>
    <row r="190" spans="1:8" x14ac:dyDescent="0.25">
      <c r="A190" t="s">
        <v>397</v>
      </c>
      <c r="B190" s="14" cm="1">
        <f t="array" ref="B190">_xll.GetPrice("FP-PNL-0179",,"Low",_SPECIFIEDvarPubDate,)</f>
        <v>335</v>
      </c>
      <c r="C190" s="1">
        <f t="shared" si="9"/>
        <v>45849</v>
      </c>
      <c r="D190">
        <f t="shared" si="10"/>
        <v>2025</v>
      </c>
      <c r="E190">
        <f t="shared" si="11"/>
        <v>7</v>
      </c>
      <c r="F190" s="13" t="s">
        <v>398</v>
      </c>
      <c r="G190" s="13" t="s">
        <v>11</v>
      </c>
      <c r="H190" s="13" t="s">
        <v>825</v>
      </c>
    </row>
    <row r="191" spans="1:8" x14ac:dyDescent="0.25">
      <c r="A191" t="s">
        <v>399</v>
      </c>
      <c r="B191" s="14" cm="1">
        <f t="array" ref="B191">_xll.GetPrice("FP-PNL-0180",,"Low",_SPECIFIEDvarPubDate,)</f>
        <v>350</v>
      </c>
      <c r="C191" s="1">
        <f t="shared" si="9"/>
        <v>45849</v>
      </c>
      <c r="D191">
        <f t="shared" si="10"/>
        <v>2025</v>
      </c>
      <c r="E191">
        <f t="shared" si="11"/>
        <v>7</v>
      </c>
      <c r="F191" s="13" t="s">
        <v>400</v>
      </c>
      <c r="G191" s="13" t="s">
        <v>11</v>
      </c>
      <c r="H191" s="13" t="s">
        <v>825</v>
      </c>
    </row>
    <row r="192" spans="1:8" x14ac:dyDescent="0.25">
      <c r="A192" t="s">
        <v>401</v>
      </c>
      <c r="B192" s="14" cm="1">
        <f t="array" ref="B192">_xll.GetPrice("FP-PNL-0181",,"Low",_SPECIFIEDvarPubDate,)</f>
        <v>355</v>
      </c>
      <c r="C192" s="1">
        <f t="shared" si="9"/>
        <v>45849</v>
      </c>
      <c r="D192">
        <f t="shared" si="10"/>
        <v>2025</v>
      </c>
      <c r="E192">
        <f t="shared" si="11"/>
        <v>7</v>
      </c>
      <c r="F192" s="13" t="s">
        <v>402</v>
      </c>
      <c r="G192" s="13" t="s">
        <v>11</v>
      </c>
      <c r="H192" s="13" t="s">
        <v>825</v>
      </c>
    </row>
    <row r="193" spans="1:8" x14ac:dyDescent="0.25">
      <c r="A193" t="s">
        <v>403</v>
      </c>
      <c r="B193" s="14" cm="1">
        <f t="array" ref="B193">_xll.GetPrice("FP-PNL-0182",,"Low",_SPECIFIEDvarPubDate,)</f>
        <v>502</v>
      </c>
      <c r="C193" s="1">
        <f t="shared" si="9"/>
        <v>45849</v>
      </c>
      <c r="D193">
        <f t="shared" si="10"/>
        <v>2025</v>
      </c>
      <c r="E193">
        <f t="shared" si="11"/>
        <v>7</v>
      </c>
      <c r="F193" s="13" t="s">
        <v>404</v>
      </c>
      <c r="G193" s="13" t="s">
        <v>11</v>
      </c>
      <c r="H193" s="13" t="s">
        <v>825</v>
      </c>
    </row>
    <row r="194" spans="1:8" x14ac:dyDescent="0.25">
      <c r="A194" t="s">
        <v>405</v>
      </c>
      <c r="B194" s="14" cm="1">
        <f t="array" ref="B194">_xll.GetPrice("FP-PNL-0203",,"Low",_SPECIFIEDvarPubDate,)</f>
        <v>829</v>
      </c>
      <c r="C194" s="1">
        <f t="shared" si="9"/>
        <v>45849</v>
      </c>
      <c r="D194">
        <f t="shared" si="10"/>
        <v>2025</v>
      </c>
      <c r="E194">
        <f t="shared" si="11"/>
        <v>7</v>
      </c>
      <c r="F194" s="13" t="s">
        <v>406</v>
      </c>
      <c r="G194" s="13" t="s">
        <v>11</v>
      </c>
      <c r="H194" s="13" t="s">
        <v>825</v>
      </c>
    </row>
    <row r="195" spans="1:8" x14ac:dyDescent="0.25">
      <c r="A195" t="s">
        <v>407</v>
      </c>
      <c r="B195" s="14" cm="1">
        <f t="array" ref="B195">_xll.GetPrice("FP-PNL-0204",,"Low",_SPECIFIEDvarPubDate,)</f>
        <v>858</v>
      </c>
      <c r="C195" s="1">
        <f t="shared" si="9"/>
        <v>45849</v>
      </c>
      <c r="D195">
        <f t="shared" si="10"/>
        <v>2025</v>
      </c>
      <c r="E195">
        <f t="shared" si="11"/>
        <v>7</v>
      </c>
      <c r="F195" s="13" t="s">
        <v>408</v>
      </c>
      <c r="G195" s="13" t="s">
        <v>11</v>
      </c>
      <c r="H195" s="13" t="s">
        <v>825</v>
      </c>
    </row>
    <row r="196" spans="1:8" x14ac:dyDescent="0.25">
      <c r="A196" t="s">
        <v>409</v>
      </c>
      <c r="B196" s="14" cm="1">
        <f t="array" ref="B196">_xll.GetPrice("FP-PNL-0209",,"Low",_SPECIFIEDvarPubDate,)</f>
        <v>1243</v>
      </c>
      <c r="C196" s="1">
        <f t="shared" si="9"/>
        <v>45849</v>
      </c>
      <c r="D196">
        <f t="shared" si="10"/>
        <v>2025</v>
      </c>
      <c r="E196">
        <f t="shared" si="11"/>
        <v>7</v>
      </c>
      <c r="F196" s="13" t="s">
        <v>410</v>
      </c>
      <c r="G196" s="13" t="s">
        <v>11</v>
      </c>
      <c r="H196" s="13" t="s">
        <v>825</v>
      </c>
    </row>
    <row r="197" spans="1:8" x14ac:dyDescent="0.25">
      <c r="A197" t="s">
        <v>411</v>
      </c>
      <c r="B197" s="14" cm="1">
        <f t="array" ref="B197">_xll.GetPrice("FP-PNL-0210",,"Low",_SPECIFIEDvarPubDate,)</f>
        <v>1259</v>
      </c>
      <c r="C197" s="1">
        <f t="shared" si="9"/>
        <v>45849</v>
      </c>
      <c r="D197">
        <f t="shared" si="10"/>
        <v>2025</v>
      </c>
      <c r="E197">
        <f t="shared" si="11"/>
        <v>7</v>
      </c>
      <c r="F197" s="13" t="s">
        <v>412</v>
      </c>
      <c r="G197" s="13" t="s">
        <v>11</v>
      </c>
      <c r="H197" s="13" t="s">
        <v>825</v>
      </c>
    </row>
    <row r="198" spans="1:8" x14ac:dyDescent="0.25">
      <c r="A198" t="s">
        <v>413</v>
      </c>
      <c r="B198" s="14" cm="1">
        <f t="array" ref="B198">_xll.GetPrice("FP-PNL-0205",,"Low",_SPECIFIEDvarPubDate,)</f>
        <v>860</v>
      </c>
      <c r="C198" s="1">
        <f t="shared" si="9"/>
        <v>45849</v>
      </c>
      <c r="D198">
        <f t="shared" si="10"/>
        <v>2025</v>
      </c>
      <c r="E198">
        <f t="shared" si="11"/>
        <v>7</v>
      </c>
      <c r="F198" s="13" t="s">
        <v>414</v>
      </c>
      <c r="G198" s="13" t="s">
        <v>11</v>
      </c>
      <c r="H198" s="13" t="s">
        <v>825</v>
      </c>
    </row>
    <row r="199" spans="1:8" x14ac:dyDescent="0.25">
      <c r="A199" t="s">
        <v>415</v>
      </c>
      <c r="B199" s="14" cm="1">
        <f t="array" ref="B199">_xll.GetPrice("FP-PNL-0206",,"Low",_SPECIFIEDvarPubDate,)</f>
        <v>890</v>
      </c>
      <c r="C199" s="1">
        <f t="shared" si="9"/>
        <v>45849</v>
      </c>
      <c r="D199">
        <f t="shared" si="10"/>
        <v>2025</v>
      </c>
      <c r="E199">
        <f t="shared" si="11"/>
        <v>7</v>
      </c>
      <c r="F199" s="13" t="s">
        <v>416</v>
      </c>
      <c r="G199" s="13" t="s">
        <v>11</v>
      </c>
      <c r="H199" s="13" t="s">
        <v>825</v>
      </c>
    </row>
    <row r="200" spans="1:8" x14ac:dyDescent="0.25">
      <c r="A200" t="s">
        <v>417</v>
      </c>
      <c r="B200" s="14" cm="1">
        <f t="array" ref="B200">_xll.GetPrice("FP-PNL-0207",,"Low",_SPECIFIEDvarPubDate,)</f>
        <v>762</v>
      </c>
      <c r="C200" s="1">
        <f t="shared" si="9"/>
        <v>45849</v>
      </c>
      <c r="D200">
        <f t="shared" si="10"/>
        <v>2025</v>
      </c>
      <c r="E200">
        <f t="shared" si="11"/>
        <v>7</v>
      </c>
      <c r="F200" s="13" t="s">
        <v>418</v>
      </c>
      <c r="G200" s="13" t="s">
        <v>11</v>
      </c>
      <c r="H200" s="13" t="s">
        <v>825</v>
      </c>
    </row>
    <row r="201" spans="1:8" x14ac:dyDescent="0.25">
      <c r="A201" t="s">
        <v>419</v>
      </c>
      <c r="B201" s="14" cm="1">
        <f t="array" ref="B201">_xll.GetPrice("FP-PNL-0208",,"Low",_SPECIFIEDvarPubDate,)</f>
        <v>901</v>
      </c>
      <c r="C201" s="1">
        <f t="shared" si="9"/>
        <v>45849</v>
      </c>
      <c r="D201">
        <f t="shared" si="10"/>
        <v>2025</v>
      </c>
      <c r="E201">
        <f t="shared" si="11"/>
        <v>7</v>
      </c>
      <c r="F201" s="13" t="s">
        <v>420</v>
      </c>
      <c r="G201" s="13" t="s">
        <v>11</v>
      </c>
      <c r="H201" s="13" t="s">
        <v>825</v>
      </c>
    </row>
    <row r="202" spans="1:8" x14ac:dyDescent="0.25">
      <c r="A202" t="s">
        <v>421</v>
      </c>
      <c r="B202" s="14" cm="1">
        <f t="array" ref="B202">_xll.GetPrice("FP-PNL-0211",,"Low",_SPECIFIEDvarPubDate,)</f>
        <v>1229</v>
      </c>
      <c r="C202" s="1">
        <f t="shared" si="9"/>
        <v>45849</v>
      </c>
      <c r="D202">
        <f t="shared" si="10"/>
        <v>2025</v>
      </c>
      <c r="E202">
        <f t="shared" si="11"/>
        <v>7</v>
      </c>
      <c r="F202" s="13" t="s">
        <v>422</v>
      </c>
      <c r="G202" s="13" t="s">
        <v>11</v>
      </c>
      <c r="H202" s="13" t="s">
        <v>825</v>
      </c>
    </row>
    <row r="203" spans="1:8" x14ac:dyDescent="0.25">
      <c r="A203" t="s">
        <v>423</v>
      </c>
      <c r="B203" s="14" cm="1">
        <f t="array" ref="B203">_xll.GetPrice("FP-PNL-0212",,"Low",_SPECIFIEDvarPubDate,)</f>
        <v>1312</v>
      </c>
      <c r="C203" s="1">
        <f t="shared" si="9"/>
        <v>45849</v>
      </c>
      <c r="D203">
        <f t="shared" si="10"/>
        <v>2025</v>
      </c>
      <c r="E203">
        <f t="shared" si="11"/>
        <v>7</v>
      </c>
      <c r="F203" s="13" t="s">
        <v>424</v>
      </c>
      <c r="G203" s="13" t="s">
        <v>11</v>
      </c>
      <c r="H203" s="13" t="s">
        <v>825</v>
      </c>
    </row>
    <row r="204" spans="1:8" x14ac:dyDescent="0.25">
      <c r="A204" t="s">
        <v>425</v>
      </c>
      <c r="B204" s="14" cm="1">
        <f t="array" ref="B204">_xll.GetPrice("FP-PNL-0039",,"Low",_SPECIFIEDvarPubDate,)</f>
        <v>200</v>
      </c>
      <c r="C204" s="1">
        <f t="shared" si="9"/>
        <v>45849</v>
      </c>
      <c r="D204">
        <f t="shared" si="10"/>
        <v>2025</v>
      </c>
      <c r="E204">
        <f t="shared" si="11"/>
        <v>7</v>
      </c>
      <c r="F204" s="13" t="s">
        <v>426</v>
      </c>
      <c r="G204" s="13" t="s">
        <v>11</v>
      </c>
      <c r="H204" s="13" t="s">
        <v>825</v>
      </c>
    </row>
    <row r="205" spans="1:8" x14ac:dyDescent="0.25">
      <c r="A205" t="s">
        <v>427</v>
      </c>
      <c r="B205" s="14" cm="1">
        <f t="array" ref="B205">_xll.GetPrice("FP-PNL-0040",,"Low",_SPECIFIEDvarPubDate,)</f>
        <v>205</v>
      </c>
      <c r="C205" s="1">
        <f t="shared" si="9"/>
        <v>45849</v>
      </c>
      <c r="D205">
        <f t="shared" si="10"/>
        <v>2025</v>
      </c>
      <c r="E205">
        <f t="shared" si="11"/>
        <v>7</v>
      </c>
      <c r="F205" s="13" t="s">
        <v>428</v>
      </c>
      <c r="G205" s="13" t="s">
        <v>11</v>
      </c>
      <c r="H205" s="13" t="s">
        <v>825</v>
      </c>
    </row>
    <row r="206" spans="1:8" x14ac:dyDescent="0.25">
      <c r="A206" t="s">
        <v>429</v>
      </c>
      <c r="B206" s="14" cm="1">
        <f t="array" ref="B206">_xll.GetPrice("FP-PNL-0041",,"Low",_SPECIFIEDvarPubDate,)</f>
        <v>225</v>
      </c>
      <c r="C206" s="1">
        <f t="shared" si="9"/>
        <v>45849</v>
      </c>
      <c r="D206">
        <f t="shared" si="10"/>
        <v>2025</v>
      </c>
      <c r="E206">
        <f t="shared" si="11"/>
        <v>7</v>
      </c>
      <c r="F206" s="13" t="s">
        <v>430</v>
      </c>
      <c r="G206" s="13" t="s">
        <v>11</v>
      </c>
      <c r="H206" s="13" t="s">
        <v>825</v>
      </c>
    </row>
    <row r="207" spans="1:8" x14ac:dyDescent="0.25">
      <c r="A207" t="s">
        <v>431</v>
      </c>
      <c r="B207" s="14" cm="1">
        <f t="array" ref="B207">_xll.GetPrice("FP-PNL-0042",,"Low",_SPECIFIEDvarPubDate,)</f>
        <v>235</v>
      </c>
      <c r="C207" s="1">
        <f t="shared" si="9"/>
        <v>45849</v>
      </c>
      <c r="D207">
        <f t="shared" si="10"/>
        <v>2025</v>
      </c>
      <c r="E207">
        <f t="shared" si="11"/>
        <v>7</v>
      </c>
      <c r="F207" s="13" t="s">
        <v>432</v>
      </c>
      <c r="G207" s="13" t="s">
        <v>11</v>
      </c>
      <c r="H207" s="13" t="s">
        <v>825</v>
      </c>
    </row>
    <row r="208" spans="1:8" x14ac:dyDescent="0.25">
      <c r="A208" t="s">
        <v>433</v>
      </c>
      <c r="B208" s="14" cm="1">
        <f t="array" ref="B208">_xll.GetPrice("FP-PNL-0043",,"Low",_SPECIFIEDvarPubDate,)</f>
        <v>315</v>
      </c>
      <c r="C208" s="1">
        <f t="shared" si="9"/>
        <v>45849</v>
      </c>
      <c r="D208">
        <f t="shared" si="10"/>
        <v>2025</v>
      </c>
      <c r="E208">
        <f t="shared" si="11"/>
        <v>7</v>
      </c>
      <c r="F208" s="13" t="s">
        <v>434</v>
      </c>
      <c r="G208" s="13" t="s">
        <v>11</v>
      </c>
      <c r="H208" s="13" t="s">
        <v>825</v>
      </c>
    </row>
    <row r="209" spans="1:8" x14ac:dyDescent="0.25">
      <c r="A209" t="s">
        <v>435</v>
      </c>
      <c r="B209" s="14" cm="1">
        <f t="array" ref="B209">_xll.GetPrice("FP-PNL-0044",,"Low",_SPECIFIEDvarPubDate,)</f>
        <v>400</v>
      </c>
      <c r="C209" s="1">
        <f t="shared" si="9"/>
        <v>45849</v>
      </c>
      <c r="D209">
        <f t="shared" si="10"/>
        <v>2025</v>
      </c>
      <c r="E209">
        <f t="shared" si="11"/>
        <v>7</v>
      </c>
      <c r="F209" s="13" t="s">
        <v>436</v>
      </c>
      <c r="G209" s="13" t="s">
        <v>11</v>
      </c>
      <c r="H209" s="13" t="s">
        <v>825</v>
      </c>
    </row>
    <row r="210" spans="1:8" x14ac:dyDescent="0.25">
      <c r="A210" t="s">
        <v>437</v>
      </c>
      <c r="B210" s="14" cm="1">
        <f t="array" ref="B210">_xll.GetPrice("FP-PNL-0121",,"Low",_SPECIFIEDvarPubDate,)</f>
        <v>220</v>
      </c>
      <c r="C210" s="1">
        <f t="shared" si="9"/>
        <v>45849</v>
      </c>
      <c r="D210">
        <f t="shared" si="10"/>
        <v>2025</v>
      </c>
      <c r="E210">
        <f t="shared" si="11"/>
        <v>7</v>
      </c>
      <c r="F210" s="13" t="s">
        <v>438</v>
      </c>
      <c r="G210" s="13" t="s">
        <v>11</v>
      </c>
      <c r="H210" s="13" t="s">
        <v>825</v>
      </c>
    </row>
    <row r="211" spans="1:8" x14ac:dyDescent="0.25">
      <c r="A211" t="s">
        <v>439</v>
      </c>
      <c r="B211" s="14" cm="1">
        <f t="array" ref="B211">_xll.GetPrice("FP-PNL-0122",,"Low",_SPECIFIEDvarPubDate,)</f>
        <v>225</v>
      </c>
      <c r="C211" s="1">
        <f t="shared" si="9"/>
        <v>45849</v>
      </c>
      <c r="D211">
        <f t="shared" si="10"/>
        <v>2025</v>
      </c>
      <c r="E211">
        <f t="shared" si="11"/>
        <v>7</v>
      </c>
      <c r="F211" s="13" t="s">
        <v>440</v>
      </c>
      <c r="G211" s="13" t="s">
        <v>11</v>
      </c>
      <c r="H211" s="13" t="s">
        <v>825</v>
      </c>
    </row>
    <row r="212" spans="1:8" x14ac:dyDescent="0.25">
      <c r="A212" t="s">
        <v>441</v>
      </c>
      <c r="B212" s="14" cm="1">
        <f t="array" ref="B212">_xll.GetPrice("FP-PNL-0123",,"Low",_SPECIFIEDvarPubDate,)</f>
        <v>245</v>
      </c>
      <c r="C212" s="1">
        <f t="shared" si="9"/>
        <v>45849</v>
      </c>
      <c r="D212">
        <f t="shared" si="10"/>
        <v>2025</v>
      </c>
      <c r="E212">
        <f t="shared" si="11"/>
        <v>7</v>
      </c>
      <c r="F212" s="13" t="s">
        <v>442</v>
      </c>
      <c r="G212" s="13" t="s">
        <v>11</v>
      </c>
      <c r="H212" s="13" t="s">
        <v>825</v>
      </c>
    </row>
    <row r="213" spans="1:8" x14ac:dyDescent="0.25">
      <c r="A213" t="s">
        <v>443</v>
      </c>
      <c r="B213" s="14" cm="1">
        <f t="array" ref="B213">_xll.GetPrice("FP-PNL-0124",,"Low",_SPECIFIEDvarPubDate,)</f>
        <v>265</v>
      </c>
      <c r="C213" s="1">
        <f t="shared" si="9"/>
        <v>45849</v>
      </c>
      <c r="D213">
        <f t="shared" si="10"/>
        <v>2025</v>
      </c>
      <c r="E213">
        <f t="shared" si="11"/>
        <v>7</v>
      </c>
      <c r="F213" s="13" t="s">
        <v>444</v>
      </c>
      <c r="G213" s="13" t="s">
        <v>11</v>
      </c>
      <c r="H213" s="13" t="s">
        <v>825</v>
      </c>
    </row>
    <row r="214" spans="1:8" x14ac:dyDescent="0.25">
      <c r="A214" t="s">
        <v>445</v>
      </c>
      <c r="B214" s="14" cm="1">
        <f t="array" ref="B214">_xll.GetPrice("FP-PNL-0125",,"Low",_SPECIFIEDvarPubDate,)</f>
        <v>345</v>
      </c>
      <c r="C214" s="1">
        <f t="shared" si="9"/>
        <v>45849</v>
      </c>
      <c r="D214">
        <f t="shared" si="10"/>
        <v>2025</v>
      </c>
      <c r="E214">
        <f t="shared" si="11"/>
        <v>7</v>
      </c>
      <c r="F214" s="13" t="s">
        <v>446</v>
      </c>
      <c r="G214" s="13" t="s">
        <v>11</v>
      </c>
      <c r="H214" s="13" t="s">
        <v>825</v>
      </c>
    </row>
    <row r="215" spans="1:8" x14ac:dyDescent="0.25">
      <c r="A215" t="s">
        <v>447</v>
      </c>
      <c r="B215" s="14" cm="1">
        <f t="array" ref="B215">_xll.GetPrice("FP-PNL-0126",,"Low",_SPECIFIEDvarPubDate,)</f>
        <v>395</v>
      </c>
      <c r="C215" s="1">
        <f t="shared" si="9"/>
        <v>45849</v>
      </c>
      <c r="D215">
        <f t="shared" si="10"/>
        <v>2025</v>
      </c>
      <c r="E215">
        <f t="shared" si="11"/>
        <v>7</v>
      </c>
      <c r="F215" s="13" t="s">
        <v>448</v>
      </c>
      <c r="G215" s="13" t="s">
        <v>11</v>
      </c>
      <c r="H215" s="13" t="s">
        <v>825</v>
      </c>
    </row>
    <row r="216" spans="1:8" x14ac:dyDescent="0.25">
      <c r="A216" t="s">
        <v>449</v>
      </c>
      <c r="B216" s="14" cm="1">
        <f t="array" ref="B216">_xll.GetPrice("FP-PNL-0033",,"Low",_SPECIFIEDvarPubDate,)</f>
        <v>190</v>
      </c>
      <c r="C216" s="1">
        <f t="shared" si="9"/>
        <v>45849</v>
      </c>
      <c r="D216">
        <f t="shared" si="10"/>
        <v>2025</v>
      </c>
      <c r="E216">
        <f t="shared" si="11"/>
        <v>7</v>
      </c>
      <c r="F216" s="13" t="s">
        <v>450</v>
      </c>
      <c r="G216" s="13" t="s">
        <v>11</v>
      </c>
      <c r="H216" s="13" t="s">
        <v>825</v>
      </c>
    </row>
    <row r="217" spans="1:8" x14ac:dyDescent="0.25">
      <c r="A217" t="s">
        <v>451</v>
      </c>
      <c r="B217" s="14" cm="1">
        <f t="array" ref="B217">_xll.GetPrice("FP-PNL-0034",,"Low",_SPECIFIEDvarPubDate,)</f>
        <v>190</v>
      </c>
      <c r="C217" s="1">
        <f t="shared" si="9"/>
        <v>45849</v>
      </c>
      <c r="D217">
        <f t="shared" si="10"/>
        <v>2025</v>
      </c>
      <c r="E217">
        <f t="shared" si="11"/>
        <v>7</v>
      </c>
      <c r="F217" s="13" t="s">
        <v>452</v>
      </c>
      <c r="G217" s="13" t="s">
        <v>11</v>
      </c>
      <c r="H217" s="13" t="s">
        <v>825</v>
      </c>
    </row>
    <row r="218" spans="1:8" x14ac:dyDescent="0.25">
      <c r="A218" t="s">
        <v>453</v>
      </c>
      <c r="B218" s="14" cm="1">
        <f t="array" ref="B218">_xll.GetPrice("FP-PNL-0035",,"Low",_SPECIFIEDvarPubDate,)</f>
        <v>210</v>
      </c>
      <c r="C218" s="1">
        <f t="shared" si="9"/>
        <v>45849</v>
      </c>
      <c r="D218">
        <f t="shared" si="10"/>
        <v>2025</v>
      </c>
      <c r="E218">
        <f t="shared" si="11"/>
        <v>7</v>
      </c>
      <c r="F218" s="13" t="s">
        <v>454</v>
      </c>
      <c r="G218" s="13" t="s">
        <v>11</v>
      </c>
      <c r="H218" s="13" t="s">
        <v>825</v>
      </c>
    </row>
    <row r="219" spans="1:8" x14ac:dyDescent="0.25">
      <c r="A219" t="s">
        <v>455</v>
      </c>
      <c r="B219" s="14" cm="1">
        <f t="array" ref="B219">_xll.GetPrice("FP-PNL-0036",,"Low",_SPECIFIEDvarPubDate,)</f>
        <v>235</v>
      </c>
      <c r="C219" s="1">
        <f t="shared" si="9"/>
        <v>45849</v>
      </c>
      <c r="D219">
        <f t="shared" si="10"/>
        <v>2025</v>
      </c>
      <c r="E219">
        <f t="shared" si="11"/>
        <v>7</v>
      </c>
      <c r="F219" s="13" t="s">
        <v>456</v>
      </c>
      <c r="G219" s="13" t="s">
        <v>11</v>
      </c>
      <c r="H219" s="13" t="s">
        <v>825</v>
      </c>
    </row>
    <row r="220" spans="1:8" x14ac:dyDescent="0.25">
      <c r="A220" t="s">
        <v>457</v>
      </c>
      <c r="B220" s="14" cm="1">
        <f t="array" ref="B220">_xll.GetPrice("FP-PNL-0037",,"Low",_SPECIFIEDvarPubDate,)</f>
        <v>300</v>
      </c>
      <c r="C220" s="1">
        <f t="shared" si="9"/>
        <v>45849</v>
      </c>
      <c r="D220">
        <f t="shared" si="10"/>
        <v>2025</v>
      </c>
      <c r="E220">
        <f t="shared" si="11"/>
        <v>7</v>
      </c>
      <c r="F220" s="13" t="s">
        <v>458</v>
      </c>
      <c r="G220" s="13" t="s">
        <v>11</v>
      </c>
      <c r="H220" s="13" t="s">
        <v>825</v>
      </c>
    </row>
    <row r="221" spans="1:8" x14ac:dyDescent="0.25">
      <c r="A221" t="s">
        <v>459</v>
      </c>
      <c r="B221" s="14" cm="1">
        <f t="array" ref="B221">_xll.GetPrice("FP-PNL-0038",,"Low",_SPECIFIEDvarPubDate,)</f>
        <v>385</v>
      </c>
      <c r="C221" s="1">
        <f t="shared" si="9"/>
        <v>45849</v>
      </c>
      <c r="D221">
        <f t="shared" si="10"/>
        <v>2025</v>
      </c>
      <c r="E221">
        <f t="shared" si="11"/>
        <v>7</v>
      </c>
      <c r="F221" s="13" t="s">
        <v>460</v>
      </c>
      <c r="G221" s="13" t="s">
        <v>11</v>
      </c>
      <c r="H221" s="13" t="s">
        <v>825</v>
      </c>
    </row>
    <row r="222" spans="1:8" x14ac:dyDescent="0.25">
      <c r="A222" t="s">
        <v>461</v>
      </c>
      <c r="B222" s="14" cm="1">
        <f t="array" ref="B222">_xll.GetPrice("FP-PNL-0331",,"Low",_SPECIFIEDvarPubDate,)</f>
        <v>845</v>
      </c>
      <c r="C222" s="1">
        <f t="shared" si="9"/>
        <v>45849</v>
      </c>
      <c r="D222">
        <f t="shared" si="10"/>
        <v>2025</v>
      </c>
      <c r="E222">
        <f t="shared" si="11"/>
        <v>7</v>
      </c>
      <c r="F222" s="13" t="s">
        <v>462</v>
      </c>
      <c r="G222" s="13" t="s">
        <v>11</v>
      </c>
      <c r="H222" s="13" t="s">
        <v>825</v>
      </c>
    </row>
    <row r="223" spans="1:8" x14ac:dyDescent="0.25">
      <c r="A223" t="s">
        <v>463</v>
      </c>
      <c r="B223" s="14" cm="1">
        <f t="array" ref="B223">_xll.GetPrice("FP-PNL-0332",,"Low",_SPECIFIEDvarPubDate,)</f>
        <v>915</v>
      </c>
      <c r="C223" s="1">
        <f t="shared" si="9"/>
        <v>45849</v>
      </c>
      <c r="D223">
        <f t="shared" si="10"/>
        <v>2025</v>
      </c>
      <c r="E223">
        <f t="shared" si="11"/>
        <v>7</v>
      </c>
      <c r="F223" s="13" t="s">
        <v>464</v>
      </c>
      <c r="G223" s="13" t="s">
        <v>11</v>
      </c>
      <c r="H223" s="13" t="s">
        <v>825</v>
      </c>
    </row>
    <row r="224" spans="1:8" x14ac:dyDescent="0.25">
      <c r="A224" t="s">
        <v>465</v>
      </c>
      <c r="B224" s="14" cm="1">
        <f t="array" ref="B224">_xll.GetPrice("FP-PNL-0335",,"Low",_SPECIFIEDvarPubDate,)</f>
        <v>825</v>
      </c>
      <c r="C224" s="1">
        <f t="shared" si="9"/>
        <v>45849</v>
      </c>
      <c r="D224">
        <f t="shared" si="10"/>
        <v>2025</v>
      </c>
      <c r="E224">
        <f t="shared" si="11"/>
        <v>7</v>
      </c>
      <c r="F224" s="13" t="s">
        <v>466</v>
      </c>
      <c r="G224" s="13" t="s">
        <v>11</v>
      </c>
      <c r="H224" s="13" t="s">
        <v>825</v>
      </c>
    </row>
    <row r="225" spans="1:8" x14ac:dyDescent="0.25">
      <c r="A225" t="s">
        <v>467</v>
      </c>
      <c r="B225" s="14" cm="1">
        <f t="array" ref="B225">_xll.GetPrice("FP-PNL-0336",,"Low",_SPECIFIEDvarPubDate,)</f>
        <v>875</v>
      </c>
      <c r="C225" s="1">
        <f t="shared" si="9"/>
        <v>45849</v>
      </c>
      <c r="D225">
        <f t="shared" si="10"/>
        <v>2025</v>
      </c>
      <c r="E225">
        <f t="shared" si="11"/>
        <v>7</v>
      </c>
      <c r="F225" s="13" t="s">
        <v>468</v>
      </c>
      <c r="G225" s="13" t="s">
        <v>11</v>
      </c>
      <c r="H225" s="13" t="s">
        <v>825</v>
      </c>
    </row>
    <row r="226" spans="1:8" x14ac:dyDescent="0.25">
      <c r="A226" t="s">
        <v>469</v>
      </c>
      <c r="B226" s="14" cm="1">
        <f t="array" ref="B226">_xll.GetPrice("FP-PNL-0499",,"Low",_SPECIFIEDvarPrvWeekDate,)</f>
        <v>450</v>
      </c>
      <c r="C226" s="1">
        <f t="shared" si="9"/>
        <v>45849</v>
      </c>
      <c r="D226">
        <f t="shared" si="10"/>
        <v>2025</v>
      </c>
      <c r="E226">
        <f t="shared" si="11"/>
        <v>7</v>
      </c>
      <c r="F226" s="13" t="s">
        <v>470</v>
      </c>
      <c r="G226" s="13" t="s">
        <v>11</v>
      </c>
      <c r="H226" s="13" t="s">
        <v>826</v>
      </c>
    </row>
    <row r="227" spans="1:8" x14ac:dyDescent="0.25">
      <c r="A227" t="s">
        <v>472</v>
      </c>
      <c r="B227" s="14" cm="1">
        <f t="array" ref="B227">_xll.GetPrice("FP-PNL-0499",,"Low",_SPECIFIEDvarPrvYearDate,)</f>
        <v>514</v>
      </c>
      <c r="C227" s="1">
        <f t="shared" si="9"/>
        <v>45849</v>
      </c>
      <c r="D227">
        <f t="shared" si="10"/>
        <v>2025</v>
      </c>
      <c r="E227">
        <f t="shared" si="11"/>
        <v>7</v>
      </c>
      <c r="F227" s="13" t="s">
        <v>470</v>
      </c>
      <c r="G227" s="13" t="s">
        <v>11</v>
      </c>
      <c r="H227" s="13" t="s">
        <v>827</v>
      </c>
    </row>
    <row r="228" spans="1:8" x14ac:dyDescent="0.25">
      <c r="A228" t="s">
        <v>475</v>
      </c>
      <c r="B228" s="14" cm="1">
        <f t="array" ref="B228">_xll.GetPrice("FP-PNL-0289",,"Low",_SPECIFIEDvarPubDate,)</f>
        <v>94.5</v>
      </c>
      <c r="C228" s="1">
        <f t="shared" si="9"/>
        <v>45849</v>
      </c>
      <c r="D228">
        <f t="shared" si="10"/>
        <v>2025</v>
      </c>
      <c r="E228">
        <f t="shared" si="11"/>
        <v>7</v>
      </c>
      <c r="F228" s="13" t="s">
        <v>476</v>
      </c>
      <c r="G228" s="13" t="s">
        <v>11</v>
      </c>
      <c r="H228" s="13" t="s">
        <v>825</v>
      </c>
    </row>
    <row r="229" spans="1:8" x14ac:dyDescent="0.25">
      <c r="A229" t="s">
        <v>477</v>
      </c>
      <c r="B229" s="14" cm="1">
        <f t="array" ref="B229">_xll.GetPrice("FP-PNL-0292",,"Low",_SPECIFIEDvarPubDate,)</f>
        <v>65.25</v>
      </c>
      <c r="C229" s="1">
        <f t="shared" si="9"/>
        <v>45849</v>
      </c>
      <c r="D229">
        <f t="shared" si="10"/>
        <v>2025</v>
      </c>
      <c r="E229">
        <f t="shared" si="11"/>
        <v>7</v>
      </c>
      <c r="F229" s="13" t="s">
        <v>478</v>
      </c>
      <c r="G229" s="13" t="s">
        <v>11</v>
      </c>
      <c r="H229" s="13" t="s">
        <v>825</v>
      </c>
    </row>
    <row r="230" spans="1:8" x14ac:dyDescent="0.25">
      <c r="A230" t="s">
        <v>479</v>
      </c>
      <c r="B230" s="14" cm="1">
        <f t="array" ref="B230">_xll.GetPrice("FP-PNL-0295",,"Low",_SPECIFIEDvarPubDate,)</f>
        <v>25.75</v>
      </c>
      <c r="C230" s="1">
        <f t="shared" si="9"/>
        <v>45849</v>
      </c>
      <c r="D230">
        <f t="shared" si="10"/>
        <v>2025</v>
      </c>
      <c r="E230">
        <f t="shared" si="11"/>
        <v>7</v>
      </c>
      <c r="F230" s="13" t="s">
        <v>480</v>
      </c>
      <c r="G230" s="13" t="s">
        <v>11</v>
      </c>
      <c r="H230" s="13" t="s">
        <v>825</v>
      </c>
    </row>
    <row r="231" spans="1:8" x14ac:dyDescent="0.25">
      <c r="A231" t="s">
        <v>481</v>
      </c>
      <c r="B231" s="14" cm="1">
        <f t="array" ref="B231">_xll.GetPrice("FP-PNL-0298",,"Low",_SPECIFIEDvarPubDate,)</f>
        <v>24.5</v>
      </c>
      <c r="C231" s="1">
        <f t="shared" si="9"/>
        <v>45849</v>
      </c>
      <c r="D231">
        <f t="shared" si="10"/>
        <v>2025</v>
      </c>
      <c r="E231">
        <f t="shared" si="11"/>
        <v>7</v>
      </c>
      <c r="F231" s="13" t="s">
        <v>482</v>
      </c>
      <c r="G231" s="13" t="s">
        <v>11</v>
      </c>
      <c r="H231" s="13" t="s">
        <v>825</v>
      </c>
    </row>
    <row r="232" spans="1:8" x14ac:dyDescent="0.25">
      <c r="A232" t="s">
        <v>483</v>
      </c>
      <c r="B232" s="14" cm="1">
        <f t="array" ref="B232">_xll.GetPrice("FP-PNL-0152",,"Low",_SPECIFIEDvarPubDate,)</f>
        <v>10</v>
      </c>
      <c r="C232" s="1">
        <f t="shared" si="9"/>
        <v>45849</v>
      </c>
      <c r="D232">
        <f t="shared" si="10"/>
        <v>2025</v>
      </c>
      <c r="E232">
        <f t="shared" si="11"/>
        <v>7</v>
      </c>
      <c r="F232" s="13" t="s">
        <v>484</v>
      </c>
      <c r="G232" s="13" t="s">
        <v>11</v>
      </c>
      <c r="H232" s="13" t="s">
        <v>825</v>
      </c>
    </row>
    <row r="233" spans="1:8" x14ac:dyDescent="0.25">
      <c r="A233" t="s">
        <v>485</v>
      </c>
      <c r="B233" s="14" cm="1">
        <f t="array" ref="B233">_xll.GetPrice("FP-PNL-0152",,"High",_SPECIFIEDvarPubDate,)</f>
        <v>20</v>
      </c>
      <c r="C233" s="1">
        <f t="shared" si="9"/>
        <v>45849</v>
      </c>
      <c r="D233">
        <f t="shared" si="10"/>
        <v>2025</v>
      </c>
      <c r="E233">
        <f t="shared" si="11"/>
        <v>7</v>
      </c>
      <c r="F233" s="13" t="s">
        <v>484</v>
      </c>
      <c r="G233" s="13" t="s">
        <v>486</v>
      </c>
      <c r="H233" s="13" t="s">
        <v>825</v>
      </c>
    </row>
    <row r="234" spans="1:8" x14ac:dyDescent="0.25">
      <c r="A234" t="s">
        <v>487</v>
      </c>
      <c r="B234" s="14" cm="1">
        <f t="array" ref="B234">_xll.GetPrice("FP-PNL-0274",,"Low",_SPECIFIEDvarPubDate,)</f>
        <v>1805</v>
      </c>
      <c r="C234" s="1">
        <f t="shared" si="9"/>
        <v>45849</v>
      </c>
      <c r="D234">
        <f t="shared" si="10"/>
        <v>2025</v>
      </c>
      <c r="E234">
        <f t="shared" si="11"/>
        <v>7</v>
      </c>
      <c r="F234" s="13" t="s">
        <v>488</v>
      </c>
      <c r="G234" s="13" t="s">
        <v>11</v>
      </c>
      <c r="H234" s="13" t="s">
        <v>825</v>
      </c>
    </row>
    <row r="235" spans="1:8" x14ac:dyDescent="0.25">
      <c r="A235" t="s">
        <v>489</v>
      </c>
      <c r="B235" s="14" cm="1">
        <f t="array" ref="B235">_xll.GetPrice("FP-PNL-0275",,"Low",_SPECIFIEDvarPubDate,)</f>
        <v>2385</v>
      </c>
      <c r="C235" s="1">
        <f t="shared" si="9"/>
        <v>45849</v>
      </c>
      <c r="D235">
        <f t="shared" si="10"/>
        <v>2025</v>
      </c>
      <c r="E235">
        <f t="shared" si="11"/>
        <v>7</v>
      </c>
      <c r="F235" s="13" t="s">
        <v>490</v>
      </c>
      <c r="G235" s="13" t="s">
        <v>11</v>
      </c>
      <c r="H235" s="13" t="s">
        <v>825</v>
      </c>
    </row>
    <row r="236" spans="1:8" x14ac:dyDescent="0.25">
      <c r="A236" t="s">
        <v>491</v>
      </c>
      <c r="B236" s="14" cm="1">
        <f t="array" ref="B236">_xll.GetPrice("FP-PNL-0276",,"Low",_SPECIFIEDvarPubDate,)</f>
        <v>2425</v>
      </c>
      <c r="C236" s="1">
        <f t="shared" si="9"/>
        <v>45849</v>
      </c>
      <c r="D236">
        <f t="shared" si="10"/>
        <v>2025</v>
      </c>
      <c r="E236">
        <f t="shared" si="11"/>
        <v>7</v>
      </c>
      <c r="F236" s="13" t="s">
        <v>492</v>
      </c>
      <c r="G236" s="13" t="s">
        <v>11</v>
      </c>
      <c r="H236" s="13" t="s">
        <v>825</v>
      </c>
    </row>
    <row r="237" spans="1:8" x14ac:dyDescent="0.25">
      <c r="A237" t="s">
        <v>493</v>
      </c>
      <c r="B237" s="14" cm="1">
        <f t="array" ref="B237">_xll.GetPrice("FP-PNL-0277",,"Low",_SPECIFIEDvarPubDate,)</f>
        <v>1590</v>
      </c>
      <c r="C237" s="1">
        <f t="shared" si="9"/>
        <v>45849</v>
      </c>
      <c r="D237">
        <f t="shared" si="10"/>
        <v>2025</v>
      </c>
      <c r="E237">
        <f t="shared" si="11"/>
        <v>7</v>
      </c>
      <c r="F237" s="13" t="s">
        <v>494</v>
      </c>
      <c r="G237" s="13" t="s">
        <v>11</v>
      </c>
      <c r="H237" s="13" t="s">
        <v>825</v>
      </c>
    </row>
    <row r="238" spans="1:8" x14ac:dyDescent="0.25">
      <c r="A238" t="s">
        <v>495</v>
      </c>
      <c r="B238" s="14" cm="1">
        <f t="array" ref="B238">_xll.GetPrice("FP-PNL-0278",,"Low",_SPECIFIEDvarPubDate,)</f>
        <v>2220</v>
      </c>
      <c r="C238" s="1">
        <f t="shared" si="9"/>
        <v>45849</v>
      </c>
      <c r="D238">
        <f t="shared" si="10"/>
        <v>2025</v>
      </c>
      <c r="E238">
        <f t="shared" si="11"/>
        <v>7</v>
      </c>
      <c r="F238" s="13" t="s">
        <v>496</v>
      </c>
      <c r="G238" s="13" t="s">
        <v>11</v>
      </c>
      <c r="H238" s="13" t="s">
        <v>825</v>
      </c>
    </row>
    <row r="239" spans="1:8" x14ac:dyDescent="0.25">
      <c r="A239" t="s">
        <v>497</v>
      </c>
      <c r="B239" s="14" cm="1">
        <f t="array" ref="B239">_xll.GetPrice("FP-PNL-0279",,"Low",_SPECIFIEDvarPubDate,)</f>
        <v>2240</v>
      </c>
      <c r="C239" s="1">
        <f t="shared" si="9"/>
        <v>45849</v>
      </c>
      <c r="D239">
        <f t="shared" si="10"/>
        <v>2025</v>
      </c>
      <c r="E239">
        <f t="shared" si="11"/>
        <v>7</v>
      </c>
      <c r="F239" s="13" t="s">
        <v>498</v>
      </c>
      <c r="G239" s="13" t="s">
        <v>11</v>
      </c>
      <c r="H239" s="13" t="s">
        <v>825</v>
      </c>
    </row>
    <row r="240" spans="1:8" x14ac:dyDescent="0.25">
      <c r="A240" t="s">
        <v>499</v>
      </c>
      <c r="B240" s="14" cm="1">
        <f t="array" ref="B240">_xll.GetPrice("FP-PNL-0280",,"Low",_SPECIFIEDvarPubDate,)</f>
        <v>1815</v>
      </c>
      <c r="C240" s="1">
        <f t="shared" si="9"/>
        <v>45849</v>
      </c>
      <c r="D240">
        <f t="shared" si="10"/>
        <v>2025</v>
      </c>
      <c r="E240">
        <f t="shared" si="11"/>
        <v>7</v>
      </c>
      <c r="F240" s="13" t="s">
        <v>500</v>
      </c>
      <c r="G240" s="13" t="s">
        <v>11</v>
      </c>
      <c r="H240" s="13" t="s">
        <v>825</v>
      </c>
    </row>
    <row r="241" spans="1:8" x14ac:dyDescent="0.25">
      <c r="A241" t="s">
        <v>501</v>
      </c>
      <c r="B241" s="14" cm="1">
        <f t="array" ref="B241">_xll.GetPrice("FP-PNL-0281",,"Low",_SPECIFIEDvarPubDate,)</f>
        <v>2415</v>
      </c>
      <c r="C241" s="1">
        <f t="shared" si="9"/>
        <v>45849</v>
      </c>
      <c r="D241">
        <f t="shared" si="10"/>
        <v>2025</v>
      </c>
      <c r="E241">
        <f t="shared" si="11"/>
        <v>7</v>
      </c>
      <c r="F241" s="13" t="s">
        <v>502</v>
      </c>
      <c r="G241" s="13" t="s">
        <v>11</v>
      </c>
      <c r="H241" s="13" t="s">
        <v>825</v>
      </c>
    </row>
    <row r="242" spans="1:8" x14ac:dyDescent="0.25">
      <c r="A242" t="s">
        <v>503</v>
      </c>
      <c r="B242" s="14" cm="1">
        <f t="array" ref="B242">_xll.GetPrice("FP-PNL-0282",,"Low",_SPECIFIEDvarPubDate,)</f>
        <v>2455</v>
      </c>
      <c r="C242" s="1">
        <f t="shared" si="9"/>
        <v>45849</v>
      </c>
      <c r="D242">
        <f t="shared" si="10"/>
        <v>2025</v>
      </c>
      <c r="E242">
        <f t="shared" si="11"/>
        <v>7</v>
      </c>
      <c r="F242" s="13" t="s">
        <v>504</v>
      </c>
      <c r="G242" s="13" t="s">
        <v>11</v>
      </c>
      <c r="H242" s="13" t="s">
        <v>825</v>
      </c>
    </row>
    <row r="243" spans="1:8" x14ac:dyDescent="0.25">
      <c r="A243" t="s">
        <v>505</v>
      </c>
      <c r="B243" s="14" cm="1">
        <f t="array" ref="B243">_xll.GetPrice("FP-PNL-0283",,"Low",_SPECIFIEDvarPubDate,)</f>
        <v>1625</v>
      </c>
      <c r="C243" s="1">
        <f t="shared" si="9"/>
        <v>45849</v>
      </c>
      <c r="D243">
        <f t="shared" si="10"/>
        <v>2025</v>
      </c>
      <c r="E243">
        <f t="shared" si="11"/>
        <v>7</v>
      </c>
      <c r="F243" s="13" t="s">
        <v>506</v>
      </c>
      <c r="G243" s="13" t="s">
        <v>11</v>
      </c>
      <c r="H243" s="13" t="s">
        <v>825</v>
      </c>
    </row>
    <row r="244" spans="1:8" x14ac:dyDescent="0.25">
      <c r="A244" t="s">
        <v>507</v>
      </c>
      <c r="B244" s="14" cm="1">
        <f t="array" ref="B244">_xll.GetPrice("FP-PNL-0284",,"Low",_SPECIFIEDvarPubDate,)</f>
        <v>2235</v>
      </c>
      <c r="C244" s="1">
        <f t="shared" si="9"/>
        <v>45849</v>
      </c>
      <c r="D244">
        <f t="shared" si="10"/>
        <v>2025</v>
      </c>
      <c r="E244">
        <f t="shared" si="11"/>
        <v>7</v>
      </c>
      <c r="F244" s="13" t="s">
        <v>508</v>
      </c>
      <c r="G244" s="13" t="s">
        <v>11</v>
      </c>
      <c r="H244" s="13" t="s">
        <v>825</v>
      </c>
    </row>
    <row r="245" spans="1:8" x14ac:dyDescent="0.25">
      <c r="A245" t="s">
        <v>509</v>
      </c>
      <c r="B245" s="14" cm="1">
        <f t="array" ref="B245">_xll.GetPrice("FP-PNL-0285",,"Low",_SPECIFIEDvarPubDate,)</f>
        <v>2270</v>
      </c>
      <c r="C245" s="1">
        <f t="shared" si="9"/>
        <v>45849</v>
      </c>
      <c r="D245">
        <f t="shared" si="10"/>
        <v>2025</v>
      </c>
      <c r="E245">
        <f t="shared" si="11"/>
        <v>7</v>
      </c>
      <c r="F245" s="13" t="s">
        <v>510</v>
      </c>
      <c r="G245" s="13" t="s">
        <v>11</v>
      </c>
      <c r="H245" s="13" t="s">
        <v>825</v>
      </c>
    </row>
    <row r="246" spans="1:8" x14ac:dyDescent="0.25">
      <c r="A246" t="s">
        <v>511</v>
      </c>
      <c r="B246" s="14" cm="1">
        <f t="array" ref="B246">_xll.GetPrice("FP-PNL-0499",,"Low",_SPECIFIEDvarPubDate,)</f>
        <v>444</v>
      </c>
      <c r="C246" s="1">
        <f t="shared" si="9"/>
        <v>45849</v>
      </c>
      <c r="D246">
        <f t="shared" si="10"/>
        <v>2025</v>
      </c>
      <c r="E246">
        <f t="shared" si="11"/>
        <v>7</v>
      </c>
      <c r="F246" s="13" t="s">
        <v>470</v>
      </c>
      <c r="G246" s="13" t="s">
        <v>11</v>
      </c>
      <c r="H246" s="13" t="s">
        <v>825</v>
      </c>
    </row>
    <row r="247" spans="1:8" x14ac:dyDescent="0.25">
      <c r="A247" t="s">
        <v>512</v>
      </c>
      <c r="B247" s="14" cm="1">
        <f t="array" ref="B247">_xll.GetPrice("FP-PNL-0329",,"Low",_SPECIFIEDvarPubDate,)</f>
        <v>700</v>
      </c>
      <c r="C247" s="1">
        <f t="shared" ref="C247:C310" si="12">_SPECIFIEDvarPubDate</f>
        <v>45849</v>
      </c>
      <c r="D247">
        <f t="shared" ref="D247:D310" si="13">_SPECIFIEDvarYear</f>
        <v>2025</v>
      </c>
      <c r="E247">
        <f t="shared" ref="E247:E310" si="14">_SPECIFIEDvarMonth</f>
        <v>7</v>
      </c>
      <c r="F247" s="13" t="s">
        <v>513</v>
      </c>
      <c r="G247" s="13" t="s">
        <v>11</v>
      </c>
      <c r="H247" s="13" t="s">
        <v>825</v>
      </c>
    </row>
    <row r="248" spans="1:8" x14ac:dyDescent="0.25">
      <c r="A248" t="s">
        <v>514</v>
      </c>
      <c r="B248" s="14" cm="1">
        <f t="array" ref="B248">_xll.GetPrice("FP-PNL-0330",,"Low",_SPECIFIEDvarPubDate,)</f>
        <v>755</v>
      </c>
      <c r="C248" s="1">
        <f t="shared" si="12"/>
        <v>45849</v>
      </c>
      <c r="D248">
        <f t="shared" si="13"/>
        <v>2025</v>
      </c>
      <c r="E248">
        <f t="shared" si="14"/>
        <v>7</v>
      </c>
      <c r="F248" s="13" t="s">
        <v>515</v>
      </c>
      <c r="G248" s="13" t="s">
        <v>11</v>
      </c>
      <c r="H248" s="13" t="s">
        <v>825</v>
      </c>
    </row>
    <row r="249" spans="1:8" x14ac:dyDescent="0.25">
      <c r="A249" t="s">
        <v>516</v>
      </c>
      <c r="B249" s="14" cm="1">
        <f t="array" ref="B249">_xll.GetPrice("FP-PNL-0333",,"Low",_SPECIFIEDvarPubDate,)</f>
        <v>665</v>
      </c>
      <c r="C249" s="1">
        <f t="shared" si="12"/>
        <v>45849</v>
      </c>
      <c r="D249">
        <f t="shared" si="13"/>
        <v>2025</v>
      </c>
      <c r="E249">
        <f t="shared" si="14"/>
        <v>7</v>
      </c>
      <c r="F249" s="13" t="s">
        <v>517</v>
      </c>
      <c r="G249" s="13" t="s">
        <v>11</v>
      </c>
      <c r="H249" s="13" t="s">
        <v>825</v>
      </c>
    </row>
    <row r="250" spans="1:8" x14ac:dyDescent="0.25">
      <c r="A250" t="s">
        <v>518</v>
      </c>
      <c r="B250" s="14" cm="1">
        <f t="array" ref="B250">_xll.GetPrice("FP-PNL-0334",,"Low",_SPECIFIEDvarPubDate,)</f>
        <v>720</v>
      </c>
      <c r="C250" s="1">
        <f t="shared" si="12"/>
        <v>45849</v>
      </c>
      <c r="D250">
        <f t="shared" si="13"/>
        <v>2025</v>
      </c>
      <c r="E250">
        <f t="shared" si="14"/>
        <v>7</v>
      </c>
      <c r="F250" s="13" t="s">
        <v>519</v>
      </c>
      <c r="G250" s="13" t="s">
        <v>11</v>
      </c>
      <c r="H250" s="13" t="s">
        <v>825</v>
      </c>
    </row>
    <row r="251" spans="1:8" x14ac:dyDescent="0.25">
      <c r="A251" t="s">
        <v>520</v>
      </c>
      <c r="B251" s="14" cm="1">
        <f t="array" ref="B251">_xll.GetPrice("FP-PNL-0226",,"Low",_SPECIFIEDvarPubDate,)</f>
        <v>765</v>
      </c>
      <c r="C251" s="1">
        <f t="shared" si="12"/>
        <v>45849</v>
      </c>
      <c r="D251">
        <f t="shared" si="13"/>
        <v>2025</v>
      </c>
      <c r="E251">
        <f t="shared" si="14"/>
        <v>7</v>
      </c>
      <c r="F251" s="13" t="s">
        <v>521</v>
      </c>
      <c r="G251" s="13" t="s">
        <v>11</v>
      </c>
      <c r="H251" s="13" t="s">
        <v>825</v>
      </c>
    </row>
    <row r="252" spans="1:8" x14ac:dyDescent="0.25">
      <c r="A252" t="s">
        <v>522</v>
      </c>
      <c r="B252" s="14" cm="1">
        <f t="array" ref="B252">_xll.GetPrice("FP-PNL-0288",,"Low",_SPECIFIEDvarPubDate,)</f>
        <v>91</v>
      </c>
      <c r="C252" s="1">
        <f t="shared" si="12"/>
        <v>45849</v>
      </c>
      <c r="D252">
        <f t="shared" si="13"/>
        <v>2025</v>
      </c>
      <c r="E252">
        <f t="shared" si="14"/>
        <v>7</v>
      </c>
      <c r="F252" s="13" t="s">
        <v>523</v>
      </c>
      <c r="G252" s="13" t="s">
        <v>11</v>
      </c>
      <c r="H252" s="13" t="s">
        <v>825</v>
      </c>
    </row>
    <row r="253" spans="1:8" x14ac:dyDescent="0.25">
      <c r="A253" t="s">
        <v>524</v>
      </c>
      <c r="B253" s="14" cm="1">
        <f t="array" ref="B253">_xll.GetPrice("FP-PNL-0291",,"Low",_SPECIFIEDvarPubDate,)</f>
        <v>44.5</v>
      </c>
      <c r="C253" s="1">
        <f t="shared" si="12"/>
        <v>45849</v>
      </c>
      <c r="D253">
        <f t="shared" si="13"/>
        <v>2025</v>
      </c>
      <c r="E253">
        <f t="shared" si="14"/>
        <v>7</v>
      </c>
      <c r="F253" s="13" t="s">
        <v>525</v>
      </c>
      <c r="G253" s="13" t="s">
        <v>11</v>
      </c>
      <c r="H253" s="13" t="s">
        <v>825</v>
      </c>
    </row>
    <row r="254" spans="1:8" x14ac:dyDescent="0.25">
      <c r="A254" t="s">
        <v>526</v>
      </c>
      <c r="B254" s="14" cm="1">
        <f t="array" ref="B254">_xll.GetPrice("FP-PNL-0294",,"Low",_SPECIFIEDvarPubDate,)</f>
        <v>11.5</v>
      </c>
      <c r="C254" s="1">
        <f t="shared" si="12"/>
        <v>45849</v>
      </c>
      <c r="D254">
        <f t="shared" si="13"/>
        <v>2025</v>
      </c>
      <c r="E254">
        <f t="shared" si="14"/>
        <v>7</v>
      </c>
      <c r="F254" s="13" t="s">
        <v>527</v>
      </c>
      <c r="G254" s="13" t="s">
        <v>11</v>
      </c>
      <c r="H254" s="13" t="s">
        <v>825</v>
      </c>
    </row>
    <row r="255" spans="1:8" x14ac:dyDescent="0.25">
      <c r="A255" t="s">
        <v>528</v>
      </c>
      <c r="B255" s="14" cm="1">
        <f t="array" ref="B255">_xll.GetPrice("FP-PNL-0297",,"Low",_SPECIFIEDvarPubDate,)</f>
        <v>13.5</v>
      </c>
      <c r="C255" s="1">
        <f t="shared" si="12"/>
        <v>45849</v>
      </c>
      <c r="D255">
        <f t="shared" si="13"/>
        <v>2025</v>
      </c>
      <c r="E255">
        <f t="shared" si="14"/>
        <v>7</v>
      </c>
      <c r="F255" s="13" t="s">
        <v>529</v>
      </c>
      <c r="G255" s="13" t="s">
        <v>11</v>
      </c>
      <c r="H255" s="13" t="s">
        <v>825</v>
      </c>
    </row>
    <row r="256" spans="1:8" x14ac:dyDescent="0.25">
      <c r="A256" t="s">
        <v>530</v>
      </c>
      <c r="B256" s="14" cm="1">
        <f t="array" ref="B256">_xll.GetPrice("FP-PNL-0505",,"Low",_SPECIFIEDvarPubDate,)</f>
        <v>74.5</v>
      </c>
      <c r="C256" s="1">
        <f t="shared" si="12"/>
        <v>45849</v>
      </c>
      <c r="D256">
        <f t="shared" si="13"/>
        <v>2025</v>
      </c>
      <c r="E256">
        <f t="shared" si="14"/>
        <v>7</v>
      </c>
      <c r="F256" s="13" t="s">
        <v>531</v>
      </c>
      <c r="G256" s="13" t="s">
        <v>11</v>
      </c>
      <c r="H256" s="13" t="s">
        <v>825</v>
      </c>
    </row>
    <row r="257" spans="1:8" x14ac:dyDescent="0.25">
      <c r="A257" t="s">
        <v>532</v>
      </c>
      <c r="B257" s="14" cm="1">
        <f t="array" ref="B257">_xll.GetPrice("FP-PNL-0500",,"Low",_SPECIFIEDvarPubDate,)</f>
        <v>260</v>
      </c>
      <c r="C257" s="1">
        <f t="shared" si="12"/>
        <v>45849</v>
      </c>
      <c r="D257">
        <f t="shared" si="13"/>
        <v>2025</v>
      </c>
      <c r="E257">
        <f t="shared" si="14"/>
        <v>7</v>
      </c>
      <c r="F257" s="13" t="s">
        <v>533</v>
      </c>
      <c r="G257" s="13" t="s">
        <v>11</v>
      </c>
      <c r="H257" s="13" t="s">
        <v>825</v>
      </c>
    </row>
    <row r="258" spans="1:8" x14ac:dyDescent="0.25">
      <c r="A258" t="s">
        <v>534</v>
      </c>
      <c r="B258" s="14" cm="1">
        <f t="array" ref="B258">_xll.GetPrice("FP-PNL-0501",,"Low",_SPECIFIEDvarPubDate,)</f>
        <v>679</v>
      </c>
      <c r="C258" s="1">
        <f t="shared" si="12"/>
        <v>45849</v>
      </c>
      <c r="D258">
        <f t="shared" si="13"/>
        <v>2025</v>
      </c>
      <c r="E258">
        <f t="shared" si="14"/>
        <v>7</v>
      </c>
      <c r="F258" s="13" t="s">
        <v>535</v>
      </c>
      <c r="G258" s="13" t="s">
        <v>11</v>
      </c>
      <c r="H258" s="13" t="s">
        <v>825</v>
      </c>
    </row>
    <row r="259" spans="1:8" x14ac:dyDescent="0.25">
      <c r="A259" t="s">
        <v>536</v>
      </c>
      <c r="B259" s="14" cm="1">
        <f t="array" ref="B259">_xll.GetPrice("FP-PNL-0502",,"Low",_SPECIFIEDvarPubDate,)</f>
        <v>949</v>
      </c>
      <c r="C259" s="1">
        <f t="shared" si="12"/>
        <v>45849</v>
      </c>
      <c r="D259">
        <f t="shared" si="13"/>
        <v>2025</v>
      </c>
      <c r="E259">
        <f t="shared" si="14"/>
        <v>7</v>
      </c>
      <c r="F259" s="13" t="s">
        <v>537</v>
      </c>
      <c r="G259" s="13" t="s">
        <v>11</v>
      </c>
      <c r="H259" s="13" t="s">
        <v>825</v>
      </c>
    </row>
    <row r="260" spans="1:8" x14ac:dyDescent="0.25">
      <c r="A260" t="s">
        <v>538</v>
      </c>
      <c r="B260" s="14" cm="1">
        <f t="array" ref="B260">_xll.GetPrice("FP-PNL-0500",,"Low",_SPECIFIEDvarPrvWeekDate,)</f>
        <v>261</v>
      </c>
      <c r="C260" s="1">
        <f t="shared" si="12"/>
        <v>45849</v>
      </c>
      <c r="D260">
        <f t="shared" si="13"/>
        <v>2025</v>
      </c>
      <c r="E260">
        <f t="shared" si="14"/>
        <v>7</v>
      </c>
      <c r="F260" s="13" t="s">
        <v>533</v>
      </c>
      <c r="G260" s="13" t="s">
        <v>11</v>
      </c>
      <c r="H260" s="13" t="s">
        <v>826</v>
      </c>
    </row>
    <row r="261" spans="1:8" x14ac:dyDescent="0.25">
      <c r="A261" t="s">
        <v>539</v>
      </c>
      <c r="B261" s="14" cm="1">
        <f t="array" ref="B261">_xll.GetPrice("FP-PNL-0501",,"Low",_SPECIFIEDvarPrvWeekDate,)</f>
        <v>689</v>
      </c>
      <c r="C261" s="1">
        <f t="shared" si="12"/>
        <v>45849</v>
      </c>
      <c r="D261">
        <f t="shared" si="13"/>
        <v>2025</v>
      </c>
      <c r="E261">
        <f t="shared" si="14"/>
        <v>7</v>
      </c>
      <c r="F261" s="13" t="s">
        <v>535</v>
      </c>
      <c r="G261" s="13" t="s">
        <v>11</v>
      </c>
      <c r="H261" s="13" t="s">
        <v>826</v>
      </c>
    </row>
    <row r="262" spans="1:8" x14ac:dyDescent="0.25">
      <c r="A262" t="s">
        <v>540</v>
      </c>
      <c r="B262" s="14" cm="1">
        <f t="array" ref="B262">_xll.GetPrice("FP-PNL-0502",,"Low",_SPECIFIEDvarPrvWeekDate,)</f>
        <v>955</v>
      </c>
      <c r="C262" s="1">
        <f t="shared" si="12"/>
        <v>45849</v>
      </c>
      <c r="D262">
        <f t="shared" si="13"/>
        <v>2025</v>
      </c>
      <c r="E262">
        <f t="shared" si="14"/>
        <v>7</v>
      </c>
      <c r="F262" s="13" t="s">
        <v>537</v>
      </c>
      <c r="G262" s="13" t="s">
        <v>11</v>
      </c>
      <c r="H262" s="13" t="s">
        <v>826</v>
      </c>
    </row>
    <row r="263" spans="1:8" x14ac:dyDescent="0.25">
      <c r="A263" t="s">
        <v>541</v>
      </c>
      <c r="B263" s="14" cm="1">
        <f t="array" ref="B263">_xll.GetPrice("FP-PNL-0500",,"Low",_SPECIFIEDvarPrvYearDate,)</f>
        <v>352</v>
      </c>
      <c r="C263" s="1">
        <f t="shared" si="12"/>
        <v>45849</v>
      </c>
      <c r="D263">
        <f t="shared" si="13"/>
        <v>2025</v>
      </c>
      <c r="E263">
        <f t="shared" si="14"/>
        <v>7</v>
      </c>
      <c r="F263" s="13" t="s">
        <v>533</v>
      </c>
      <c r="G263" s="13" t="s">
        <v>11</v>
      </c>
      <c r="H263" s="13" t="s">
        <v>827</v>
      </c>
    </row>
    <row r="264" spans="1:8" x14ac:dyDescent="0.25">
      <c r="A264" t="s">
        <v>542</v>
      </c>
      <c r="B264" s="14" cm="1">
        <f t="array" ref="B264">_xll.GetPrice("FP-PNL-0501",,"Low",_SPECIFIEDvarPrvYearDate,)</f>
        <v>677</v>
      </c>
      <c r="C264" s="1">
        <f t="shared" si="12"/>
        <v>45849</v>
      </c>
      <c r="D264">
        <f t="shared" si="13"/>
        <v>2025</v>
      </c>
      <c r="E264">
        <f t="shared" si="14"/>
        <v>7</v>
      </c>
      <c r="F264" s="13" t="s">
        <v>535</v>
      </c>
      <c r="G264" s="13" t="s">
        <v>11</v>
      </c>
      <c r="H264" s="13" t="s">
        <v>827</v>
      </c>
    </row>
    <row r="265" spans="1:8" x14ac:dyDescent="0.25">
      <c r="A265" t="s">
        <v>543</v>
      </c>
      <c r="B265" s="14" cm="1">
        <f t="array" ref="B265">_xll.GetPrice("FP-PNL-0502",,"Low",_SPECIFIEDvarPrvYearDate,)</f>
        <v>996</v>
      </c>
      <c r="C265" s="1">
        <f t="shared" si="12"/>
        <v>45849</v>
      </c>
      <c r="D265">
        <f t="shared" si="13"/>
        <v>2025</v>
      </c>
      <c r="E265">
        <f t="shared" si="14"/>
        <v>7</v>
      </c>
      <c r="F265" s="13" t="s">
        <v>537</v>
      </c>
      <c r="G265" s="13" t="s">
        <v>11</v>
      </c>
      <c r="H265" s="13" t="s">
        <v>827</v>
      </c>
    </row>
    <row r="266" spans="1:8" x14ac:dyDescent="0.25">
      <c r="A266" t="s">
        <v>544</v>
      </c>
      <c r="B266" s="14" cm="1">
        <f t="array" ref="B266">_xll.GetPrice("FP-PNL-0309",,"Low",_SPECIFIEDvarPubDate,)</f>
        <v>335</v>
      </c>
      <c r="C266" s="1">
        <f t="shared" si="12"/>
        <v>45849</v>
      </c>
      <c r="D266">
        <f t="shared" si="13"/>
        <v>2025</v>
      </c>
      <c r="E266">
        <f t="shared" si="14"/>
        <v>7</v>
      </c>
      <c r="F266" s="13" t="s">
        <v>545</v>
      </c>
      <c r="G266" s="13" t="s">
        <v>11</v>
      </c>
      <c r="H266" s="13" t="s">
        <v>825</v>
      </c>
    </row>
    <row r="267" spans="1:8" x14ac:dyDescent="0.25">
      <c r="A267" t="s">
        <v>546</v>
      </c>
      <c r="B267" s="14" cm="1">
        <f t="array" ref="B267">_xll.GetPrice("FP-PNL-0315",,"Low",_SPECIFIEDvarPubDate,)</f>
        <v>385</v>
      </c>
      <c r="C267" s="1">
        <f t="shared" si="12"/>
        <v>45849</v>
      </c>
      <c r="D267">
        <f t="shared" si="13"/>
        <v>2025</v>
      </c>
      <c r="E267">
        <f t="shared" si="14"/>
        <v>7</v>
      </c>
      <c r="F267" s="13" t="s">
        <v>547</v>
      </c>
      <c r="G267" s="13" t="s">
        <v>11</v>
      </c>
      <c r="H267" s="13" t="s">
        <v>825</v>
      </c>
    </row>
    <row r="268" spans="1:8" x14ac:dyDescent="0.25">
      <c r="A268" t="s">
        <v>548</v>
      </c>
      <c r="B268" s="14" cm="1">
        <f t="array" ref="B268">_xll.GetPrice("FP-PNL-0325",,"Low",_SPECIFIEDvarPubDate,)</f>
        <v>865</v>
      </c>
      <c r="C268" s="1">
        <f t="shared" si="12"/>
        <v>45849</v>
      </c>
      <c r="D268">
        <f t="shared" si="13"/>
        <v>2025</v>
      </c>
      <c r="E268">
        <f t="shared" si="14"/>
        <v>7</v>
      </c>
      <c r="F268" s="13" t="s">
        <v>549</v>
      </c>
      <c r="G268" s="13" t="s">
        <v>11</v>
      </c>
      <c r="H268" s="13" t="s">
        <v>825</v>
      </c>
    </row>
    <row r="269" spans="1:8" x14ac:dyDescent="0.25">
      <c r="A269" t="s">
        <v>550</v>
      </c>
      <c r="B269" s="14" cm="1">
        <f t="array" ref="B269">_xll.GetPrice("FP-PNL-0327",,"Low",_SPECIFIEDvarPubDate,)</f>
        <v>810</v>
      </c>
      <c r="C269" s="1">
        <f t="shared" si="12"/>
        <v>45849</v>
      </c>
      <c r="D269">
        <f t="shared" si="13"/>
        <v>2025</v>
      </c>
      <c r="E269">
        <f t="shared" si="14"/>
        <v>7</v>
      </c>
      <c r="F269" s="13" t="s">
        <v>551</v>
      </c>
      <c r="G269" s="13" t="s">
        <v>11</v>
      </c>
      <c r="H269" s="13" t="s">
        <v>825</v>
      </c>
    </row>
    <row r="270" spans="1:8" x14ac:dyDescent="0.25">
      <c r="A270" t="s">
        <v>552</v>
      </c>
      <c r="B270" s="14" cm="1">
        <f t="array" ref="B270">_xll.GetPrice("FP-PNL-0326",,"Low",_SPECIFIEDvarPubDate,)</f>
        <v>895</v>
      </c>
      <c r="C270" s="1">
        <f t="shared" si="12"/>
        <v>45849</v>
      </c>
      <c r="D270">
        <f t="shared" si="13"/>
        <v>2025</v>
      </c>
      <c r="E270">
        <f t="shared" si="14"/>
        <v>7</v>
      </c>
      <c r="F270" s="13" t="s">
        <v>553</v>
      </c>
      <c r="G270" s="13" t="s">
        <v>11</v>
      </c>
      <c r="H270" s="13" t="s">
        <v>825</v>
      </c>
    </row>
    <row r="271" spans="1:8" x14ac:dyDescent="0.25">
      <c r="A271" t="s">
        <v>554</v>
      </c>
      <c r="B271" s="14" cm="1">
        <f t="array" ref="B271">_xll.GetPrice("FP-PNL-0328",,"Low",_SPECIFIEDvarPubDate,)</f>
        <v>835</v>
      </c>
      <c r="C271" s="1">
        <f t="shared" si="12"/>
        <v>45849</v>
      </c>
      <c r="D271">
        <f t="shared" si="13"/>
        <v>2025</v>
      </c>
      <c r="E271">
        <f t="shared" si="14"/>
        <v>7</v>
      </c>
      <c r="F271" s="13" t="s">
        <v>555</v>
      </c>
      <c r="G271" s="13" t="s">
        <v>11</v>
      </c>
      <c r="H271" s="13" t="s">
        <v>825</v>
      </c>
    </row>
    <row r="272" spans="1:8" x14ac:dyDescent="0.25">
      <c r="A272" t="s">
        <v>556</v>
      </c>
      <c r="B272" s="14" cm="1">
        <f t="array" ref="B272">_xll.GetPrice("FP-PNL-0061",,"Low",_SPECIFIEDvarPubDate,)</f>
        <v>330</v>
      </c>
      <c r="C272" s="1">
        <f t="shared" si="12"/>
        <v>45849</v>
      </c>
      <c r="D272">
        <f t="shared" si="13"/>
        <v>2025</v>
      </c>
      <c r="E272">
        <f t="shared" si="14"/>
        <v>7</v>
      </c>
      <c r="F272" s="13" t="s">
        <v>557</v>
      </c>
      <c r="G272" s="13" t="s">
        <v>11</v>
      </c>
      <c r="H272" s="13" t="s">
        <v>825</v>
      </c>
    </row>
    <row r="273" spans="1:8" x14ac:dyDescent="0.25">
      <c r="A273" t="s">
        <v>558</v>
      </c>
      <c r="B273" s="14" cm="1">
        <f t="array" ref="B273">_xll.GetPrice("FP-PNL-0062",,"Low",_SPECIFIEDvarPubDate,)</f>
        <v>330</v>
      </c>
      <c r="C273" s="1">
        <f t="shared" si="12"/>
        <v>45849</v>
      </c>
      <c r="D273">
        <f t="shared" si="13"/>
        <v>2025</v>
      </c>
      <c r="E273">
        <f t="shared" si="14"/>
        <v>7</v>
      </c>
      <c r="F273" s="13" t="s">
        <v>559</v>
      </c>
      <c r="G273" s="13" t="s">
        <v>11</v>
      </c>
      <c r="H273" s="13" t="s">
        <v>825</v>
      </c>
    </row>
    <row r="274" spans="1:8" x14ac:dyDescent="0.25">
      <c r="A274" t="s">
        <v>560</v>
      </c>
      <c r="B274" s="14" cm="1">
        <f t="array" ref="B274">_xll.GetPrice("FP-PNL-0063",,"Low",_SPECIFIEDvarPubDate,)</f>
        <v>360</v>
      </c>
      <c r="C274" s="1">
        <f t="shared" si="12"/>
        <v>45849</v>
      </c>
      <c r="D274">
        <f t="shared" si="13"/>
        <v>2025</v>
      </c>
      <c r="E274">
        <f t="shared" si="14"/>
        <v>7</v>
      </c>
      <c r="F274" s="13" t="s">
        <v>561</v>
      </c>
      <c r="G274" s="13" t="s">
        <v>11</v>
      </c>
      <c r="H274" s="13" t="s">
        <v>825</v>
      </c>
    </row>
    <row r="275" spans="1:8" x14ac:dyDescent="0.25">
      <c r="A275" t="s">
        <v>562</v>
      </c>
      <c r="B275" s="14" cm="1">
        <f t="array" ref="B275">_xll.GetPrice("FP-PNL-0065",,"Low",_SPECIFIEDvarPubDate,)</f>
        <v>505</v>
      </c>
      <c r="C275" s="1">
        <f t="shared" si="12"/>
        <v>45849</v>
      </c>
      <c r="D275">
        <f t="shared" si="13"/>
        <v>2025</v>
      </c>
      <c r="E275">
        <f t="shared" si="14"/>
        <v>7</v>
      </c>
      <c r="F275" s="13" t="s">
        <v>563</v>
      </c>
      <c r="G275" s="13" t="s">
        <v>11</v>
      </c>
      <c r="H275" s="13" t="s">
        <v>825</v>
      </c>
    </row>
    <row r="276" spans="1:8" x14ac:dyDescent="0.25">
      <c r="A276" t="s">
        <v>564</v>
      </c>
      <c r="B276" s="14" cm="1">
        <f t="array" ref="B276">_xll.GetPrice("FP-PNL-0066",,"Low",_SPECIFIEDvarPubDate,)</f>
        <v>620</v>
      </c>
      <c r="C276" s="1">
        <f t="shared" si="12"/>
        <v>45849</v>
      </c>
      <c r="D276">
        <f t="shared" si="13"/>
        <v>2025</v>
      </c>
      <c r="E276">
        <f t="shared" si="14"/>
        <v>7</v>
      </c>
      <c r="F276" s="13" t="s">
        <v>565</v>
      </c>
      <c r="G276" s="13" t="s">
        <v>11</v>
      </c>
      <c r="H276" s="13" t="s">
        <v>825</v>
      </c>
    </row>
    <row r="277" spans="1:8" x14ac:dyDescent="0.25">
      <c r="A277" t="s">
        <v>566</v>
      </c>
      <c r="B277" s="14" cm="1">
        <f t="array" ref="B277">_xll.GetPrice("FP-PNL-0286",,"Low",_SPECIFIEDvarPubDate,)</f>
        <v>25</v>
      </c>
      <c r="C277" s="1">
        <f t="shared" si="12"/>
        <v>45849</v>
      </c>
      <c r="D277">
        <f t="shared" si="13"/>
        <v>2025</v>
      </c>
      <c r="E277">
        <f t="shared" si="14"/>
        <v>7</v>
      </c>
      <c r="F277" s="13" t="s">
        <v>567</v>
      </c>
      <c r="G277" s="13" t="s">
        <v>11</v>
      </c>
      <c r="H277" s="13" t="s">
        <v>825</v>
      </c>
    </row>
    <row r="278" spans="1:8" x14ac:dyDescent="0.25">
      <c r="A278" t="s">
        <v>568</v>
      </c>
      <c r="B278" s="14" cm="1">
        <f t="array" ref="B278">_xll.GetPrice("FP-PNL-0067",,"Low",_SPECIFIEDvarPubDate,)</f>
        <v>340</v>
      </c>
      <c r="C278" s="1">
        <f t="shared" si="12"/>
        <v>45849</v>
      </c>
      <c r="D278">
        <f t="shared" si="13"/>
        <v>2025</v>
      </c>
      <c r="E278">
        <f t="shared" si="14"/>
        <v>7</v>
      </c>
      <c r="F278" s="13" t="s">
        <v>569</v>
      </c>
      <c r="G278" s="13" t="s">
        <v>11</v>
      </c>
      <c r="H278" s="13" t="s">
        <v>825</v>
      </c>
    </row>
    <row r="279" spans="1:8" x14ac:dyDescent="0.25">
      <c r="A279" t="s">
        <v>570</v>
      </c>
      <c r="B279" s="14" cm="1">
        <f t="array" ref="B279">_xll.GetPrice("FP-PNL-0068",,"Low",_SPECIFIEDvarPubDate,)</f>
        <v>340</v>
      </c>
      <c r="C279" s="1">
        <f t="shared" si="12"/>
        <v>45849</v>
      </c>
      <c r="D279">
        <f t="shared" si="13"/>
        <v>2025</v>
      </c>
      <c r="E279">
        <f t="shared" si="14"/>
        <v>7</v>
      </c>
      <c r="F279" s="13" t="s">
        <v>571</v>
      </c>
      <c r="G279" s="13" t="s">
        <v>11</v>
      </c>
      <c r="H279" s="13" t="s">
        <v>825</v>
      </c>
    </row>
    <row r="280" spans="1:8" x14ac:dyDescent="0.25">
      <c r="A280" t="s">
        <v>572</v>
      </c>
      <c r="B280" s="14" cm="1">
        <f t="array" ref="B280">_xll.GetPrice("FP-PNL-0069",,"Low",_SPECIFIEDvarPubDate,)</f>
        <v>370</v>
      </c>
      <c r="C280" s="1">
        <f t="shared" si="12"/>
        <v>45849</v>
      </c>
      <c r="D280">
        <f t="shared" si="13"/>
        <v>2025</v>
      </c>
      <c r="E280">
        <f t="shared" si="14"/>
        <v>7</v>
      </c>
      <c r="F280" s="13" t="s">
        <v>573</v>
      </c>
      <c r="G280" s="13" t="s">
        <v>11</v>
      </c>
      <c r="H280" s="13" t="s">
        <v>825</v>
      </c>
    </row>
    <row r="281" spans="1:8" x14ac:dyDescent="0.25">
      <c r="A281" t="s">
        <v>574</v>
      </c>
      <c r="B281" s="14" cm="1">
        <f t="array" ref="B281">_xll.GetPrice("FP-PNL-0070",,"Low",_SPECIFIEDvarPubDate,)</f>
        <v>390</v>
      </c>
      <c r="C281" s="1">
        <f t="shared" si="12"/>
        <v>45849</v>
      </c>
      <c r="D281">
        <f t="shared" si="13"/>
        <v>2025</v>
      </c>
      <c r="E281">
        <f t="shared" si="14"/>
        <v>7</v>
      </c>
      <c r="F281" s="13" t="s">
        <v>575</v>
      </c>
      <c r="G281" s="13" t="s">
        <v>11</v>
      </c>
      <c r="H281" s="13" t="s">
        <v>825</v>
      </c>
    </row>
    <row r="282" spans="1:8" x14ac:dyDescent="0.25">
      <c r="A282" t="s">
        <v>576</v>
      </c>
      <c r="B282" s="14" cm="1">
        <f t="array" ref="B282">_xll.GetPrice("FP-PNL-0071",,"Low",_SPECIFIEDvarPubDate,)</f>
        <v>510</v>
      </c>
      <c r="C282" s="1">
        <f t="shared" si="12"/>
        <v>45849</v>
      </c>
      <c r="D282">
        <f t="shared" si="13"/>
        <v>2025</v>
      </c>
      <c r="E282">
        <f t="shared" si="14"/>
        <v>7</v>
      </c>
      <c r="F282" s="13" t="s">
        <v>577</v>
      </c>
      <c r="G282" s="13" t="s">
        <v>11</v>
      </c>
      <c r="H282" s="13" t="s">
        <v>825</v>
      </c>
    </row>
    <row r="283" spans="1:8" x14ac:dyDescent="0.25">
      <c r="A283" t="s">
        <v>578</v>
      </c>
      <c r="B283" s="14" cm="1">
        <f t="array" ref="B283">_xll.GetPrice("FP-PNL-0072",,"Low",_SPECIFIEDvarPubDate,)</f>
        <v>630</v>
      </c>
      <c r="C283" s="1">
        <f t="shared" si="12"/>
        <v>45849</v>
      </c>
      <c r="D283">
        <f t="shared" si="13"/>
        <v>2025</v>
      </c>
      <c r="E283">
        <f t="shared" si="14"/>
        <v>7</v>
      </c>
      <c r="F283" s="13" t="s">
        <v>579</v>
      </c>
      <c r="G283" s="13" t="s">
        <v>11</v>
      </c>
      <c r="H283" s="13" t="s">
        <v>825</v>
      </c>
    </row>
    <row r="284" spans="1:8" x14ac:dyDescent="0.25">
      <c r="A284" t="s">
        <v>580</v>
      </c>
      <c r="B284" s="14" cm="1">
        <f t="array" ref="B284">_xll.GetPrice("FP-PNL-0073",,"Low",_SPECIFIEDvarPubDate,)</f>
        <v>315</v>
      </c>
      <c r="C284" s="1">
        <f t="shared" si="12"/>
        <v>45849</v>
      </c>
      <c r="D284">
        <f t="shared" si="13"/>
        <v>2025</v>
      </c>
      <c r="E284">
        <f t="shared" si="14"/>
        <v>7</v>
      </c>
      <c r="F284" s="13" t="s">
        <v>581</v>
      </c>
      <c r="G284" s="13" t="s">
        <v>11</v>
      </c>
      <c r="H284" s="13" t="s">
        <v>825</v>
      </c>
    </row>
    <row r="285" spans="1:8" x14ac:dyDescent="0.25">
      <c r="A285" t="s">
        <v>582</v>
      </c>
      <c r="B285" s="14" cm="1">
        <f t="array" ref="B285">_xll.GetPrice("FP-PNL-0074",,"Low",_SPECIFIEDvarPubDate,)</f>
        <v>315</v>
      </c>
      <c r="C285" s="1">
        <f t="shared" si="12"/>
        <v>45849</v>
      </c>
      <c r="D285">
        <f t="shared" si="13"/>
        <v>2025</v>
      </c>
      <c r="E285">
        <f t="shared" si="14"/>
        <v>7</v>
      </c>
      <c r="F285" s="13" t="s">
        <v>583</v>
      </c>
      <c r="G285" s="13" t="s">
        <v>11</v>
      </c>
      <c r="H285" s="13" t="s">
        <v>825</v>
      </c>
    </row>
    <row r="286" spans="1:8" x14ac:dyDescent="0.25">
      <c r="A286" t="s">
        <v>584</v>
      </c>
      <c r="B286" s="14" cm="1">
        <f t="array" ref="B286">_xll.GetPrice("FP-PNL-0075",,"Low",_SPECIFIEDvarPubDate,)</f>
        <v>345</v>
      </c>
      <c r="C286" s="1">
        <f t="shared" si="12"/>
        <v>45849</v>
      </c>
      <c r="D286">
        <f t="shared" si="13"/>
        <v>2025</v>
      </c>
      <c r="E286">
        <f t="shared" si="14"/>
        <v>7</v>
      </c>
      <c r="F286" s="13" t="s">
        <v>585</v>
      </c>
      <c r="G286" s="13" t="s">
        <v>11</v>
      </c>
      <c r="H286" s="13" t="s">
        <v>825</v>
      </c>
    </row>
    <row r="287" spans="1:8" x14ac:dyDescent="0.25">
      <c r="A287" t="s">
        <v>586</v>
      </c>
      <c r="B287" s="14" cm="1">
        <f t="array" ref="B287">_xll.GetPrice("FP-PNL-0076",,"Low",_SPECIFIEDvarPubDate,)</f>
        <v>365</v>
      </c>
      <c r="C287" s="1">
        <f t="shared" si="12"/>
        <v>45849</v>
      </c>
      <c r="D287">
        <f t="shared" si="13"/>
        <v>2025</v>
      </c>
      <c r="E287">
        <f t="shared" si="14"/>
        <v>7</v>
      </c>
      <c r="F287" s="13" t="s">
        <v>587</v>
      </c>
      <c r="G287" s="13" t="s">
        <v>11</v>
      </c>
      <c r="H287" s="13" t="s">
        <v>825</v>
      </c>
    </row>
    <row r="288" spans="1:8" x14ac:dyDescent="0.25">
      <c r="A288" t="s">
        <v>588</v>
      </c>
      <c r="B288" s="14" cm="1">
        <f t="array" ref="B288">_xll.GetPrice("FP-PNL-0077",,"Low",_SPECIFIEDvarPubDate,)</f>
        <v>495</v>
      </c>
      <c r="C288" s="1">
        <f t="shared" si="12"/>
        <v>45849</v>
      </c>
      <c r="D288">
        <f t="shared" si="13"/>
        <v>2025</v>
      </c>
      <c r="E288">
        <f t="shared" si="14"/>
        <v>7</v>
      </c>
      <c r="F288" s="13" t="s">
        <v>589</v>
      </c>
      <c r="G288" s="13" t="s">
        <v>11</v>
      </c>
      <c r="H288" s="13" t="s">
        <v>825</v>
      </c>
    </row>
    <row r="289" spans="1:8" x14ac:dyDescent="0.25">
      <c r="A289" t="s">
        <v>590</v>
      </c>
      <c r="B289" s="14" cm="1">
        <f t="array" ref="B289">_xll.GetPrice("FP-PNL-0078",,"Low",_SPECIFIEDvarPubDate,)</f>
        <v>615</v>
      </c>
      <c r="C289" s="1">
        <f t="shared" si="12"/>
        <v>45849</v>
      </c>
      <c r="D289">
        <f t="shared" si="13"/>
        <v>2025</v>
      </c>
      <c r="E289">
        <f t="shared" si="14"/>
        <v>7</v>
      </c>
      <c r="F289" s="13" t="s">
        <v>591</v>
      </c>
      <c r="G289" s="13" t="s">
        <v>11</v>
      </c>
      <c r="H289" s="13" t="s">
        <v>825</v>
      </c>
    </row>
    <row r="290" spans="1:8" x14ac:dyDescent="0.25">
      <c r="A290" t="s">
        <v>592</v>
      </c>
      <c r="B290" s="14" cm="1">
        <f t="array" ref="B290">_xll.GetPrice("FP-PNL-0079",,"Low",_SPECIFIEDvarPubDate,)</f>
        <v>325</v>
      </c>
      <c r="C290" s="1">
        <f t="shared" si="12"/>
        <v>45849</v>
      </c>
      <c r="D290">
        <f t="shared" si="13"/>
        <v>2025</v>
      </c>
      <c r="E290">
        <f t="shared" si="14"/>
        <v>7</v>
      </c>
      <c r="F290" s="13" t="s">
        <v>593</v>
      </c>
      <c r="G290" s="13" t="s">
        <v>11</v>
      </c>
      <c r="H290" s="13" t="s">
        <v>825</v>
      </c>
    </row>
    <row r="291" spans="1:8" x14ac:dyDescent="0.25">
      <c r="A291" t="s">
        <v>594</v>
      </c>
      <c r="B291" s="14" cm="1">
        <f t="array" ref="B291">_xll.GetPrice("FP-PNL-0080",,"Low",_SPECIFIEDvarPubDate,)</f>
        <v>325</v>
      </c>
      <c r="C291" s="1">
        <f t="shared" si="12"/>
        <v>45849</v>
      </c>
      <c r="D291">
        <f t="shared" si="13"/>
        <v>2025</v>
      </c>
      <c r="E291">
        <f t="shared" si="14"/>
        <v>7</v>
      </c>
      <c r="F291" s="13" t="s">
        <v>595</v>
      </c>
      <c r="G291" s="13" t="s">
        <v>11</v>
      </c>
      <c r="H291" s="13" t="s">
        <v>825</v>
      </c>
    </row>
    <row r="292" spans="1:8" x14ac:dyDescent="0.25">
      <c r="A292" t="s">
        <v>596</v>
      </c>
      <c r="B292" s="14" cm="1">
        <f t="array" ref="B292">_xll.GetPrice("FP-PNL-0081",,"Low",_SPECIFIEDvarPubDate,)</f>
        <v>355</v>
      </c>
      <c r="C292" s="1">
        <f t="shared" si="12"/>
        <v>45849</v>
      </c>
      <c r="D292">
        <f t="shared" si="13"/>
        <v>2025</v>
      </c>
      <c r="E292">
        <f t="shared" si="14"/>
        <v>7</v>
      </c>
      <c r="F292" s="13" t="s">
        <v>597</v>
      </c>
      <c r="G292" s="13" t="s">
        <v>11</v>
      </c>
      <c r="H292" s="13" t="s">
        <v>825</v>
      </c>
    </row>
    <row r="293" spans="1:8" x14ac:dyDescent="0.25">
      <c r="A293" t="s">
        <v>598</v>
      </c>
      <c r="B293" s="14" cm="1">
        <f t="array" ref="B293">_xll.GetPrice("FP-PNL-0082",,"Low",_SPECIFIEDvarPubDate,)</f>
        <v>375</v>
      </c>
      <c r="C293" s="1">
        <f t="shared" si="12"/>
        <v>45849</v>
      </c>
      <c r="D293">
        <f t="shared" si="13"/>
        <v>2025</v>
      </c>
      <c r="E293">
        <f t="shared" si="14"/>
        <v>7</v>
      </c>
      <c r="F293" s="13" t="s">
        <v>599</v>
      </c>
      <c r="G293" s="13" t="s">
        <v>11</v>
      </c>
      <c r="H293" s="13" t="s">
        <v>825</v>
      </c>
    </row>
    <row r="294" spans="1:8" x14ac:dyDescent="0.25">
      <c r="A294" t="s">
        <v>600</v>
      </c>
      <c r="B294" s="14" cm="1">
        <f t="array" ref="B294">_xll.GetPrice("FP-PNL-0083",,"Low",_SPECIFIEDvarPubDate,)</f>
        <v>500</v>
      </c>
      <c r="C294" s="1">
        <f t="shared" si="12"/>
        <v>45849</v>
      </c>
      <c r="D294">
        <f t="shared" si="13"/>
        <v>2025</v>
      </c>
      <c r="E294">
        <f t="shared" si="14"/>
        <v>7</v>
      </c>
      <c r="F294" s="13" t="s">
        <v>601</v>
      </c>
      <c r="G294" s="13" t="s">
        <v>11</v>
      </c>
      <c r="H294" s="13" t="s">
        <v>825</v>
      </c>
    </row>
    <row r="295" spans="1:8" x14ac:dyDescent="0.25">
      <c r="A295" t="s">
        <v>602</v>
      </c>
      <c r="B295" s="14" cm="1">
        <f t="array" ref="B295">_xll.GetPrice("FP-PNL-0084",,"Low",_SPECIFIEDvarPubDate,)</f>
        <v>620</v>
      </c>
      <c r="C295" s="1">
        <f t="shared" si="12"/>
        <v>45849</v>
      </c>
      <c r="D295">
        <f t="shared" si="13"/>
        <v>2025</v>
      </c>
      <c r="E295">
        <f t="shared" si="14"/>
        <v>7</v>
      </c>
      <c r="F295" s="13" t="s">
        <v>603</v>
      </c>
      <c r="G295" s="13" t="s">
        <v>11</v>
      </c>
      <c r="H295" s="13" t="s">
        <v>825</v>
      </c>
    </row>
    <row r="296" spans="1:8" x14ac:dyDescent="0.25">
      <c r="A296" t="s">
        <v>604</v>
      </c>
      <c r="B296" s="14" cm="1">
        <f t="array" ref="B296">_xll.GetPrice("FP-PNL-0091",,"Low",_SPECIFIEDvarPubDate,)</f>
        <v>360</v>
      </c>
      <c r="C296" s="1">
        <f t="shared" si="12"/>
        <v>45849</v>
      </c>
      <c r="D296">
        <f t="shared" si="13"/>
        <v>2025</v>
      </c>
      <c r="E296">
        <f t="shared" si="14"/>
        <v>7</v>
      </c>
      <c r="F296" s="13" t="s">
        <v>605</v>
      </c>
      <c r="G296" s="13" t="s">
        <v>11</v>
      </c>
      <c r="H296" s="13" t="s">
        <v>825</v>
      </c>
    </row>
    <row r="297" spans="1:8" x14ac:dyDescent="0.25">
      <c r="A297" t="s">
        <v>606</v>
      </c>
      <c r="B297" s="14" cm="1">
        <f t="array" ref="B297">_xll.GetPrice("FP-PNL-0092",,"Low",_SPECIFIEDvarPubDate,)</f>
        <v>360</v>
      </c>
      <c r="C297" s="1">
        <f t="shared" si="12"/>
        <v>45849</v>
      </c>
      <c r="D297">
        <f t="shared" si="13"/>
        <v>2025</v>
      </c>
      <c r="E297">
        <f t="shared" si="14"/>
        <v>7</v>
      </c>
      <c r="F297" s="13" t="s">
        <v>607</v>
      </c>
      <c r="G297" s="13" t="s">
        <v>11</v>
      </c>
      <c r="H297" s="13" t="s">
        <v>825</v>
      </c>
    </row>
    <row r="298" spans="1:8" x14ac:dyDescent="0.25">
      <c r="A298" t="s">
        <v>608</v>
      </c>
      <c r="B298" s="14" cm="1">
        <f t="array" ref="B298">_xll.GetPrice("FP-PNL-0093",,"Low",_SPECIFIEDvarPubDate,)</f>
        <v>380</v>
      </c>
      <c r="C298" s="1">
        <f t="shared" si="12"/>
        <v>45849</v>
      </c>
      <c r="D298">
        <f t="shared" si="13"/>
        <v>2025</v>
      </c>
      <c r="E298">
        <f t="shared" si="14"/>
        <v>7</v>
      </c>
      <c r="F298" s="13" t="s">
        <v>609</v>
      </c>
      <c r="G298" s="13" t="s">
        <v>11</v>
      </c>
      <c r="H298" s="13" t="s">
        <v>825</v>
      </c>
    </row>
    <row r="299" spans="1:8" x14ac:dyDescent="0.25">
      <c r="A299" t="s">
        <v>610</v>
      </c>
      <c r="B299" s="14" cm="1">
        <f t="array" ref="B299">_xll.GetPrice("FP-PNL-0094",,"Low",_SPECIFIEDvarPubDate,)</f>
        <v>400</v>
      </c>
      <c r="C299" s="1">
        <f t="shared" si="12"/>
        <v>45849</v>
      </c>
      <c r="D299">
        <f t="shared" si="13"/>
        <v>2025</v>
      </c>
      <c r="E299">
        <f t="shared" si="14"/>
        <v>7</v>
      </c>
      <c r="F299" s="13" t="s">
        <v>611</v>
      </c>
      <c r="G299" s="13" t="s">
        <v>11</v>
      </c>
      <c r="H299" s="13" t="s">
        <v>825</v>
      </c>
    </row>
    <row r="300" spans="1:8" x14ac:dyDescent="0.25">
      <c r="A300" t="s">
        <v>612</v>
      </c>
      <c r="B300" s="14" cm="1">
        <f t="array" ref="B300">_xll.GetPrice("FP-PNL-0095",,"Low",_SPECIFIEDvarPubDate,)</f>
        <v>555</v>
      </c>
      <c r="C300" s="1">
        <f t="shared" si="12"/>
        <v>45849</v>
      </c>
      <c r="D300">
        <f t="shared" si="13"/>
        <v>2025</v>
      </c>
      <c r="E300">
        <f t="shared" si="14"/>
        <v>7</v>
      </c>
      <c r="F300" s="13" t="s">
        <v>613</v>
      </c>
      <c r="G300" s="13" t="s">
        <v>11</v>
      </c>
      <c r="H300" s="13" t="s">
        <v>825</v>
      </c>
    </row>
    <row r="301" spans="1:8" x14ac:dyDescent="0.25">
      <c r="A301" t="s">
        <v>614</v>
      </c>
      <c r="B301" s="14" cm="1">
        <f t="array" ref="B301">_xll.GetPrice("FP-PNL-0096",,"Low",_SPECIFIEDvarPubDate,)</f>
        <v>660</v>
      </c>
      <c r="C301" s="1">
        <f t="shared" si="12"/>
        <v>45849</v>
      </c>
      <c r="D301">
        <f t="shared" si="13"/>
        <v>2025</v>
      </c>
      <c r="E301">
        <f t="shared" si="14"/>
        <v>7</v>
      </c>
      <c r="F301" s="13" t="s">
        <v>615</v>
      </c>
      <c r="G301" s="13" t="s">
        <v>11</v>
      </c>
      <c r="H301" s="13" t="s">
        <v>825</v>
      </c>
    </row>
    <row r="302" spans="1:8" x14ac:dyDescent="0.25">
      <c r="A302" t="s">
        <v>616</v>
      </c>
      <c r="B302" s="14" cm="1">
        <f t="array" ref="B302">_xll.GetPrice("FP-PNL-0097",,"Low",_SPECIFIEDvarPubDate,)</f>
        <v>377</v>
      </c>
      <c r="C302" s="1">
        <f t="shared" si="12"/>
        <v>45849</v>
      </c>
      <c r="D302">
        <f t="shared" si="13"/>
        <v>2025</v>
      </c>
      <c r="E302">
        <f t="shared" si="14"/>
        <v>7</v>
      </c>
      <c r="F302" s="13" t="s">
        <v>617</v>
      </c>
      <c r="G302" s="13" t="s">
        <v>11</v>
      </c>
      <c r="H302" s="13" t="s">
        <v>825</v>
      </c>
    </row>
    <row r="303" spans="1:8" x14ac:dyDescent="0.25">
      <c r="A303" t="s">
        <v>618</v>
      </c>
      <c r="B303" s="14" cm="1">
        <f t="array" ref="B303">_xll.GetPrice("FP-PNL-0098",,"Low",_SPECIFIEDvarPubDate,)</f>
        <v>377</v>
      </c>
      <c r="C303" s="1">
        <f t="shared" si="12"/>
        <v>45849</v>
      </c>
      <c r="D303">
        <f t="shared" si="13"/>
        <v>2025</v>
      </c>
      <c r="E303">
        <f t="shared" si="14"/>
        <v>7</v>
      </c>
      <c r="F303" s="13" t="s">
        <v>619</v>
      </c>
      <c r="G303" s="13" t="s">
        <v>11</v>
      </c>
      <c r="H303" s="13" t="s">
        <v>825</v>
      </c>
    </row>
    <row r="304" spans="1:8" x14ac:dyDescent="0.25">
      <c r="A304" t="s">
        <v>620</v>
      </c>
      <c r="B304" s="14" cm="1">
        <f t="array" ref="B304">_xll.GetPrice("FP-PNL-0099",,"Low",_SPECIFIEDvarPubDate,)</f>
        <v>402</v>
      </c>
      <c r="C304" s="1">
        <f t="shared" si="12"/>
        <v>45849</v>
      </c>
      <c r="D304">
        <f t="shared" si="13"/>
        <v>2025</v>
      </c>
      <c r="E304">
        <f t="shared" si="14"/>
        <v>7</v>
      </c>
      <c r="F304" s="13" t="s">
        <v>621</v>
      </c>
      <c r="G304" s="13" t="s">
        <v>11</v>
      </c>
      <c r="H304" s="13" t="s">
        <v>825</v>
      </c>
    </row>
    <row r="305" spans="1:8" x14ac:dyDescent="0.25">
      <c r="A305" t="s">
        <v>622</v>
      </c>
      <c r="B305" s="14" cm="1">
        <f t="array" ref="B305">_xll.GetPrice("FP-PNL-0100",,"Low",_SPECIFIEDvarPubDate,)</f>
        <v>422</v>
      </c>
      <c r="C305" s="1">
        <f t="shared" si="12"/>
        <v>45849</v>
      </c>
      <c r="D305">
        <f t="shared" si="13"/>
        <v>2025</v>
      </c>
      <c r="E305">
        <f t="shared" si="14"/>
        <v>7</v>
      </c>
      <c r="F305" s="13" t="s">
        <v>623</v>
      </c>
      <c r="G305" s="13" t="s">
        <v>11</v>
      </c>
      <c r="H305" s="13" t="s">
        <v>825</v>
      </c>
    </row>
    <row r="306" spans="1:8" x14ac:dyDescent="0.25">
      <c r="A306" t="s">
        <v>624</v>
      </c>
      <c r="B306" s="14" cm="1">
        <f t="array" ref="B306">_xll.GetPrice("FP-PNL-0101",,"Low",_SPECIFIEDvarPubDate,)</f>
        <v>574</v>
      </c>
      <c r="C306" s="1">
        <f t="shared" si="12"/>
        <v>45849</v>
      </c>
      <c r="D306">
        <f t="shared" si="13"/>
        <v>2025</v>
      </c>
      <c r="E306">
        <f t="shared" si="14"/>
        <v>7</v>
      </c>
      <c r="F306" s="13" t="s">
        <v>625</v>
      </c>
      <c r="G306" s="13" t="s">
        <v>11</v>
      </c>
      <c r="H306" s="13" t="s">
        <v>825</v>
      </c>
    </row>
    <row r="307" spans="1:8" x14ac:dyDescent="0.25">
      <c r="A307" t="s">
        <v>626</v>
      </c>
      <c r="B307" s="14" cm="1">
        <f t="array" ref="B307">_xll.GetPrice("FP-PNL-0102",,"Low",_SPECIFIEDvarPubDate,)</f>
        <v>679</v>
      </c>
      <c r="C307" s="1">
        <f t="shared" si="12"/>
        <v>45849</v>
      </c>
      <c r="D307">
        <f t="shared" si="13"/>
        <v>2025</v>
      </c>
      <c r="E307">
        <f t="shared" si="14"/>
        <v>7</v>
      </c>
      <c r="F307" s="13" t="s">
        <v>627</v>
      </c>
      <c r="G307" s="13" t="s">
        <v>11</v>
      </c>
      <c r="H307" s="13" t="s">
        <v>825</v>
      </c>
    </row>
    <row r="308" spans="1:8" x14ac:dyDescent="0.25">
      <c r="A308" t="s">
        <v>628</v>
      </c>
      <c r="B308" s="14" cm="1">
        <f t="array" ref="B308">_xll.GetPrice("FP-PNL-0421",,"Low",_SPECIFIEDvarPubDate,)</f>
        <v>618</v>
      </c>
      <c r="C308" s="1">
        <f t="shared" si="12"/>
        <v>45849</v>
      </c>
      <c r="D308">
        <f t="shared" si="13"/>
        <v>2025</v>
      </c>
      <c r="E308">
        <f t="shared" si="14"/>
        <v>7</v>
      </c>
      <c r="F308" s="13" t="s">
        <v>629</v>
      </c>
      <c r="G308" s="13" t="s">
        <v>11</v>
      </c>
      <c r="H308" s="13" t="s">
        <v>825</v>
      </c>
    </row>
    <row r="309" spans="1:8" x14ac:dyDescent="0.25">
      <c r="A309" t="s">
        <v>630</v>
      </c>
      <c r="B309" s="14" cm="1">
        <f t="array" ref="B309">_xll.GetPrice("FP-PNL-0422",,"Low",_SPECIFIEDvarPubDate,)</f>
        <v>824</v>
      </c>
      <c r="C309" s="1">
        <f t="shared" si="12"/>
        <v>45849</v>
      </c>
      <c r="D309">
        <f t="shared" si="13"/>
        <v>2025</v>
      </c>
      <c r="E309">
        <f t="shared" si="14"/>
        <v>7</v>
      </c>
      <c r="F309" s="13" t="s">
        <v>631</v>
      </c>
      <c r="G309" s="13" t="s">
        <v>11</v>
      </c>
      <c r="H309" s="13" t="s">
        <v>825</v>
      </c>
    </row>
    <row r="310" spans="1:8" x14ac:dyDescent="0.25">
      <c r="A310" t="s">
        <v>632</v>
      </c>
      <c r="B310" s="14" cm="1">
        <f t="array" ref="B310">_xll.GetPrice("FP-PNL-0423",,"Low",_SPECIFIEDvarPubDate,)</f>
        <v>1030</v>
      </c>
      <c r="C310" s="1">
        <f t="shared" si="12"/>
        <v>45849</v>
      </c>
      <c r="D310">
        <f t="shared" si="13"/>
        <v>2025</v>
      </c>
      <c r="E310">
        <f t="shared" si="14"/>
        <v>7</v>
      </c>
      <c r="F310" s="13" t="s">
        <v>633</v>
      </c>
      <c r="G310" s="13" t="s">
        <v>11</v>
      </c>
      <c r="H310" s="13" t="s">
        <v>825</v>
      </c>
    </row>
    <row r="311" spans="1:8" x14ac:dyDescent="0.25">
      <c r="A311" t="s">
        <v>634</v>
      </c>
      <c r="B311" s="14" cm="1">
        <f t="array" ref="B311">_xll.GetPrice("FP-PNL-0424",,"Low",_SPECIFIEDvarPubDate,)</f>
        <v>1236</v>
      </c>
      <c r="C311" s="1">
        <f t="shared" ref="C311:C374" si="15">_SPECIFIEDvarPubDate</f>
        <v>45849</v>
      </c>
      <c r="D311">
        <f t="shared" ref="D311:D374" si="16">_SPECIFIEDvarYear</f>
        <v>2025</v>
      </c>
      <c r="E311">
        <f t="shared" ref="E311:E374" si="17">_SPECIFIEDvarMonth</f>
        <v>7</v>
      </c>
      <c r="F311" s="13" t="s">
        <v>635</v>
      </c>
      <c r="G311" s="13" t="s">
        <v>11</v>
      </c>
      <c r="H311" s="13" t="s">
        <v>825</v>
      </c>
    </row>
    <row r="312" spans="1:8" x14ac:dyDescent="0.25">
      <c r="A312" t="s">
        <v>636</v>
      </c>
      <c r="B312" s="14" cm="1">
        <f t="array" ref="B312">_xll.GetPrice("FP-PNL-0425",,"Low",_SPECIFIEDvarPubDate,)</f>
        <v>1870</v>
      </c>
      <c r="C312" s="1">
        <f t="shared" si="15"/>
        <v>45849</v>
      </c>
      <c r="D312">
        <f t="shared" si="16"/>
        <v>2025</v>
      </c>
      <c r="E312">
        <f t="shared" si="17"/>
        <v>7</v>
      </c>
      <c r="F312" s="13" t="s">
        <v>637</v>
      </c>
      <c r="G312" s="13" t="s">
        <v>11</v>
      </c>
      <c r="H312" s="13" t="s">
        <v>825</v>
      </c>
    </row>
    <row r="313" spans="1:8" x14ac:dyDescent="0.25">
      <c r="A313" t="s">
        <v>638</v>
      </c>
      <c r="B313" s="14" cm="1">
        <f t="array" ref="B313">_xll.GetPrice("FP-PNL-0426",,"Low",_SPECIFIEDvarPubDate,)</f>
        <v>633</v>
      </c>
      <c r="C313" s="1">
        <f t="shared" si="15"/>
        <v>45849</v>
      </c>
      <c r="D313">
        <f t="shared" si="16"/>
        <v>2025</v>
      </c>
      <c r="E313">
        <f t="shared" si="17"/>
        <v>7</v>
      </c>
      <c r="F313" s="13" t="s">
        <v>639</v>
      </c>
      <c r="G313" s="13" t="s">
        <v>11</v>
      </c>
      <c r="H313" s="13" t="s">
        <v>825</v>
      </c>
    </row>
    <row r="314" spans="1:8" x14ac:dyDescent="0.25">
      <c r="A314" t="s">
        <v>640</v>
      </c>
      <c r="B314" s="14" cm="1">
        <f t="array" ref="B314">_xll.GetPrice("FP-PNL-0427",,"Low",_SPECIFIEDvarPubDate,)</f>
        <v>844</v>
      </c>
      <c r="C314" s="1">
        <f t="shared" si="15"/>
        <v>45849</v>
      </c>
      <c r="D314">
        <f t="shared" si="16"/>
        <v>2025</v>
      </c>
      <c r="E314">
        <f t="shared" si="17"/>
        <v>7</v>
      </c>
      <c r="F314" s="13" t="s">
        <v>641</v>
      </c>
      <c r="G314" s="13" t="s">
        <v>11</v>
      </c>
      <c r="H314" s="13" t="s">
        <v>825</v>
      </c>
    </row>
    <row r="315" spans="1:8" x14ac:dyDescent="0.25">
      <c r="A315" t="s">
        <v>642</v>
      </c>
      <c r="B315" s="14" cm="1">
        <f t="array" ref="B315">_xll.GetPrice("FP-PNL-0428",,"Low",_SPECIFIEDvarPubDate,)</f>
        <v>1055</v>
      </c>
      <c r="C315" s="1">
        <f t="shared" si="15"/>
        <v>45849</v>
      </c>
      <c r="D315">
        <f t="shared" si="16"/>
        <v>2025</v>
      </c>
      <c r="E315">
        <f t="shared" si="17"/>
        <v>7</v>
      </c>
      <c r="F315" s="13" t="s">
        <v>643</v>
      </c>
      <c r="G315" s="13" t="s">
        <v>11</v>
      </c>
      <c r="H315" s="13" t="s">
        <v>825</v>
      </c>
    </row>
    <row r="316" spans="1:8" x14ac:dyDescent="0.25">
      <c r="A316" t="s">
        <v>644</v>
      </c>
      <c r="B316" s="14" cm="1">
        <f t="array" ref="B316">_xll.GetPrice("FP-PNL-0429",,"Low",_SPECIFIEDvarPubDate,)</f>
        <v>1266</v>
      </c>
      <c r="C316" s="1">
        <f t="shared" si="15"/>
        <v>45849</v>
      </c>
      <c r="D316">
        <f t="shared" si="16"/>
        <v>2025</v>
      </c>
      <c r="E316">
        <f t="shared" si="17"/>
        <v>7</v>
      </c>
      <c r="F316" s="13" t="s">
        <v>645</v>
      </c>
      <c r="G316" s="13" t="s">
        <v>11</v>
      </c>
      <c r="H316" s="13" t="s">
        <v>825</v>
      </c>
    </row>
    <row r="317" spans="1:8" x14ac:dyDescent="0.25">
      <c r="A317" t="s">
        <v>646</v>
      </c>
      <c r="B317" s="14" cm="1">
        <f t="array" ref="B317">_xll.GetPrice("FP-PNL-0430",,"Low",_SPECIFIEDvarPubDate,)</f>
        <v>1911</v>
      </c>
      <c r="C317" s="1">
        <f t="shared" si="15"/>
        <v>45849</v>
      </c>
      <c r="D317">
        <f t="shared" si="16"/>
        <v>2025</v>
      </c>
      <c r="E317">
        <f t="shared" si="17"/>
        <v>7</v>
      </c>
      <c r="F317" s="13" t="s">
        <v>647</v>
      </c>
      <c r="G317" s="13" t="s">
        <v>11</v>
      </c>
      <c r="H317" s="13" t="s">
        <v>825</v>
      </c>
    </row>
    <row r="318" spans="1:8" x14ac:dyDescent="0.25">
      <c r="A318" t="s">
        <v>648</v>
      </c>
      <c r="B318" s="14" cm="1">
        <f t="array" ref="B318">_xll.GetPrice("FP-PNL-0431",,"Low",_SPECIFIEDvarPubDate,)</f>
        <v>648</v>
      </c>
      <c r="C318" s="1">
        <f t="shared" si="15"/>
        <v>45849</v>
      </c>
      <c r="D318">
        <f t="shared" si="16"/>
        <v>2025</v>
      </c>
      <c r="E318">
        <f t="shared" si="17"/>
        <v>7</v>
      </c>
      <c r="F318" s="13" t="s">
        <v>649</v>
      </c>
      <c r="G318" s="13" t="s">
        <v>11</v>
      </c>
      <c r="H318" s="13" t="s">
        <v>825</v>
      </c>
    </row>
    <row r="319" spans="1:8" x14ac:dyDescent="0.25">
      <c r="A319" t="s">
        <v>650</v>
      </c>
      <c r="B319" s="14" cm="1">
        <f t="array" ref="B319">_xll.GetPrice("FP-PNL-0432",,"Low",_SPECIFIEDvarPubDate,)</f>
        <v>864</v>
      </c>
      <c r="C319" s="1">
        <f t="shared" si="15"/>
        <v>45849</v>
      </c>
      <c r="D319">
        <f t="shared" si="16"/>
        <v>2025</v>
      </c>
      <c r="E319">
        <f t="shared" si="17"/>
        <v>7</v>
      </c>
      <c r="F319" s="13" t="s">
        <v>651</v>
      </c>
      <c r="G319" s="13" t="s">
        <v>11</v>
      </c>
      <c r="H319" s="13" t="s">
        <v>825</v>
      </c>
    </row>
    <row r="320" spans="1:8" x14ac:dyDescent="0.25">
      <c r="A320" t="s">
        <v>652</v>
      </c>
      <c r="B320" s="14" cm="1">
        <f t="array" ref="B320">_xll.GetPrice("FP-PNL-0433",,"Low",_SPECIFIEDvarPubDate,)</f>
        <v>1080</v>
      </c>
      <c r="C320" s="1">
        <f t="shared" si="15"/>
        <v>45849</v>
      </c>
      <c r="D320">
        <f t="shared" si="16"/>
        <v>2025</v>
      </c>
      <c r="E320">
        <f t="shared" si="17"/>
        <v>7</v>
      </c>
      <c r="F320" s="13" t="s">
        <v>653</v>
      </c>
      <c r="G320" s="13" t="s">
        <v>11</v>
      </c>
      <c r="H320" s="13" t="s">
        <v>825</v>
      </c>
    </row>
    <row r="321" spans="1:8" x14ac:dyDescent="0.25">
      <c r="A321" t="s">
        <v>654</v>
      </c>
      <c r="B321" s="14" cm="1">
        <f t="array" ref="B321">_xll.GetPrice("FP-PNL-0434",,"Low",_SPECIFIEDvarPubDate,)</f>
        <v>1296</v>
      </c>
      <c r="C321" s="1">
        <f t="shared" si="15"/>
        <v>45849</v>
      </c>
      <c r="D321">
        <f t="shared" si="16"/>
        <v>2025</v>
      </c>
      <c r="E321">
        <f t="shared" si="17"/>
        <v>7</v>
      </c>
      <c r="F321" s="13" t="s">
        <v>655</v>
      </c>
      <c r="G321" s="13" t="s">
        <v>11</v>
      </c>
      <c r="H321" s="13" t="s">
        <v>825</v>
      </c>
    </row>
    <row r="322" spans="1:8" x14ac:dyDescent="0.25">
      <c r="A322" t="s">
        <v>656</v>
      </c>
      <c r="B322" s="14" cm="1">
        <f t="array" ref="B322">_xll.GetPrice("FP-PNL-0435",,"Low",_SPECIFIEDvarPubDate,)</f>
        <v>1951</v>
      </c>
      <c r="C322" s="1">
        <f t="shared" si="15"/>
        <v>45849</v>
      </c>
      <c r="D322">
        <f t="shared" si="16"/>
        <v>2025</v>
      </c>
      <c r="E322">
        <f t="shared" si="17"/>
        <v>7</v>
      </c>
      <c r="F322" s="13" t="s">
        <v>657</v>
      </c>
      <c r="G322" s="13" t="s">
        <v>11</v>
      </c>
      <c r="H322" s="13" t="s">
        <v>825</v>
      </c>
    </row>
    <row r="323" spans="1:8" x14ac:dyDescent="0.25">
      <c r="A323" t="s">
        <v>658</v>
      </c>
      <c r="B323" s="14" cm="1">
        <f t="array" ref="B323">_xll.GetPrice("FP-PNL-0436",,"Low",_SPECIFIEDvarPubDate,)</f>
        <v>658</v>
      </c>
      <c r="C323" s="1">
        <f t="shared" si="15"/>
        <v>45849</v>
      </c>
      <c r="D323">
        <f t="shared" si="16"/>
        <v>2025</v>
      </c>
      <c r="E323">
        <f t="shared" si="17"/>
        <v>7</v>
      </c>
      <c r="F323" s="13" t="s">
        <v>659</v>
      </c>
      <c r="G323" s="13" t="s">
        <v>11</v>
      </c>
      <c r="H323" s="13" t="s">
        <v>825</v>
      </c>
    </row>
    <row r="324" spans="1:8" x14ac:dyDescent="0.25">
      <c r="A324" t="s">
        <v>660</v>
      </c>
      <c r="B324" s="14" cm="1">
        <f t="array" ref="B324">_xll.GetPrice("FP-PNL-0437",,"Low",_SPECIFIEDvarPubDate,)</f>
        <v>877</v>
      </c>
      <c r="C324" s="1">
        <f t="shared" si="15"/>
        <v>45849</v>
      </c>
      <c r="D324">
        <f t="shared" si="16"/>
        <v>2025</v>
      </c>
      <c r="E324">
        <f t="shared" si="17"/>
        <v>7</v>
      </c>
      <c r="F324" s="13" t="s">
        <v>661</v>
      </c>
      <c r="G324" s="13" t="s">
        <v>11</v>
      </c>
      <c r="H324" s="13" t="s">
        <v>825</v>
      </c>
    </row>
    <row r="325" spans="1:8" x14ac:dyDescent="0.25">
      <c r="A325" t="s">
        <v>662</v>
      </c>
      <c r="B325" s="14" cm="1">
        <f t="array" ref="B325">_xll.GetPrice("FP-PNL-0438",,"Low",_SPECIFIEDvarPubDate,)</f>
        <v>1097</v>
      </c>
      <c r="C325" s="1">
        <f t="shared" si="15"/>
        <v>45849</v>
      </c>
      <c r="D325">
        <f t="shared" si="16"/>
        <v>2025</v>
      </c>
      <c r="E325">
        <f t="shared" si="17"/>
        <v>7</v>
      </c>
      <c r="F325" s="13" t="s">
        <v>663</v>
      </c>
      <c r="G325" s="13" t="s">
        <v>11</v>
      </c>
      <c r="H325" s="13" t="s">
        <v>825</v>
      </c>
    </row>
    <row r="326" spans="1:8" x14ac:dyDescent="0.25">
      <c r="A326" t="s">
        <v>664</v>
      </c>
      <c r="B326" s="14" cm="1">
        <f t="array" ref="B326">_xll.GetPrice("FP-PNL-0439",,"Low",_SPECIFIEDvarPubDate,)</f>
        <v>1316</v>
      </c>
      <c r="C326" s="1">
        <f t="shared" si="15"/>
        <v>45849</v>
      </c>
      <c r="D326">
        <f t="shared" si="16"/>
        <v>2025</v>
      </c>
      <c r="E326">
        <f t="shared" si="17"/>
        <v>7</v>
      </c>
      <c r="F326" s="13" t="s">
        <v>665</v>
      </c>
      <c r="G326" s="13" t="s">
        <v>11</v>
      </c>
      <c r="H326" s="13" t="s">
        <v>825</v>
      </c>
    </row>
    <row r="327" spans="1:8" x14ac:dyDescent="0.25">
      <c r="A327" t="s">
        <v>666</v>
      </c>
      <c r="B327" s="14" cm="1">
        <f t="array" ref="B327">_xll.GetPrice("FP-PNL-0440",,"Low",_SPECIFIEDvarPubDate,)</f>
        <v>1977</v>
      </c>
      <c r="C327" s="1">
        <f t="shared" si="15"/>
        <v>45849</v>
      </c>
      <c r="D327">
        <f t="shared" si="16"/>
        <v>2025</v>
      </c>
      <c r="E327">
        <f t="shared" si="17"/>
        <v>7</v>
      </c>
      <c r="F327" s="13" t="s">
        <v>667</v>
      </c>
      <c r="G327" s="13" t="s">
        <v>11</v>
      </c>
      <c r="H327" s="13" t="s">
        <v>825</v>
      </c>
    </row>
    <row r="328" spans="1:8" x14ac:dyDescent="0.25">
      <c r="A328" t="s">
        <v>668</v>
      </c>
      <c r="B328" s="14" cm="1">
        <f t="array" ref="B328">_xll.GetPrice("FP-PNL-0337",,"Low",_SPECIFIEDvarPubDate,)</f>
        <v>651</v>
      </c>
      <c r="C328" s="1">
        <f t="shared" si="15"/>
        <v>45849</v>
      </c>
      <c r="D328">
        <f t="shared" si="16"/>
        <v>2025</v>
      </c>
      <c r="E328">
        <f t="shared" si="17"/>
        <v>7</v>
      </c>
      <c r="F328" s="13" t="s">
        <v>669</v>
      </c>
      <c r="G328" s="13" t="s">
        <v>11</v>
      </c>
      <c r="H328" s="13" t="s">
        <v>825</v>
      </c>
    </row>
    <row r="329" spans="1:8" x14ac:dyDescent="0.25">
      <c r="A329" t="s">
        <v>670</v>
      </c>
      <c r="B329" s="14" cm="1">
        <f t="array" ref="B329">_xll.GetPrice("FP-PNL-0441",,"Low",_SPECIFIEDvarPubDate,)</f>
        <v>868</v>
      </c>
      <c r="C329" s="1">
        <f t="shared" si="15"/>
        <v>45849</v>
      </c>
      <c r="D329">
        <f t="shared" si="16"/>
        <v>2025</v>
      </c>
      <c r="E329">
        <f t="shared" si="17"/>
        <v>7</v>
      </c>
      <c r="F329" s="13" t="s">
        <v>671</v>
      </c>
      <c r="G329" s="13" t="s">
        <v>11</v>
      </c>
      <c r="H329" s="13" t="s">
        <v>825</v>
      </c>
    </row>
    <row r="330" spans="1:8" x14ac:dyDescent="0.25">
      <c r="A330" t="s">
        <v>672</v>
      </c>
      <c r="B330" s="14" cm="1">
        <f t="array" ref="B330">_xll.GetPrice("FP-PNL-0442",,"Low",_SPECIFIEDvarPubDate,)</f>
        <v>1085</v>
      </c>
      <c r="C330" s="1">
        <f t="shared" si="15"/>
        <v>45849</v>
      </c>
      <c r="D330">
        <f t="shared" si="16"/>
        <v>2025</v>
      </c>
      <c r="E330">
        <f t="shared" si="17"/>
        <v>7</v>
      </c>
      <c r="F330" s="13" t="s">
        <v>673</v>
      </c>
      <c r="G330" s="13" t="s">
        <v>11</v>
      </c>
      <c r="H330" s="13" t="s">
        <v>825</v>
      </c>
    </row>
    <row r="331" spans="1:8" x14ac:dyDescent="0.25">
      <c r="A331" t="s">
        <v>674</v>
      </c>
      <c r="B331" s="14" cm="1">
        <f t="array" ref="B331">_xll.GetPrice("FP-PNL-0443",,"Low",_SPECIFIEDvarPubDate,)</f>
        <v>1302</v>
      </c>
      <c r="C331" s="1">
        <f t="shared" si="15"/>
        <v>45849</v>
      </c>
      <c r="D331">
        <f t="shared" si="16"/>
        <v>2025</v>
      </c>
      <c r="E331">
        <f t="shared" si="17"/>
        <v>7</v>
      </c>
      <c r="F331" s="13" t="s">
        <v>675</v>
      </c>
      <c r="G331" s="13" t="s">
        <v>11</v>
      </c>
      <c r="H331" s="13" t="s">
        <v>825</v>
      </c>
    </row>
    <row r="332" spans="1:8" x14ac:dyDescent="0.25">
      <c r="A332" t="s">
        <v>676</v>
      </c>
      <c r="B332" s="14" cm="1">
        <f t="array" ref="B332">_xll.GetPrice("FP-PNL-0444",,"Low",_SPECIFIEDvarPubDate,)</f>
        <v>1953</v>
      </c>
      <c r="C332" s="1">
        <f t="shared" si="15"/>
        <v>45849</v>
      </c>
      <c r="D332">
        <f t="shared" si="16"/>
        <v>2025</v>
      </c>
      <c r="E332">
        <f t="shared" si="17"/>
        <v>7</v>
      </c>
      <c r="F332" s="13" t="s">
        <v>677</v>
      </c>
      <c r="G332" s="13" t="s">
        <v>11</v>
      </c>
      <c r="H332" s="13" t="s">
        <v>825</v>
      </c>
    </row>
    <row r="333" spans="1:8" x14ac:dyDescent="0.25">
      <c r="A333" t="s">
        <v>678</v>
      </c>
      <c r="B333" s="14" cm="1">
        <f t="array" ref="B333">_xll.GetPrice("FP-PNL-0445",,"Low",_SPECIFIEDvarPubDate,)</f>
        <v>661</v>
      </c>
      <c r="C333" s="1">
        <f t="shared" si="15"/>
        <v>45849</v>
      </c>
      <c r="D333">
        <f t="shared" si="16"/>
        <v>2025</v>
      </c>
      <c r="E333">
        <f t="shared" si="17"/>
        <v>7</v>
      </c>
      <c r="F333" s="13" t="s">
        <v>679</v>
      </c>
      <c r="G333" s="13" t="s">
        <v>11</v>
      </c>
      <c r="H333" s="13" t="s">
        <v>825</v>
      </c>
    </row>
    <row r="334" spans="1:8" x14ac:dyDescent="0.25">
      <c r="A334" t="s">
        <v>680</v>
      </c>
      <c r="B334" s="14" cm="1">
        <f t="array" ref="B334">_xll.GetPrice("FP-PNL-0446",,"Low",_SPECIFIEDvarPubDate,)</f>
        <v>881</v>
      </c>
      <c r="C334" s="1">
        <f t="shared" si="15"/>
        <v>45849</v>
      </c>
      <c r="D334">
        <f t="shared" si="16"/>
        <v>2025</v>
      </c>
      <c r="E334">
        <f t="shared" si="17"/>
        <v>7</v>
      </c>
      <c r="F334" s="13" t="s">
        <v>681</v>
      </c>
      <c r="G334" s="13" t="s">
        <v>11</v>
      </c>
      <c r="H334" s="13" t="s">
        <v>825</v>
      </c>
    </row>
    <row r="335" spans="1:8" x14ac:dyDescent="0.25">
      <c r="A335" t="s">
        <v>682</v>
      </c>
      <c r="B335" s="14" cm="1">
        <f t="array" ref="B335">_xll.GetPrice("FP-PNL-0447",,"Low",_SPECIFIEDvarPubDate,)</f>
        <v>1102</v>
      </c>
      <c r="C335" s="1">
        <f t="shared" si="15"/>
        <v>45849</v>
      </c>
      <c r="D335">
        <f t="shared" si="16"/>
        <v>2025</v>
      </c>
      <c r="E335">
        <f t="shared" si="17"/>
        <v>7</v>
      </c>
      <c r="F335" s="13" t="s">
        <v>683</v>
      </c>
      <c r="G335" s="13" t="s">
        <v>11</v>
      </c>
      <c r="H335" s="13" t="s">
        <v>825</v>
      </c>
    </row>
    <row r="336" spans="1:8" x14ac:dyDescent="0.25">
      <c r="A336" t="s">
        <v>684</v>
      </c>
      <c r="B336" s="14" cm="1">
        <f t="array" ref="B336">_xll.GetPrice("FP-PNL-0448",,"Low",_SPECIFIEDvarPubDate,)</f>
        <v>1322</v>
      </c>
      <c r="C336" s="1">
        <f t="shared" si="15"/>
        <v>45849</v>
      </c>
      <c r="D336">
        <f t="shared" si="16"/>
        <v>2025</v>
      </c>
      <c r="E336">
        <f t="shared" si="17"/>
        <v>7</v>
      </c>
      <c r="F336" s="13" t="s">
        <v>685</v>
      </c>
      <c r="G336" s="13" t="s">
        <v>11</v>
      </c>
      <c r="H336" s="13" t="s">
        <v>825</v>
      </c>
    </row>
    <row r="337" spans="1:8" x14ac:dyDescent="0.25">
      <c r="A337" t="s">
        <v>686</v>
      </c>
      <c r="B337" s="14" cm="1">
        <f t="array" ref="B337">_xll.GetPrice("FP-PNL-0449",,"Low",_SPECIFIEDvarPubDate,)</f>
        <v>1980</v>
      </c>
      <c r="C337" s="1">
        <f t="shared" si="15"/>
        <v>45849</v>
      </c>
      <c r="D337">
        <f t="shared" si="16"/>
        <v>2025</v>
      </c>
      <c r="E337">
        <f t="shared" si="17"/>
        <v>7</v>
      </c>
      <c r="F337" s="13" t="s">
        <v>687</v>
      </c>
      <c r="G337" s="13" t="s">
        <v>11</v>
      </c>
      <c r="H337" s="13" t="s">
        <v>825</v>
      </c>
    </row>
    <row r="338" spans="1:8" x14ac:dyDescent="0.25">
      <c r="A338" t="s">
        <v>688</v>
      </c>
      <c r="B338" s="14" cm="1">
        <f t="array" ref="B338">_xll.GetPrice("FP-PNL-0450",,"Low",_SPECIFIEDvarPubDate,)</f>
        <v>686</v>
      </c>
      <c r="C338" s="1">
        <f t="shared" si="15"/>
        <v>45849</v>
      </c>
      <c r="D338">
        <f t="shared" si="16"/>
        <v>2025</v>
      </c>
      <c r="E338">
        <f t="shared" si="17"/>
        <v>7</v>
      </c>
      <c r="F338" s="13" t="s">
        <v>689</v>
      </c>
      <c r="G338" s="13" t="s">
        <v>11</v>
      </c>
      <c r="H338" s="13" t="s">
        <v>825</v>
      </c>
    </row>
    <row r="339" spans="1:8" x14ac:dyDescent="0.25">
      <c r="A339" t="s">
        <v>690</v>
      </c>
      <c r="B339" s="14" cm="1">
        <f t="array" ref="B339">_xll.GetPrice("FP-PNL-0451",,"Low",_SPECIFIEDvarPubDate,)</f>
        <v>915</v>
      </c>
      <c r="C339" s="1">
        <f t="shared" si="15"/>
        <v>45849</v>
      </c>
      <c r="D339">
        <f t="shared" si="16"/>
        <v>2025</v>
      </c>
      <c r="E339">
        <f t="shared" si="17"/>
        <v>7</v>
      </c>
      <c r="F339" s="13" t="s">
        <v>691</v>
      </c>
      <c r="G339" s="13" t="s">
        <v>11</v>
      </c>
      <c r="H339" s="13" t="s">
        <v>825</v>
      </c>
    </row>
    <row r="340" spans="1:8" x14ac:dyDescent="0.25">
      <c r="A340" t="s">
        <v>692</v>
      </c>
      <c r="B340" s="14" cm="1">
        <f t="array" ref="B340">_xll.GetPrice("FP-PNL-0452",,"Low",_SPECIFIEDvarPubDate,)</f>
        <v>1143</v>
      </c>
      <c r="C340" s="1">
        <f t="shared" si="15"/>
        <v>45849</v>
      </c>
      <c r="D340">
        <f t="shared" si="16"/>
        <v>2025</v>
      </c>
      <c r="E340">
        <f t="shared" si="17"/>
        <v>7</v>
      </c>
      <c r="F340" s="13" t="s">
        <v>693</v>
      </c>
      <c r="G340" s="13" t="s">
        <v>11</v>
      </c>
      <c r="H340" s="13" t="s">
        <v>825</v>
      </c>
    </row>
    <row r="341" spans="1:8" x14ac:dyDescent="0.25">
      <c r="A341" t="s">
        <v>694</v>
      </c>
      <c r="B341" s="14" cm="1">
        <f t="array" ref="B341">_xll.GetPrice("FP-PNL-0453",,"Low",_SPECIFIEDvarPubDate,)</f>
        <v>1372</v>
      </c>
      <c r="C341" s="1">
        <f t="shared" si="15"/>
        <v>45849</v>
      </c>
      <c r="D341">
        <f t="shared" si="16"/>
        <v>2025</v>
      </c>
      <c r="E341">
        <f t="shared" si="17"/>
        <v>7</v>
      </c>
      <c r="F341" s="13" t="s">
        <v>695</v>
      </c>
      <c r="G341" s="13" t="s">
        <v>11</v>
      </c>
      <c r="H341" s="13" t="s">
        <v>825</v>
      </c>
    </row>
    <row r="342" spans="1:8" x14ac:dyDescent="0.25">
      <c r="A342" t="s">
        <v>696</v>
      </c>
      <c r="B342" s="14" cm="1">
        <f t="array" ref="B342">_xll.GetPrice("FP-PNL-0454",,"Low",_SPECIFIEDvarPubDate,)</f>
        <v>2046</v>
      </c>
      <c r="C342" s="1">
        <f t="shared" si="15"/>
        <v>45849</v>
      </c>
      <c r="D342">
        <f t="shared" si="16"/>
        <v>2025</v>
      </c>
      <c r="E342">
        <f t="shared" si="17"/>
        <v>7</v>
      </c>
      <c r="F342" s="13" t="s">
        <v>697</v>
      </c>
      <c r="G342" s="13" t="s">
        <v>11</v>
      </c>
      <c r="H342" s="13" t="s">
        <v>825</v>
      </c>
    </row>
    <row r="343" spans="1:8" x14ac:dyDescent="0.25">
      <c r="A343" t="s">
        <v>698</v>
      </c>
      <c r="B343" s="14" cm="1">
        <f t="array" ref="B343">_xll.GetPrice("FP-PNL-0455",,"Low",_SPECIFIEDvarPubDate,)</f>
        <v>696</v>
      </c>
      <c r="C343" s="1">
        <f t="shared" si="15"/>
        <v>45849</v>
      </c>
      <c r="D343">
        <f t="shared" si="16"/>
        <v>2025</v>
      </c>
      <c r="E343">
        <f t="shared" si="17"/>
        <v>7</v>
      </c>
      <c r="F343" s="13" t="s">
        <v>699</v>
      </c>
      <c r="G343" s="13" t="s">
        <v>11</v>
      </c>
      <c r="H343" s="13" t="s">
        <v>825</v>
      </c>
    </row>
    <row r="344" spans="1:8" x14ac:dyDescent="0.25">
      <c r="A344" t="s">
        <v>700</v>
      </c>
      <c r="B344" s="14" cm="1">
        <f t="array" ref="B344">_xll.GetPrice("FP-PNL-0456",,"Low",_SPECIFIEDvarPubDate,)</f>
        <v>928</v>
      </c>
      <c r="C344" s="1">
        <f t="shared" si="15"/>
        <v>45849</v>
      </c>
      <c r="D344">
        <f t="shared" si="16"/>
        <v>2025</v>
      </c>
      <c r="E344">
        <f t="shared" si="17"/>
        <v>7</v>
      </c>
      <c r="F344" s="13" t="s">
        <v>701</v>
      </c>
      <c r="G344" s="13" t="s">
        <v>11</v>
      </c>
      <c r="H344" s="13" t="s">
        <v>825</v>
      </c>
    </row>
    <row r="345" spans="1:8" x14ac:dyDescent="0.25">
      <c r="A345" t="s">
        <v>702</v>
      </c>
      <c r="B345" s="14" cm="1">
        <f t="array" ref="B345">_xll.GetPrice("FP-PNL-0457",,"Low",_SPECIFIEDvarPubDate,)</f>
        <v>1160</v>
      </c>
      <c r="C345" s="1">
        <f t="shared" si="15"/>
        <v>45849</v>
      </c>
      <c r="D345">
        <f t="shared" si="16"/>
        <v>2025</v>
      </c>
      <c r="E345">
        <f t="shared" si="17"/>
        <v>7</v>
      </c>
      <c r="F345" s="13" t="s">
        <v>703</v>
      </c>
      <c r="G345" s="13" t="s">
        <v>11</v>
      </c>
      <c r="H345" s="13" t="s">
        <v>825</v>
      </c>
    </row>
    <row r="346" spans="1:8" x14ac:dyDescent="0.25">
      <c r="A346" t="s">
        <v>704</v>
      </c>
      <c r="B346" s="14" cm="1">
        <f t="array" ref="B346">_xll.GetPrice("FP-PNL-0458",,"Low",_SPECIFIEDvarPubDate,)</f>
        <v>1392</v>
      </c>
      <c r="C346" s="1">
        <f t="shared" si="15"/>
        <v>45849</v>
      </c>
      <c r="D346">
        <f t="shared" si="16"/>
        <v>2025</v>
      </c>
      <c r="E346">
        <f t="shared" si="17"/>
        <v>7</v>
      </c>
      <c r="F346" s="13" t="s">
        <v>705</v>
      </c>
      <c r="G346" s="13" t="s">
        <v>11</v>
      </c>
      <c r="H346" s="13" t="s">
        <v>825</v>
      </c>
    </row>
    <row r="347" spans="1:8" x14ac:dyDescent="0.25">
      <c r="A347" t="s">
        <v>706</v>
      </c>
      <c r="B347" s="14" cm="1">
        <f t="array" ref="B347">_xll.GetPrice("FP-PNL-0459",,"Low",_SPECIFIEDvarPubDate,)</f>
        <v>2073</v>
      </c>
      <c r="C347" s="1">
        <f t="shared" si="15"/>
        <v>45849</v>
      </c>
      <c r="D347">
        <f t="shared" si="16"/>
        <v>2025</v>
      </c>
      <c r="E347">
        <f t="shared" si="17"/>
        <v>7</v>
      </c>
      <c r="F347" s="13" t="s">
        <v>707</v>
      </c>
      <c r="G347" s="13" t="s">
        <v>11</v>
      </c>
      <c r="H347" s="13" t="s">
        <v>825</v>
      </c>
    </row>
    <row r="348" spans="1:8" x14ac:dyDescent="0.25">
      <c r="A348" t="s">
        <v>708</v>
      </c>
      <c r="B348" s="14" cm="1">
        <f t="array" ref="B348">_xll.GetPrice("FP-PNL-0339",,"Low",_SPECIFIEDvarPubDate,)</f>
        <v>60</v>
      </c>
      <c r="C348" s="1">
        <f t="shared" si="15"/>
        <v>45849</v>
      </c>
      <c r="D348">
        <f t="shared" si="16"/>
        <v>2025</v>
      </c>
      <c r="E348">
        <f t="shared" si="17"/>
        <v>7</v>
      </c>
      <c r="F348" s="13" t="s">
        <v>709</v>
      </c>
      <c r="G348" s="13" t="s">
        <v>11</v>
      </c>
      <c r="H348" s="13" t="s">
        <v>825</v>
      </c>
    </row>
    <row r="349" spans="1:8" x14ac:dyDescent="0.25">
      <c r="A349" t="s">
        <v>710</v>
      </c>
      <c r="B349" s="14" cm="1">
        <f t="array" ref="B349">_xll.GetPrice("FP-PNL-0460",,"Low",_SPECIFIEDvarPubDate,)</f>
        <v>618</v>
      </c>
      <c r="C349" s="1">
        <f t="shared" si="15"/>
        <v>45849</v>
      </c>
      <c r="D349">
        <f t="shared" si="16"/>
        <v>2025</v>
      </c>
      <c r="E349">
        <f t="shared" si="17"/>
        <v>7</v>
      </c>
      <c r="F349" s="13" t="s">
        <v>711</v>
      </c>
      <c r="G349" s="13" t="s">
        <v>11</v>
      </c>
      <c r="H349" s="13" t="s">
        <v>825</v>
      </c>
    </row>
    <row r="350" spans="1:8" x14ac:dyDescent="0.25">
      <c r="A350" t="s">
        <v>712</v>
      </c>
      <c r="B350" s="14" cm="1">
        <f t="array" ref="B350">_xll.GetPrice("FP-PNL-0461",,"Low",_SPECIFIEDvarPubDate,)</f>
        <v>824</v>
      </c>
      <c r="C350" s="1">
        <f t="shared" si="15"/>
        <v>45849</v>
      </c>
      <c r="D350">
        <f t="shared" si="16"/>
        <v>2025</v>
      </c>
      <c r="E350">
        <f t="shared" si="17"/>
        <v>7</v>
      </c>
      <c r="F350" s="13" t="s">
        <v>713</v>
      </c>
      <c r="G350" s="13" t="s">
        <v>11</v>
      </c>
      <c r="H350" s="13" t="s">
        <v>825</v>
      </c>
    </row>
    <row r="351" spans="1:8" x14ac:dyDescent="0.25">
      <c r="A351" t="s">
        <v>714</v>
      </c>
      <c r="B351" s="14" cm="1">
        <f t="array" ref="B351">_xll.GetPrice("FP-PNL-0462",,"Low",_SPECIFIEDvarPubDate,)</f>
        <v>1030</v>
      </c>
      <c r="C351" s="1">
        <f t="shared" si="15"/>
        <v>45849</v>
      </c>
      <c r="D351">
        <f t="shared" si="16"/>
        <v>2025</v>
      </c>
      <c r="E351">
        <f t="shared" si="17"/>
        <v>7</v>
      </c>
      <c r="F351" s="13" t="s">
        <v>715</v>
      </c>
      <c r="G351" s="13" t="s">
        <v>11</v>
      </c>
      <c r="H351" s="13" t="s">
        <v>825</v>
      </c>
    </row>
    <row r="352" spans="1:8" x14ac:dyDescent="0.25">
      <c r="A352" t="s">
        <v>716</v>
      </c>
      <c r="B352" s="14" cm="1">
        <f t="array" ref="B352">_xll.GetPrice("FP-PNL-0463",,"Low",_SPECIFIEDvarPubDate,)</f>
        <v>1236</v>
      </c>
      <c r="C352" s="1">
        <f t="shared" si="15"/>
        <v>45849</v>
      </c>
      <c r="D352">
        <f t="shared" si="16"/>
        <v>2025</v>
      </c>
      <c r="E352">
        <f t="shared" si="17"/>
        <v>7</v>
      </c>
      <c r="F352" s="13" t="s">
        <v>717</v>
      </c>
      <c r="G352" s="13" t="s">
        <v>11</v>
      </c>
      <c r="H352" s="13" t="s">
        <v>825</v>
      </c>
    </row>
    <row r="353" spans="1:8" x14ac:dyDescent="0.25">
      <c r="A353" t="s">
        <v>718</v>
      </c>
      <c r="B353" s="14" cm="1">
        <f t="array" ref="B353">_xll.GetPrice("FP-PNL-0464",,"Low",_SPECIFIEDvarPubDate,)</f>
        <v>1870</v>
      </c>
      <c r="C353" s="1">
        <f t="shared" si="15"/>
        <v>45849</v>
      </c>
      <c r="D353">
        <f t="shared" si="16"/>
        <v>2025</v>
      </c>
      <c r="E353">
        <f t="shared" si="17"/>
        <v>7</v>
      </c>
      <c r="F353" s="13" t="s">
        <v>719</v>
      </c>
      <c r="G353" s="13" t="s">
        <v>11</v>
      </c>
      <c r="H353" s="13" t="s">
        <v>825</v>
      </c>
    </row>
    <row r="354" spans="1:8" x14ac:dyDescent="0.25">
      <c r="A354" t="s">
        <v>720</v>
      </c>
      <c r="B354" s="14" cm="1">
        <f t="array" ref="B354">_xll.GetPrice("FP-PNL-0465",,"Low",_SPECIFIEDvarPubDate,)</f>
        <v>633</v>
      </c>
      <c r="C354" s="1">
        <f t="shared" si="15"/>
        <v>45849</v>
      </c>
      <c r="D354">
        <f t="shared" si="16"/>
        <v>2025</v>
      </c>
      <c r="E354">
        <f t="shared" si="17"/>
        <v>7</v>
      </c>
      <c r="F354" s="13" t="s">
        <v>721</v>
      </c>
      <c r="G354" s="13" t="s">
        <v>11</v>
      </c>
      <c r="H354" s="13" t="s">
        <v>825</v>
      </c>
    </row>
    <row r="355" spans="1:8" x14ac:dyDescent="0.25">
      <c r="A355" t="s">
        <v>722</v>
      </c>
      <c r="B355" s="14" cm="1">
        <f t="array" ref="B355">_xll.GetPrice("FP-PNL-0466",,"Low",_SPECIFIEDvarPubDate,)</f>
        <v>844</v>
      </c>
      <c r="C355" s="1">
        <f t="shared" si="15"/>
        <v>45849</v>
      </c>
      <c r="D355">
        <f t="shared" si="16"/>
        <v>2025</v>
      </c>
      <c r="E355">
        <f t="shared" si="17"/>
        <v>7</v>
      </c>
      <c r="F355" s="13" t="s">
        <v>723</v>
      </c>
      <c r="G355" s="13" t="s">
        <v>11</v>
      </c>
      <c r="H355" s="13" t="s">
        <v>825</v>
      </c>
    </row>
    <row r="356" spans="1:8" x14ac:dyDescent="0.25">
      <c r="A356" t="s">
        <v>724</v>
      </c>
      <c r="B356" s="14" cm="1">
        <f t="array" ref="B356">_xll.GetPrice("FP-PNL-0467",,"Low",_SPECIFIEDvarPubDate,)</f>
        <v>1055</v>
      </c>
      <c r="C356" s="1">
        <f t="shared" si="15"/>
        <v>45849</v>
      </c>
      <c r="D356">
        <f t="shared" si="16"/>
        <v>2025</v>
      </c>
      <c r="E356">
        <f t="shared" si="17"/>
        <v>7</v>
      </c>
      <c r="F356" s="13" t="s">
        <v>725</v>
      </c>
      <c r="G356" s="13" t="s">
        <v>11</v>
      </c>
      <c r="H356" s="13" t="s">
        <v>825</v>
      </c>
    </row>
    <row r="357" spans="1:8" x14ac:dyDescent="0.25">
      <c r="A357" t="s">
        <v>726</v>
      </c>
      <c r="B357" s="14" cm="1">
        <f t="array" ref="B357">_xll.GetPrice("FP-PNL-0468",,"Low",_SPECIFIEDvarPubDate,)</f>
        <v>1266</v>
      </c>
      <c r="C357" s="1">
        <f t="shared" si="15"/>
        <v>45849</v>
      </c>
      <c r="D357">
        <f t="shared" si="16"/>
        <v>2025</v>
      </c>
      <c r="E357">
        <f t="shared" si="17"/>
        <v>7</v>
      </c>
      <c r="F357" s="13" t="s">
        <v>727</v>
      </c>
      <c r="G357" s="13" t="s">
        <v>11</v>
      </c>
      <c r="H357" s="13" t="s">
        <v>825</v>
      </c>
    </row>
    <row r="358" spans="1:8" x14ac:dyDescent="0.25">
      <c r="A358" t="s">
        <v>728</v>
      </c>
      <c r="B358" s="14" cm="1">
        <f t="array" ref="B358">_xll.GetPrice("FP-PNL-0469",,"Low",_SPECIFIEDvarPubDate,)</f>
        <v>1911</v>
      </c>
      <c r="C358" s="1">
        <f t="shared" si="15"/>
        <v>45849</v>
      </c>
      <c r="D358">
        <f t="shared" si="16"/>
        <v>2025</v>
      </c>
      <c r="E358">
        <f t="shared" si="17"/>
        <v>7</v>
      </c>
      <c r="F358" s="13" t="s">
        <v>729</v>
      </c>
      <c r="G358" s="13" t="s">
        <v>11</v>
      </c>
      <c r="H358" s="13" t="s">
        <v>825</v>
      </c>
    </row>
    <row r="359" spans="1:8" x14ac:dyDescent="0.25">
      <c r="A359" t="s">
        <v>730</v>
      </c>
      <c r="B359" s="14" cm="1">
        <f t="array" ref="B359">_xll.GetPrice("FP-PNL-0470",,"Low",_SPECIFIEDvarPubDate,)</f>
        <v>648</v>
      </c>
      <c r="C359" s="1">
        <f t="shared" si="15"/>
        <v>45849</v>
      </c>
      <c r="D359">
        <f t="shared" si="16"/>
        <v>2025</v>
      </c>
      <c r="E359">
        <f t="shared" si="17"/>
        <v>7</v>
      </c>
      <c r="F359" s="13" t="s">
        <v>731</v>
      </c>
      <c r="G359" s="13" t="s">
        <v>11</v>
      </c>
      <c r="H359" s="13" t="s">
        <v>825</v>
      </c>
    </row>
    <row r="360" spans="1:8" x14ac:dyDescent="0.25">
      <c r="A360" t="s">
        <v>732</v>
      </c>
      <c r="B360" s="14" cm="1">
        <f t="array" ref="B360">_xll.GetPrice("FP-PNL-0471",,"Low",_SPECIFIEDvarPubDate,)</f>
        <v>864</v>
      </c>
      <c r="C360" s="1">
        <f t="shared" si="15"/>
        <v>45849</v>
      </c>
      <c r="D360">
        <f t="shared" si="16"/>
        <v>2025</v>
      </c>
      <c r="E360">
        <f t="shared" si="17"/>
        <v>7</v>
      </c>
      <c r="F360" s="13" t="s">
        <v>733</v>
      </c>
      <c r="G360" s="13" t="s">
        <v>11</v>
      </c>
      <c r="H360" s="13" t="s">
        <v>825</v>
      </c>
    </row>
    <row r="361" spans="1:8" x14ac:dyDescent="0.25">
      <c r="A361" t="s">
        <v>734</v>
      </c>
      <c r="B361" s="14" cm="1">
        <f t="array" ref="B361">_xll.GetPrice("FP-PNL-0472",,"Low",_SPECIFIEDvarPubDate,)</f>
        <v>1080</v>
      </c>
      <c r="C361" s="1">
        <f t="shared" si="15"/>
        <v>45849</v>
      </c>
      <c r="D361">
        <f t="shared" si="16"/>
        <v>2025</v>
      </c>
      <c r="E361">
        <f t="shared" si="17"/>
        <v>7</v>
      </c>
      <c r="F361" s="13" t="s">
        <v>735</v>
      </c>
      <c r="G361" s="13" t="s">
        <v>11</v>
      </c>
      <c r="H361" s="13" t="s">
        <v>825</v>
      </c>
    </row>
    <row r="362" spans="1:8" x14ac:dyDescent="0.25">
      <c r="A362" t="s">
        <v>736</v>
      </c>
      <c r="B362" s="14" cm="1">
        <f t="array" ref="B362">_xll.GetPrice("FP-PNL-0473",,"Low",_SPECIFIEDvarPubDate,)</f>
        <v>1296</v>
      </c>
      <c r="C362" s="1">
        <f t="shared" si="15"/>
        <v>45849</v>
      </c>
      <c r="D362">
        <f t="shared" si="16"/>
        <v>2025</v>
      </c>
      <c r="E362">
        <f t="shared" si="17"/>
        <v>7</v>
      </c>
      <c r="F362" s="13" t="s">
        <v>737</v>
      </c>
      <c r="G362" s="13" t="s">
        <v>11</v>
      </c>
      <c r="H362" s="13" t="s">
        <v>825</v>
      </c>
    </row>
    <row r="363" spans="1:8" x14ac:dyDescent="0.25">
      <c r="A363" t="s">
        <v>738</v>
      </c>
      <c r="B363" s="14" cm="1">
        <f t="array" ref="B363">_xll.GetPrice("FP-PNL-0474",,"Low",_SPECIFIEDvarPubDate,)</f>
        <v>1951</v>
      </c>
      <c r="C363" s="1">
        <f t="shared" si="15"/>
        <v>45849</v>
      </c>
      <c r="D363">
        <f t="shared" si="16"/>
        <v>2025</v>
      </c>
      <c r="E363">
        <f t="shared" si="17"/>
        <v>7</v>
      </c>
      <c r="F363" s="13" t="s">
        <v>739</v>
      </c>
      <c r="G363" s="13" t="s">
        <v>11</v>
      </c>
      <c r="H363" s="13" t="s">
        <v>825</v>
      </c>
    </row>
    <row r="364" spans="1:8" x14ac:dyDescent="0.25">
      <c r="A364" t="s">
        <v>740</v>
      </c>
      <c r="B364" s="14" cm="1">
        <f t="array" ref="B364">_xll.GetPrice("FP-PNL-0475",,"Low",_SPECIFIEDvarPubDate,)</f>
        <v>658</v>
      </c>
      <c r="C364" s="1">
        <f t="shared" si="15"/>
        <v>45849</v>
      </c>
      <c r="D364">
        <f t="shared" si="16"/>
        <v>2025</v>
      </c>
      <c r="E364">
        <f t="shared" si="17"/>
        <v>7</v>
      </c>
      <c r="F364" s="13" t="s">
        <v>741</v>
      </c>
      <c r="G364" s="13" t="s">
        <v>11</v>
      </c>
      <c r="H364" s="13" t="s">
        <v>825</v>
      </c>
    </row>
    <row r="365" spans="1:8" x14ac:dyDescent="0.25">
      <c r="A365" t="s">
        <v>742</v>
      </c>
      <c r="B365" s="14" cm="1">
        <f t="array" ref="B365">_xll.GetPrice("FP-PNL-0476",,"Low",_SPECIFIEDvarPubDate,)</f>
        <v>877</v>
      </c>
      <c r="C365" s="1">
        <f t="shared" si="15"/>
        <v>45849</v>
      </c>
      <c r="D365">
        <f t="shared" si="16"/>
        <v>2025</v>
      </c>
      <c r="E365">
        <f t="shared" si="17"/>
        <v>7</v>
      </c>
      <c r="F365" s="13" t="s">
        <v>743</v>
      </c>
      <c r="G365" s="13" t="s">
        <v>11</v>
      </c>
      <c r="H365" s="13" t="s">
        <v>825</v>
      </c>
    </row>
    <row r="366" spans="1:8" x14ac:dyDescent="0.25">
      <c r="A366" t="s">
        <v>744</v>
      </c>
      <c r="B366" s="14" cm="1">
        <f t="array" ref="B366">_xll.GetPrice("FP-PNL-0477",,"Low",_SPECIFIEDvarPubDate,)</f>
        <v>1097</v>
      </c>
      <c r="C366" s="1">
        <f t="shared" si="15"/>
        <v>45849</v>
      </c>
      <c r="D366">
        <f t="shared" si="16"/>
        <v>2025</v>
      </c>
      <c r="E366">
        <f t="shared" si="17"/>
        <v>7</v>
      </c>
      <c r="F366" s="13" t="s">
        <v>745</v>
      </c>
      <c r="G366" s="13" t="s">
        <v>11</v>
      </c>
      <c r="H366" s="13" t="s">
        <v>825</v>
      </c>
    </row>
    <row r="367" spans="1:8" x14ac:dyDescent="0.25">
      <c r="A367" t="s">
        <v>746</v>
      </c>
      <c r="B367" s="14" cm="1">
        <f t="array" ref="B367">_xll.GetPrice("FP-PNL-0478",,"Low",_SPECIFIEDvarPubDate,)</f>
        <v>1316</v>
      </c>
      <c r="C367" s="1">
        <f t="shared" si="15"/>
        <v>45849</v>
      </c>
      <c r="D367">
        <f t="shared" si="16"/>
        <v>2025</v>
      </c>
      <c r="E367">
        <f t="shared" si="17"/>
        <v>7</v>
      </c>
      <c r="F367" s="13" t="s">
        <v>747</v>
      </c>
      <c r="G367" s="13" t="s">
        <v>11</v>
      </c>
      <c r="H367" s="13" t="s">
        <v>825</v>
      </c>
    </row>
    <row r="368" spans="1:8" x14ac:dyDescent="0.25">
      <c r="A368" t="s">
        <v>748</v>
      </c>
      <c r="B368" s="14" cm="1">
        <f t="array" ref="B368">_xll.GetPrice("FP-PNL-0479",,"Low",_SPECIFIEDvarPubDate,)</f>
        <v>1977</v>
      </c>
      <c r="C368" s="1">
        <f t="shared" si="15"/>
        <v>45849</v>
      </c>
      <c r="D368">
        <f t="shared" si="16"/>
        <v>2025</v>
      </c>
      <c r="E368">
        <f t="shared" si="17"/>
        <v>7</v>
      </c>
      <c r="F368" s="13" t="s">
        <v>749</v>
      </c>
      <c r="G368" s="13" t="s">
        <v>11</v>
      </c>
      <c r="H368" s="13" t="s">
        <v>825</v>
      </c>
    </row>
    <row r="369" spans="1:8" x14ac:dyDescent="0.25">
      <c r="A369" t="s">
        <v>750</v>
      </c>
      <c r="B369" s="14" cm="1">
        <f t="array" ref="B369">_xll.GetPrice("FP-PNL-0338",,"Low",_SPECIFIEDvarPubDate,)</f>
        <v>651</v>
      </c>
      <c r="C369" s="1">
        <f t="shared" si="15"/>
        <v>45849</v>
      </c>
      <c r="D369">
        <f t="shared" si="16"/>
        <v>2025</v>
      </c>
      <c r="E369">
        <f t="shared" si="17"/>
        <v>7</v>
      </c>
      <c r="F369" s="13" t="s">
        <v>751</v>
      </c>
      <c r="G369" s="13" t="s">
        <v>11</v>
      </c>
      <c r="H369" s="13" t="s">
        <v>825</v>
      </c>
    </row>
    <row r="370" spans="1:8" x14ac:dyDescent="0.25">
      <c r="A370" t="s">
        <v>752</v>
      </c>
      <c r="B370" s="14" cm="1">
        <f t="array" ref="B370">_xll.GetPrice("FP-PNL-0480",,"Low",_SPECIFIEDvarPubDate,)</f>
        <v>868</v>
      </c>
      <c r="C370" s="1">
        <f t="shared" si="15"/>
        <v>45849</v>
      </c>
      <c r="D370">
        <f t="shared" si="16"/>
        <v>2025</v>
      </c>
      <c r="E370">
        <f t="shared" si="17"/>
        <v>7</v>
      </c>
      <c r="F370" s="13" t="s">
        <v>753</v>
      </c>
      <c r="G370" s="13" t="s">
        <v>11</v>
      </c>
      <c r="H370" s="13" t="s">
        <v>825</v>
      </c>
    </row>
    <row r="371" spans="1:8" x14ac:dyDescent="0.25">
      <c r="A371" t="s">
        <v>754</v>
      </c>
      <c r="B371" s="14" cm="1">
        <f t="array" ref="B371">_xll.GetPrice("FP-PNL-0481",,"Low",_SPECIFIEDvarPubDate,)</f>
        <v>1085</v>
      </c>
      <c r="C371" s="1">
        <f t="shared" si="15"/>
        <v>45849</v>
      </c>
      <c r="D371">
        <f t="shared" si="16"/>
        <v>2025</v>
      </c>
      <c r="E371">
        <f t="shared" si="17"/>
        <v>7</v>
      </c>
      <c r="F371" s="13" t="s">
        <v>755</v>
      </c>
      <c r="G371" s="13" t="s">
        <v>11</v>
      </c>
      <c r="H371" s="13" t="s">
        <v>825</v>
      </c>
    </row>
    <row r="372" spans="1:8" x14ac:dyDescent="0.25">
      <c r="A372" t="s">
        <v>756</v>
      </c>
      <c r="B372" s="14" cm="1">
        <f t="array" ref="B372">_xll.GetPrice("FP-PNL-0482",,"Low",_SPECIFIEDvarPubDate,)</f>
        <v>1302</v>
      </c>
      <c r="C372" s="1">
        <f t="shared" si="15"/>
        <v>45849</v>
      </c>
      <c r="D372">
        <f t="shared" si="16"/>
        <v>2025</v>
      </c>
      <c r="E372">
        <f t="shared" si="17"/>
        <v>7</v>
      </c>
      <c r="F372" s="13" t="s">
        <v>757</v>
      </c>
      <c r="G372" s="13" t="s">
        <v>11</v>
      </c>
      <c r="H372" s="13" t="s">
        <v>825</v>
      </c>
    </row>
    <row r="373" spans="1:8" x14ac:dyDescent="0.25">
      <c r="A373" t="s">
        <v>758</v>
      </c>
      <c r="B373" s="14" cm="1">
        <f t="array" ref="B373">_xll.GetPrice("FP-PNL-0483",,"Low",_SPECIFIEDvarPubDate,)</f>
        <v>1953</v>
      </c>
      <c r="C373" s="1">
        <f t="shared" si="15"/>
        <v>45849</v>
      </c>
      <c r="D373">
        <f t="shared" si="16"/>
        <v>2025</v>
      </c>
      <c r="E373">
        <f t="shared" si="17"/>
        <v>7</v>
      </c>
      <c r="F373" s="13" t="s">
        <v>759</v>
      </c>
      <c r="G373" s="13" t="s">
        <v>11</v>
      </c>
      <c r="H373" s="13" t="s">
        <v>825</v>
      </c>
    </row>
    <row r="374" spans="1:8" x14ac:dyDescent="0.25">
      <c r="A374" t="s">
        <v>760</v>
      </c>
      <c r="B374" s="14" cm="1">
        <f t="array" ref="B374">_xll.GetPrice("FP-PNL-0484",,"Low",_SPECIFIEDvarPubDate,)</f>
        <v>661</v>
      </c>
      <c r="C374" s="1">
        <f t="shared" si="15"/>
        <v>45849</v>
      </c>
      <c r="D374">
        <f t="shared" si="16"/>
        <v>2025</v>
      </c>
      <c r="E374">
        <f t="shared" si="17"/>
        <v>7</v>
      </c>
      <c r="F374" s="13" t="s">
        <v>761</v>
      </c>
      <c r="G374" s="13" t="s">
        <v>11</v>
      </c>
      <c r="H374" s="13" t="s">
        <v>825</v>
      </c>
    </row>
    <row r="375" spans="1:8" x14ac:dyDescent="0.25">
      <c r="A375" t="s">
        <v>762</v>
      </c>
      <c r="B375" s="14" cm="1">
        <f t="array" ref="B375">_xll.GetPrice("FP-PNL-0485",,"Low",_SPECIFIEDvarPubDate,)</f>
        <v>881</v>
      </c>
      <c r="C375" s="1">
        <f t="shared" ref="C375:C402" si="18">_SPECIFIEDvarPubDate</f>
        <v>45849</v>
      </c>
      <c r="D375">
        <f t="shared" ref="D375:D402" si="19">_SPECIFIEDvarYear</f>
        <v>2025</v>
      </c>
      <c r="E375">
        <f t="shared" ref="E375:E402" si="20">_SPECIFIEDvarMonth</f>
        <v>7</v>
      </c>
      <c r="F375" s="13" t="s">
        <v>763</v>
      </c>
      <c r="G375" s="13" t="s">
        <v>11</v>
      </c>
      <c r="H375" s="13" t="s">
        <v>825</v>
      </c>
    </row>
    <row r="376" spans="1:8" x14ac:dyDescent="0.25">
      <c r="A376" t="s">
        <v>764</v>
      </c>
      <c r="B376" s="14" cm="1">
        <f t="array" ref="B376">_xll.GetPrice("FP-PNL-0486",,"Low",_SPECIFIEDvarPubDate,)</f>
        <v>1102</v>
      </c>
      <c r="C376" s="1">
        <f t="shared" si="18"/>
        <v>45849</v>
      </c>
      <c r="D376">
        <f t="shared" si="19"/>
        <v>2025</v>
      </c>
      <c r="E376">
        <f t="shared" si="20"/>
        <v>7</v>
      </c>
      <c r="F376" s="13" t="s">
        <v>765</v>
      </c>
      <c r="G376" s="13" t="s">
        <v>11</v>
      </c>
      <c r="H376" s="13" t="s">
        <v>825</v>
      </c>
    </row>
    <row r="377" spans="1:8" x14ac:dyDescent="0.25">
      <c r="A377" t="s">
        <v>766</v>
      </c>
      <c r="B377" s="14" cm="1">
        <f t="array" ref="B377">_xll.GetPrice("FP-PNL-0487",,"Low",_SPECIFIEDvarPubDate,)</f>
        <v>1322</v>
      </c>
      <c r="C377" s="1">
        <f t="shared" si="18"/>
        <v>45849</v>
      </c>
      <c r="D377">
        <f t="shared" si="19"/>
        <v>2025</v>
      </c>
      <c r="E377">
        <f t="shared" si="20"/>
        <v>7</v>
      </c>
      <c r="F377" s="13" t="s">
        <v>767</v>
      </c>
      <c r="G377" s="13" t="s">
        <v>11</v>
      </c>
      <c r="H377" s="13" t="s">
        <v>825</v>
      </c>
    </row>
    <row r="378" spans="1:8" x14ac:dyDescent="0.25">
      <c r="A378" t="s">
        <v>768</v>
      </c>
      <c r="B378" s="14" cm="1">
        <f t="array" ref="B378">_xll.GetPrice("FP-PNL-0488",,"Low",_SPECIFIEDvarPubDate,)</f>
        <v>1980</v>
      </c>
      <c r="C378" s="1">
        <f t="shared" si="18"/>
        <v>45849</v>
      </c>
      <c r="D378">
        <f t="shared" si="19"/>
        <v>2025</v>
      </c>
      <c r="E378">
        <f t="shared" si="20"/>
        <v>7</v>
      </c>
      <c r="F378" s="13" t="s">
        <v>769</v>
      </c>
      <c r="G378" s="13" t="s">
        <v>11</v>
      </c>
      <c r="H378" s="13" t="s">
        <v>825</v>
      </c>
    </row>
    <row r="379" spans="1:8" x14ac:dyDescent="0.25">
      <c r="A379" t="s">
        <v>770</v>
      </c>
      <c r="B379" s="14" cm="1">
        <f t="array" ref="B379">_xll.GetPrice("FP-PNL-0489",,"Low",_SPECIFIEDvarPubDate,)</f>
        <v>686</v>
      </c>
      <c r="C379" s="1">
        <f t="shared" si="18"/>
        <v>45849</v>
      </c>
      <c r="D379">
        <f t="shared" si="19"/>
        <v>2025</v>
      </c>
      <c r="E379">
        <f t="shared" si="20"/>
        <v>7</v>
      </c>
      <c r="F379" s="13" t="s">
        <v>771</v>
      </c>
      <c r="G379" s="13" t="s">
        <v>11</v>
      </c>
      <c r="H379" s="13" t="s">
        <v>825</v>
      </c>
    </row>
    <row r="380" spans="1:8" x14ac:dyDescent="0.25">
      <c r="A380" t="s">
        <v>772</v>
      </c>
      <c r="B380" s="14" cm="1">
        <f t="array" ref="B380">_xll.GetPrice("FP-PNL-0490",,"Low",_SPECIFIEDvarPubDate,)</f>
        <v>915</v>
      </c>
      <c r="C380" s="1">
        <f t="shared" si="18"/>
        <v>45849</v>
      </c>
      <c r="D380">
        <f t="shared" si="19"/>
        <v>2025</v>
      </c>
      <c r="E380">
        <f t="shared" si="20"/>
        <v>7</v>
      </c>
      <c r="F380" s="13" t="s">
        <v>773</v>
      </c>
      <c r="G380" s="13" t="s">
        <v>11</v>
      </c>
      <c r="H380" s="13" t="s">
        <v>825</v>
      </c>
    </row>
    <row r="381" spans="1:8" x14ac:dyDescent="0.25">
      <c r="A381" t="s">
        <v>774</v>
      </c>
      <c r="B381" s="14" cm="1">
        <f t="array" ref="B381">_xll.GetPrice("FP-PNL-0491",,"Low",_SPECIFIEDvarPubDate,)</f>
        <v>1143</v>
      </c>
      <c r="C381" s="1">
        <f t="shared" si="18"/>
        <v>45849</v>
      </c>
      <c r="D381">
        <f t="shared" si="19"/>
        <v>2025</v>
      </c>
      <c r="E381">
        <f t="shared" si="20"/>
        <v>7</v>
      </c>
      <c r="F381" s="13" t="s">
        <v>775</v>
      </c>
      <c r="G381" s="13" t="s">
        <v>11</v>
      </c>
      <c r="H381" s="13" t="s">
        <v>825</v>
      </c>
    </row>
    <row r="382" spans="1:8" x14ac:dyDescent="0.25">
      <c r="A382" t="s">
        <v>776</v>
      </c>
      <c r="B382" s="14" cm="1">
        <f t="array" ref="B382">_xll.GetPrice("FP-PNL-0492",,"Low",_SPECIFIEDvarPubDate,)</f>
        <v>1372</v>
      </c>
      <c r="C382" s="1">
        <f t="shared" si="18"/>
        <v>45849</v>
      </c>
      <c r="D382">
        <f t="shared" si="19"/>
        <v>2025</v>
      </c>
      <c r="E382">
        <f t="shared" si="20"/>
        <v>7</v>
      </c>
      <c r="F382" s="13" t="s">
        <v>777</v>
      </c>
      <c r="G382" s="13" t="s">
        <v>11</v>
      </c>
      <c r="H382" s="13" t="s">
        <v>825</v>
      </c>
    </row>
    <row r="383" spans="1:8" x14ac:dyDescent="0.25">
      <c r="A383" t="s">
        <v>778</v>
      </c>
      <c r="B383" s="14" cm="1">
        <f t="array" ref="B383">_xll.GetPrice("FP-PNL-0493",,"Low",_SPECIFIEDvarPubDate,)</f>
        <v>2046</v>
      </c>
      <c r="C383" s="1">
        <f t="shared" si="18"/>
        <v>45849</v>
      </c>
      <c r="D383">
        <f t="shared" si="19"/>
        <v>2025</v>
      </c>
      <c r="E383">
        <f t="shared" si="20"/>
        <v>7</v>
      </c>
      <c r="F383" s="13" t="s">
        <v>779</v>
      </c>
      <c r="G383" s="13" t="s">
        <v>11</v>
      </c>
      <c r="H383" s="13" t="s">
        <v>825</v>
      </c>
    </row>
    <row r="384" spans="1:8" x14ac:dyDescent="0.25">
      <c r="A384" t="s">
        <v>780</v>
      </c>
      <c r="B384" s="14" cm="1">
        <f t="array" ref="B384">_xll.GetPrice("FP-PNL-0341",,"Low",_SPECIFIEDvarPubDate,)</f>
        <v>60</v>
      </c>
      <c r="C384" s="1">
        <f t="shared" si="18"/>
        <v>45849</v>
      </c>
      <c r="D384">
        <f t="shared" si="19"/>
        <v>2025</v>
      </c>
      <c r="E384">
        <f t="shared" si="20"/>
        <v>7</v>
      </c>
      <c r="F384" s="13" t="s">
        <v>781</v>
      </c>
      <c r="G384" s="13" t="s">
        <v>11</v>
      </c>
      <c r="H384" s="13" t="s">
        <v>825</v>
      </c>
    </row>
    <row r="385" spans="1:8" x14ac:dyDescent="0.25">
      <c r="A385" t="s">
        <v>782</v>
      </c>
      <c r="B385" s="14" cm="1">
        <f t="array" ref="B385">_xll.GetPrice("FP-PNL-0342",,"Low",_SPECIFIEDvarPubDate,)</f>
        <v>20</v>
      </c>
      <c r="C385" s="1">
        <f t="shared" si="18"/>
        <v>45849</v>
      </c>
      <c r="D385">
        <f t="shared" si="19"/>
        <v>2025</v>
      </c>
      <c r="E385">
        <f t="shared" si="20"/>
        <v>7</v>
      </c>
      <c r="F385" s="13" t="s">
        <v>783</v>
      </c>
      <c r="G385" s="13" t="s">
        <v>11</v>
      </c>
      <c r="H385" s="13" t="s">
        <v>825</v>
      </c>
    </row>
    <row r="386" spans="1:8" x14ac:dyDescent="0.25">
      <c r="A386" t="s">
        <v>784</v>
      </c>
      <c r="B386" s="14" cm="1">
        <f t="array" ref="B386">_xll.GetPrice("FP-PNL-0058",,"Low",_SPECIFIEDvarPubDate,)</f>
        <v>390</v>
      </c>
      <c r="C386" s="1">
        <f t="shared" si="18"/>
        <v>45849</v>
      </c>
      <c r="D386">
        <f t="shared" si="19"/>
        <v>2025</v>
      </c>
      <c r="E386">
        <f t="shared" si="20"/>
        <v>7</v>
      </c>
      <c r="F386" s="13" t="s">
        <v>785</v>
      </c>
      <c r="G386" s="13" t="s">
        <v>11</v>
      </c>
      <c r="H386" s="13" t="s">
        <v>825</v>
      </c>
    </row>
    <row r="387" spans="1:8" x14ac:dyDescent="0.25">
      <c r="A387" t="s">
        <v>786</v>
      </c>
      <c r="B387" s="14" cm="1">
        <f t="array" ref="B387">_xll.GetPrice("FP-PNL-0064",,"Low",_SPECIFIEDvarPubDate,)</f>
        <v>380</v>
      </c>
      <c r="C387" s="1">
        <f t="shared" si="18"/>
        <v>45849</v>
      </c>
      <c r="D387">
        <f t="shared" si="19"/>
        <v>2025</v>
      </c>
      <c r="E387">
        <f t="shared" si="20"/>
        <v>7</v>
      </c>
      <c r="F387" s="13" t="s">
        <v>787</v>
      </c>
      <c r="G387" s="13" t="s">
        <v>11</v>
      </c>
      <c r="H387" s="13" t="s">
        <v>825</v>
      </c>
    </row>
    <row r="388" spans="1:8" x14ac:dyDescent="0.25">
      <c r="A388" t="s">
        <v>788</v>
      </c>
      <c r="B388" s="14" cm="1">
        <f t="array" ref="B388">_xll.GetPrice("FP-PNL-0503",,"Low",_SPECIFIEDvarPubDate,)</f>
        <v>676</v>
      </c>
      <c r="C388" s="1">
        <f t="shared" si="18"/>
        <v>45849</v>
      </c>
      <c r="D388">
        <f t="shared" si="19"/>
        <v>2025</v>
      </c>
      <c r="E388">
        <f t="shared" si="20"/>
        <v>7</v>
      </c>
      <c r="F388" s="13" t="s">
        <v>789</v>
      </c>
      <c r="G388" s="13" t="s">
        <v>11</v>
      </c>
      <c r="H388" s="13" t="s">
        <v>825</v>
      </c>
    </row>
    <row r="389" spans="1:8" x14ac:dyDescent="0.25">
      <c r="A389" t="s">
        <v>790</v>
      </c>
      <c r="B389" s="14" cm="1">
        <f t="array" ref="B389">_xll.GetPrice("FP-PNL-0503",,"Low",_SPECIFIEDvarPubDate,)</f>
        <v>676</v>
      </c>
      <c r="C389" s="1">
        <f t="shared" si="18"/>
        <v>45849</v>
      </c>
      <c r="D389">
        <f t="shared" si="19"/>
        <v>2025</v>
      </c>
      <c r="E389">
        <f t="shared" si="20"/>
        <v>7</v>
      </c>
      <c r="F389" s="13" t="s">
        <v>789</v>
      </c>
      <c r="G389" s="13" t="s">
        <v>11</v>
      </c>
      <c r="H389" s="13" t="s">
        <v>825</v>
      </c>
    </row>
    <row r="390" spans="1:8" x14ac:dyDescent="0.25">
      <c r="A390" t="s">
        <v>791</v>
      </c>
      <c r="B390" s="14" cm="1">
        <f t="array" ref="B390">_xll.GetPrice("FP-PNL-0503",,"Low",_SPECIFIEDvarPrvYearDate,)</f>
        <v>677</v>
      </c>
      <c r="C390" s="1">
        <f t="shared" si="18"/>
        <v>45849</v>
      </c>
      <c r="D390">
        <f t="shared" si="19"/>
        <v>2025</v>
      </c>
      <c r="E390">
        <f t="shared" si="20"/>
        <v>7</v>
      </c>
      <c r="F390" s="13" t="s">
        <v>789</v>
      </c>
      <c r="G390" s="13" t="s">
        <v>11</v>
      </c>
      <c r="H390" s="13" t="s">
        <v>827</v>
      </c>
    </row>
    <row r="391" spans="1:8" x14ac:dyDescent="0.25">
      <c r="A391" t="s">
        <v>792</v>
      </c>
      <c r="B391" s="14" cm="1">
        <f t="array" ref="B391">_xll.GetPrice("FP-PNL-0494",,"Low",_SPECIFIEDvarPubDate,)</f>
        <v>696</v>
      </c>
      <c r="C391" s="1">
        <f t="shared" si="18"/>
        <v>45849</v>
      </c>
      <c r="D391">
        <f t="shared" si="19"/>
        <v>2025</v>
      </c>
      <c r="E391">
        <f t="shared" si="20"/>
        <v>7</v>
      </c>
      <c r="F391" s="13" t="s">
        <v>793</v>
      </c>
      <c r="G391" s="13" t="s">
        <v>11</v>
      </c>
      <c r="H391" s="13" t="s">
        <v>825</v>
      </c>
    </row>
    <row r="392" spans="1:8" x14ac:dyDescent="0.25">
      <c r="A392" t="s">
        <v>794</v>
      </c>
      <c r="B392" s="14" cm="1">
        <f t="array" ref="B392">_xll.GetPrice("FP-PNL-0495",,"Low",_SPECIFIEDvarPubDate,)</f>
        <v>928</v>
      </c>
      <c r="C392" s="1">
        <f t="shared" si="18"/>
        <v>45849</v>
      </c>
      <c r="D392">
        <f t="shared" si="19"/>
        <v>2025</v>
      </c>
      <c r="E392">
        <f t="shared" si="20"/>
        <v>7</v>
      </c>
      <c r="F392" s="13" t="s">
        <v>795</v>
      </c>
      <c r="G392" s="13" t="s">
        <v>11</v>
      </c>
      <c r="H392" s="13" t="s">
        <v>825</v>
      </c>
    </row>
    <row r="393" spans="1:8" x14ac:dyDescent="0.25">
      <c r="A393" t="s">
        <v>796</v>
      </c>
      <c r="B393" s="14" cm="1">
        <f t="array" ref="B393">_xll.GetPrice("FP-PNL-0496",,"Low",_SPECIFIEDvarPubDate,)</f>
        <v>1160</v>
      </c>
      <c r="C393" s="1">
        <f t="shared" si="18"/>
        <v>45849</v>
      </c>
      <c r="D393">
        <f t="shared" si="19"/>
        <v>2025</v>
      </c>
      <c r="E393">
        <f t="shared" si="20"/>
        <v>7</v>
      </c>
      <c r="F393" s="13" t="s">
        <v>797</v>
      </c>
      <c r="G393" s="13" t="s">
        <v>11</v>
      </c>
      <c r="H393" s="13" t="s">
        <v>825</v>
      </c>
    </row>
    <row r="394" spans="1:8" x14ac:dyDescent="0.25">
      <c r="A394" t="s">
        <v>798</v>
      </c>
      <c r="B394" s="14" cm="1">
        <f t="array" ref="B394">_xll.GetPrice("FP-PNL-0497",,"Low",_SPECIFIEDvarPubDate,)</f>
        <v>1392</v>
      </c>
      <c r="C394" s="1">
        <f t="shared" si="18"/>
        <v>45849</v>
      </c>
      <c r="D394">
        <f t="shared" si="19"/>
        <v>2025</v>
      </c>
      <c r="E394">
        <f t="shared" si="20"/>
        <v>7</v>
      </c>
      <c r="F394" s="13" t="s">
        <v>799</v>
      </c>
      <c r="G394" s="13" t="s">
        <v>11</v>
      </c>
      <c r="H394" s="13" t="s">
        <v>825</v>
      </c>
    </row>
    <row r="395" spans="1:8" x14ac:dyDescent="0.25">
      <c r="A395" t="s">
        <v>800</v>
      </c>
      <c r="B395" s="14" cm="1">
        <f t="array" ref="B395">_xll.GetPrice("FP-PNL-0498",,"Low",_SPECIFIEDvarPubDate,)</f>
        <v>2073</v>
      </c>
      <c r="C395" s="1">
        <f t="shared" si="18"/>
        <v>45849</v>
      </c>
      <c r="D395">
        <f t="shared" si="19"/>
        <v>2025</v>
      </c>
      <c r="E395">
        <f t="shared" si="20"/>
        <v>7</v>
      </c>
      <c r="F395" s="13" t="s">
        <v>801</v>
      </c>
      <c r="G395" s="13" t="s">
        <v>11</v>
      </c>
      <c r="H395" s="13" t="s">
        <v>825</v>
      </c>
    </row>
    <row r="396" spans="1:8" x14ac:dyDescent="0.25">
      <c r="A396" t="s">
        <v>802</v>
      </c>
      <c r="B396" s="14" cm="1">
        <f t="array" ref="B396">_xll.GetPrice("FP-PNL-0103",,"Low",_SPECIFIEDvarPubDate,)</f>
        <v>382</v>
      </c>
      <c r="C396" s="1">
        <f t="shared" si="18"/>
        <v>45849</v>
      </c>
      <c r="D396">
        <f t="shared" si="19"/>
        <v>2025</v>
      </c>
      <c r="E396">
        <f t="shared" si="20"/>
        <v>7</v>
      </c>
      <c r="F396" s="13" t="s">
        <v>803</v>
      </c>
      <c r="G396" s="13" t="s">
        <v>11</v>
      </c>
      <c r="H396" s="13" t="s">
        <v>825</v>
      </c>
    </row>
    <row r="397" spans="1:8" x14ac:dyDescent="0.25">
      <c r="A397" t="s">
        <v>804</v>
      </c>
      <c r="B397" s="14" cm="1">
        <f t="array" ref="B397">_xll.GetPrice("FP-PNL-0104",,"Low",_SPECIFIEDvarPubDate,)</f>
        <v>382</v>
      </c>
      <c r="C397" s="1">
        <f t="shared" si="18"/>
        <v>45849</v>
      </c>
      <c r="D397">
        <f t="shared" si="19"/>
        <v>2025</v>
      </c>
      <c r="E397">
        <f t="shared" si="20"/>
        <v>7</v>
      </c>
      <c r="F397" s="13" t="s">
        <v>805</v>
      </c>
      <c r="G397" s="13" t="s">
        <v>11</v>
      </c>
      <c r="H397" s="13" t="s">
        <v>825</v>
      </c>
    </row>
    <row r="398" spans="1:8" x14ac:dyDescent="0.25">
      <c r="A398" t="s">
        <v>806</v>
      </c>
      <c r="B398" s="14" cm="1">
        <f t="array" ref="B398">_xll.GetPrice("FP-PNL-0105",,"Low",_SPECIFIEDvarPubDate,)</f>
        <v>407</v>
      </c>
      <c r="C398" s="1">
        <f t="shared" si="18"/>
        <v>45849</v>
      </c>
      <c r="D398">
        <f t="shared" si="19"/>
        <v>2025</v>
      </c>
      <c r="E398">
        <f t="shared" si="20"/>
        <v>7</v>
      </c>
      <c r="F398" s="13" t="s">
        <v>807</v>
      </c>
      <c r="G398" s="13" t="s">
        <v>11</v>
      </c>
      <c r="H398" s="13" t="s">
        <v>825</v>
      </c>
    </row>
    <row r="399" spans="1:8" x14ac:dyDescent="0.25">
      <c r="A399" t="s">
        <v>808</v>
      </c>
      <c r="B399" s="14" cm="1">
        <f t="array" ref="B399">_xll.GetPrice("FP-PNL-0106",,"Low",_SPECIFIEDvarPubDate,)</f>
        <v>427</v>
      </c>
      <c r="C399" s="1">
        <f t="shared" si="18"/>
        <v>45849</v>
      </c>
      <c r="D399">
        <f t="shared" si="19"/>
        <v>2025</v>
      </c>
      <c r="E399">
        <f t="shared" si="20"/>
        <v>7</v>
      </c>
      <c r="F399" s="13" t="s">
        <v>809</v>
      </c>
      <c r="G399" s="13" t="s">
        <v>11</v>
      </c>
      <c r="H399" s="13" t="s">
        <v>825</v>
      </c>
    </row>
    <row r="400" spans="1:8" x14ac:dyDescent="0.25">
      <c r="A400" t="s">
        <v>810</v>
      </c>
      <c r="B400" s="14" cm="1">
        <f t="array" ref="B400">_xll.GetPrice("FP-PNL-0107",,"Low",_SPECIFIEDvarPubDate,)</f>
        <v>579</v>
      </c>
      <c r="C400" s="1">
        <f t="shared" si="18"/>
        <v>45849</v>
      </c>
      <c r="D400">
        <f t="shared" si="19"/>
        <v>2025</v>
      </c>
      <c r="E400">
        <f t="shared" si="20"/>
        <v>7</v>
      </c>
      <c r="F400" s="13" t="s">
        <v>811</v>
      </c>
      <c r="G400" s="13" t="s">
        <v>11</v>
      </c>
      <c r="H400" s="13" t="s">
        <v>825</v>
      </c>
    </row>
    <row r="401" spans="1:8" x14ac:dyDescent="0.25">
      <c r="A401" t="s">
        <v>812</v>
      </c>
      <c r="B401" s="14" cm="1">
        <f t="array" ref="B401">_xll.GetPrice("FP-PNL-0108",,"Low",_SPECIFIEDvarPubDate,)</f>
        <v>684</v>
      </c>
      <c r="C401" s="1">
        <f t="shared" si="18"/>
        <v>45849</v>
      </c>
      <c r="D401">
        <f t="shared" si="19"/>
        <v>2025</v>
      </c>
      <c r="E401">
        <f t="shared" si="20"/>
        <v>7</v>
      </c>
      <c r="F401" s="13" t="s">
        <v>813</v>
      </c>
      <c r="G401" s="13" t="s">
        <v>11</v>
      </c>
      <c r="H401" s="13" t="s">
        <v>825</v>
      </c>
    </row>
    <row r="402" spans="1:8" x14ac:dyDescent="0.25">
      <c r="A402" t="s">
        <v>814</v>
      </c>
      <c r="B402" s="14" cm="1">
        <f t="array" ref="B402">_xll.GetPrice("FP-PNL-0340",,"Low",_SPECIFIEDvarPubDate,)</f>
        <v>20</v>
      </c>
      <c r="C402" s="1">
        <f t="shared" si="18"/>
        <v>45849</v>
      </c>
      <c r="D402">
        <f t="shared" si="19"/>
        <v>2025</v>
      </c>
      <c r="E402">
        <f t="shared" si="20"/>
        <v>7</v>
      </c>
      <c r="F402" s="13" t="s">
        <v>815</v>
      </c>
      <c r="G402" s="13" t="s">
        <v>11</v>
      </c>
      <c r="H402" s="13" t="s">
        <v>825</v>
      </c>
    </row>
  </sheetData>
  <autoFilter ref="A1:H402" xr:uid="{59DE462A-934F-4646-B04F-BB31950723E8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7BFD7DDE2EAE49AAC78A68AB7AA4C6" ma:contentTypeVersion="18" ma:contentTypeDescription="Create a new document." ma:contentTypeScope="" ma:versionID="f204cc806845aa2af1fdfa580804559a">
  <xsd:schema xmlns:xsd="http://www.w3.org/2001/XMLSchema" xmlns:xs="http://www.w3.org/2001/XMLSchema" xmlns:p="http://schemas.microsoft.com/office/2006/metadata/properties" xmlns:ns2="37a4200c-0ed5-4d27-bdfb-343e8c4f4810" xmlns:ns3="de5281ab-0e43-4ae6-a18f-9b82c26df0e2" targetNamespace="http://schemas.microsoft.com/office/2006/metadata/properties" ma:root="true" ma:fieldsID="613ec300197912e5dd627532e1197081" ns2:_="" ns3:_="">
    <xsd:import namespace="37a4200c-0ed5-4d27-bdfb-343e8c4f4810"/>
    <xsd:import namespace="de5281ab-0e43-4ae6-a18f-9b82c26df0e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a4200c-0ed5-4d27-bdfb-343e8c4f48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7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LengthInSeconds" ma:index="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5281ab-0e43-4ae6-a18f-9b82c26df0e2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0C239B-DF0E-45A0-9B98-A9831E9B268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0F5F4E0-1BB4-40D4-B471-1A4CCE51C1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7a4200c-0ed5-4d27-bdfb-343e8c4f4810"/>
    <ds:schemaRef ds:uri="de5281ab-0e43-4ae6-a18f-9b82c26df0e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16EB76E-1082-4E6B-AB52-19B7130888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10</vt:i4>
      </vt:variant>
    </vt:vector>
  </HeadingPairs>
  <TitlesOfParts>
    <vt:vector size="13" baseType="lpstr">
      <vt:lpstr>Panel Assessments-Latest price</vt:lpstr>
      <vt:lpstr>Panel Assessments-Specify date</vt:lpstr>
      <vt:lpstr>Panel Assessments-SpecificDate</vt:lpstr>
      <vt:lpstr>'Panel Assessments-SpecificDate'!_SPECIFIEDvarMonth</vt:lpstr>
      <vt:lpstr>'Panel Assessments-Specify date'!_SPECIFIEDvarMonth</vt:lpstr>
      <vt:lpstr>'Panel Assessments-SpecificDate'!_SPECIFIEDvarPrvWeekDate</vt:lpstr>
      <vt:lpstr>'Panel Assessments-Specify date'!_SPECIFIEDvarPrvWeekDate</vt:lpstr>
      <vt:lpstr>'Panel Assessments-SpecificDate'!_SPECIFIEDvarPrvYearDate</vt:lpstr>
      <vt:lpstr>'Panel Assessments-Specify date'!_SPECIFIEDvarPrvYearDate</vt:lpstr>
      <vt:lpstr>'Panel Assessments-SpecificDate'!_SPECIFIEDvarPubDate</vt:lpstr>
      <vt:lpstr>'Panel Assessments-Specify date'!_SPECIFIEDvarPubDate</vt:lpstr>
      <vt:lpstr>'Panel Assessments-SpecificDate'!_SPECIFIEDvarYear</vt:lpstr>
      <vt:lpstr>'Panel Assessments-Specify date'!_SPECIFIEDvarYear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Zheng, Vivien (US)</dc:creator>
  <cp:keywords/>
  <dc:description/>
  <cp:lastModifiedBy>Fitzgerald, Amber (UK)</cp:lastModifiedBy>
  <cp:revision/>
  <dcterms:created xsi:type="dcterms:W3CDTF">2015-06-05T18:17:20Z</dcterms:created>
  <dcterms:modified xsi:type="dcterms:W3CDTF">2025-07-15T13:16:51Z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0x0101002E7BFD7DDE2EAE49AAC78A68AB7AA4C6</vt:lpwstr>
  </property>
  <property fmtid="{D5CDD505-2E9C-101B-9397-08002B2CF9AE}" pid="3" name="Order">
    <vt:r8>16700</vt:r8>
  </property>
  <property fmtid="{D5CDD505-2E9C-101B-9397-08002B2CF9AE}" pid="4" name="_ExtendedDescription">
    <vt:lpwstr/>
  </property>
</Properties>
</file>