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fmpra-my.sharepoint.com/personal/amber_fitzgerald_fastmarkets_com/Documents/Desktop/Changes/Random Lengths/2025/2025 open consultation/xls and dbf files/Live versions/updated files for July 2025/"/>
    </mc:Choice>
  </mc:AlternateContent>
  <xr:revisionPtr revIDLastSave="23" documentId="8_{609E8F16-AD2E-4618-9A33-D40C41546461}" xr6:coauthVersionLast="47" xr6:coauthVersionMax="47" xr10:uidLastSave="{BF35931B-A0DE-4E89-AE22-86D256EB9805}"/>
  <bookViews>
    <workbookView xWindow="28680" yWindow="-120" windowWidth="29040" windowHeight="15720" tabRatio="518" xr2:uid="{00000000-000D-0000-FFFF-FFFF00000000}"/>
  </bookViews>
  <sheets>
    <sheet name="Panel assessments-Latest price" sheetId="9" r:id="rId1"/>
    <sheet name="Panel assessments-Specific date" sheetId="8" r:id="rId2"/>
  </sheets>
  <definedNames>
    <definedName name="__Comp" localSheetId="0">'Panel assessments-Latest price'!$A$301</definedName>
    <definedName name="__Comp">'Panel assessments-Specific date'!$A$301</definedName>
    <definedName name="__RptP12" localSheetId="0">'Panel assessments-Latest price'!$A$101</definedName>
    <definedName name="__RptP12">'Panel assessments-Specific date'!$A$101</definedName>
    <definedName name="__RptP13" localSheetId="0">'Panel assessments-Latest price'!$A$201</definedName>
    <definedName name="__RptP13">'Panel assessments-Specific date'!$A$201</definedName>
    <definedName name="_LATESTvarPrvWk" localSheetId="0">'Panel assessments-Latest price'!$G$22</definedName>
    <definedName name="_LATESTvarPrvYr" localSheetId="0">'Panel assessments-Latest price'!$I$22</definedName>
    <definedName name="_LATESTvarPrvYrWithMid" localSheetId="0">'Panel assessments-Latest price'!$K$22</definedName>
    <definedName name="_LATESTvarPrvYrWithMidPrvDate" localSheetId="0">'Panel assessments-Latest price'!$M$22</definedName>
    <definedName name="_LATESTvarPubDate" localSheetId="0">'Panel assessments-Latest price'!$B$22</definedName>
    <definedName name="_SPECIFICvarPrvWk">'Panel assessments-Specific date'!$G$22</definedName>
    <definedName name="_SPECIFICvarPrvYr">'Panel assessments-Specific date'!$I$22</definedName>
    <definedName name="_SPECIFICvarPrvYrWithMid">'Panel assessments-Specific date'!$K$22</definedName>
    <definedName name="_SPECIFICvarPrvYrWithMidPrvDate">'Panel assessments-Specific date'!$M$22</definedName>
    <definedName name="_SPECIFICvarPubDate">'Panel assessments-Specific date'!$B$22</definedName>
    <definedName name="PAAB" localSheetId="0">'Panel assessments-Latest price'!$L$109</definedName>
    <definedName name="PAAB">'Panel assessments-Specific date'!$L$109</definedName>
    <definedName name="PAAC" localSheetId="0">'Panel assessments-Latest price'!$L$110</definedName>
    <definedName name="PAAC">'Panel assessments-Specific date'!$L$110</definedName>
    <definedName name="PAAD" localSheetId="0">'Panel assessments-Latest price'!$L$111</definedName>
    <definedName name="PAAD">'Panel assessments-Specific date'!$L$111</definedName>
    <definedName name="PAAE" localSheetId="0">'Panel assessments-Latest price'!$L$112</definedName>
    <definedName name="PAAE">'Panel assessments-Specific date'!$L$112</definedName>
    <definedName name="PAAF" localSheetId="0">'Panel assessments-Latest price'!$L$113</definedName>
    <definedName name="PAAF">'Panel assessments-Specific date'!$L$113</definedName>
    <definedName name="PAAG" localSheetId="0">'Panel assessments-Latest price'!$L$119</definedName>
    <definedName name="PAAG">'Panel assessments-Specific date'!$L$119</definedName>
    <definedName name="PAAH" localSheetId="0">'Panel assessments-Latest price'!$L$120</definedName>
    <definedName name="PAAH">'Panel assessments-Specific date'!$L$120</definedName>
    <definedName name="PAAI" localSheetId="0">'Panel assessments-Latest price'!$L$121</definedName>
    <definedName name="PAAI">'Panel assessments-Specific date'!$L$121</definedName>
    <definedName name="PAAJ" localSheetId="0">'Panel assessments-Latest price'!$L$122</definedName>
    <definedName name="PAAJ">'Panel assessments-Specific date'!$L$122</definedName>
    <definedName name="PAAK" localSheetId="0">'Panel assessments-Latest price'!$L$123</definedName>
    <definedName name="PAAK">'Panel assessments-Specific date'!$L$123</definedName>
    <definedName name="PAAL" localSheetId="0">'Panel assessments-Latest price'!$L$127</definedName>
    <definedName name="PAAL">'Panel assessments-Specific date'!$L$127</definedName>
    <definedName name="PAAM" localSheetId="0">'Panel assessments-Latest price'!$L$128</definedName>
    <definedName name="PAAM">'Panel assessments-Specific date'!$L$128</definedName>
    <definedName name="PAAN" localSheetId="0">'Panel assessments-Latest price'!$L$129</definedName>
    <definedName name="PAAN">'Panel assessments-Specific date'!$L$129</definedName>
    <definedName name="PAAO" localSheetId="0">'Panel assessments-Latest price'!$L$131</definedName>
    <definedName name="PAAO">'Panel assessments-Specific date'!$L$131</definedName>
    <definedName name="PAAP" localSheetId="0">'Panel assessments-Latest price'!$L$132</definedName>
    <definedName name="PAAP">'Panel assessments-Specific date'!$L$132</definedName>
    <definedName name="PAAR" localSheetId="0">'Panel assessments-Latest price'!$B$109</definedName>
    <definedName name="PAAR">'Panel assessments-Specific date'!$B$109</definedName>
    <definedName name="PAAS" localSheetId="0">'Panel assessments-Latest price'!$B$110</definedName>
    <definedName name="PAAS">'Panel assessments-Specific date'!$B$110</definedName>
    <definedName name="PAAT" localSheetId="0">'Panel assessments-Latest price'!$B$111</definedName>
    <definedName name="PAAT">'Panel assessments-Specific date'!$B$111</definedName>
    <definedName name="PAAU" localSheetId="0">'Panel assessments-Latest price'!$B$112</definedName>
    <definedName name="PAAU">'Panel assessments-Specific date'!$B$112</definedName>
    <definedName name="PAAV" localSheetId="0">'Panel assessments-Latest price'!$B$113</definedName>
    <definedName name="PAAV">'Panel assessments-Specific date'!$B$113</definedName>
    <definedName name="PAAW" localSheetId="0">'Panel assessments-Latest price'!$B$114</definedName>
    <definedName name="PAAW">'Panel assessments-Specific date'!$B$114</definedName>
    <definedName name="PAAX" localSheetId="0">'Panel assessments-Latest price'!$B$119</definedName>
    <definedName name="PAAX">'Panel assessments-Specific date'!$B$119</definedName>
    <definedName name="PAAY" localSheetId="0">'Panel assessments-Latest price'!$B$120</definedName>
    <definedName name="PAAY">'Panel assessments-Specific date'!$B$120</definedName>
    <definedName name="PAAZ" localSheetId="0">'Panel assessments-Latest price'!$B$121</definedName>
    <definedName name="PAAZ">'Panel assessments-Specific date'!$B$121</definedName>
    <definedName name="PABA" localSheetId="0">'Panel assessments-Latest price'!$B$122</definedName>
    <definedName name="PABA">'Panel assessments-Specific date'!$B$122</definedName>
    <definedName name="PABB" localSheetId="0">'Panel assessments-Latest price'!$B$123</definedName>
    <definedName name="PABB">'Panel assessments-Specific date'!$B$123</definedName>
    <definedName name="PABC" localSheetId="0">'Panel assessments-Latest price'!$B$124</definedName>
    <definedName name="PABC">'Panel assessments-Specific date'!$B$124</definedName>
    <definedName name="PABD" localSheetId="0">'Panel assessments-Latest price'!$B$125</definedName>
    <definedName name="PABD">'Panel assessments-Specific date'!$B$125</definedName>
    <definedName name="PABE" localSheetId="0">'Panel assessments-Latest price'!$B$209</definedName>
    <definedName name="PABE">'Panel assessments-Specific date'!$B$209</definedName>
    <definedName name="PABG" localSheetId="0">'Panel assessments-Latest price'!$M$111</definedName>
    <definedName name="PABG">'Panel assessments-Specific date'!$M$111</definedName>
    <definedName name="PABH" localSheetId="0">'Panel assessments-Latest price'!$M$112</definedName>
    <definedName name="PABH">'Panel assessments-Specific date'!$M$112</definedName>
    <definedName name="PABI" localSheetId="0">'Panel assessments-Latest price'!$M$119</definedName>
    <definedName name="PABI">'Panel assessments-Specific date'!$M$119</definedName>
    <definedName name="PABJ" localSheetId="0">'Panel assessments-Latest price'!$M$120</definedName>
    <definedName name="PABJ">'Panel assessments-Specific date'!$M$120</definedName>
    <definedName name="PABK" localSheetId="0">'Panel assessments-Latest price'!$M$121</definedName>
    <definedName name="PABK">'Panel assessments-Specific date'!$M$121</definedName>
    <definedName name="PABL" localSheetId="0">'Panel assessments-Latest price'!$M$122</definedName>
    <definedName name="PABL">'Panel assessments-Specific date'!$M$122</definedName>
    <definedName name="PABM" localSheetId="0">'Panel assessments-Latest price'!$M$123</definedName>
    <definedName name="PABM">'Panel assessments-Specific date'!$M$123</definedName>
    <definedName name="PABW" localSheetId="0">'Panel assessments-Latest price'!$C$119</definedName>
    <definedName name="PABW">'Panel assessments-Specific date'!$C$119</definedName>
    <definedName name="PABX" localSheetId="0">'Panel assessments-Latest price'!$C$120</definedName>
    <definedName name="PABX">'Panel assessments-Specific date'!$C$120</definedName>
    <definedName name="PABY" localSheetId="0">'Panel assessments-Latest price'!$C$121</definedName>
    <definedName name="PABY">'Panel assessments-Specific date'!$C$121</definedName>
    <definedName name="PABZ" localSheetId="0">'Panel assessments-Latest price'!$C$122</definedName>
    <definedName name="PABZ">'Panel assessments-Specific date'!$C$122</definedName>
    <definedName name="PACA" localSheetId="0">'Panel assessments-Latest price'!$C$123</definedName>
    <definedName name="PACA">'Panel assessments-Specific date'!$C$123</definedName>
    <definedName name="PACB" localSheetId="0">'Panel assessments-Latest price'!$C$124</definedName>
    <definedName name="PACB">'Panel assessments-Specific date'!$C$124</definedName>
    <definedName name="PACC" localSheetId="0">'Panel assessments-Latest price'!$C$125</definedName>
    <definedName name="PACC">'Panel assessments-Specific date'!$C$125</definedName>
    <definedName name="PACD" localSheetId="0">'Panel assessments-Latest price'!$C$209</definedName>
    <definedName name="PACD">'Panel assessments-Specific date'!$C$209</definedName>
    <definedName name="PACL" localSheetId="0">'Panel assessments-Latest price'!$N$119</definedName>
    <definedName name="PACL">'Panel assessments-Specific date'!$N$119</definedName>
    <definedName name="PACM" localSheetId="0">'Panel assessments-Latest price'!$N$120</definedName>
    <definedName name="PACM">'Panel assessments-Specific date'!$N$120</definedName>
    <definedName name="PACN" localSheetId="0">'Panel assessments-Latest price'!$N$121</definedName>
    <definedName name="PACN">'Panel assessments-Specific date'!$N$121</definedName>
    <definedName name="PACO" localSheetId="0">'Panel assessments-Latest price'!$N$122</definedName>
    <definedName name="PACO">'Panel assessments-Specific date'!$N$122</definedName>
    <definedName name="PACP" localSheetId="0">'Panel assessments-Latest price'!$N$123</definedName>
    <definedName name="PACP">'Panel assessments-Specific date'!$N$123</definedName>
    <definedName name="PACR" localSheetId="0">'Panel assessments-Latest price'!$E$109</definedName>
    <definedName name="PACR">'Panel assessments-Specific date'!$E$109</definedName>
    <definedName name="PACS" localSheetId="0">'Panel assessments-Latest price'!$E$110</definedName>
    <definedName name="PACS">'Panel assessments-Specific date'!$E$110</definedName>
    <definedName name="PACT" localSheetId="0">'Panel assessments-Latest price'!$E$111</definedName>
    <definedName name="PACT">'Panel assessments-Specific date'!$E$111</definedName>
    <definedName name="PACU" localSheetId="0">'Panel assessments-Latest price'!$E$112</definedName>
    <definedName name="PACU">'Panel assessments-Specific date'!$E$112</definedName>
    <definedName name="PACV" localSheetId="0">'Panel assessments-Latest price'!$E$113</definedName>
    <definedName name="PACV">'Panel assessments-Specific date'!$E$113</definedName>
    <definedName name="PACW" localSheetId="0">'Panel assessments-Latest price'!$E$114</definedName>
    <definedName name="PACW">'Panel assessments-Specific date'!$E$114</definedName>
    <definedName name="PACX" localSheetId="0">'Panel assessments-Latest price'!$D$119</definedName>
    <definedName name="PACX">'Panel assessments-Specific date'!$D$119</definedName>
    <definedName name="PACY" localSheetId="0">'Panel assessments-Latest price'!$D$120</definedName>
    <definedName name="PACY">'Panel assessments-Specific date'!$D$120</definedName>
    <definedName name="PACZ" localSheetId="0">'Panel assessments-Latest price'!$D$121</definedName>
    <definedName name="PACZ">'Panel assessments-Specific date'!$D$121</definedName>
    <definedName name="PADA" localSheetId="0">'Panel assessments-Latest price'!$D$122</definedName>
    <definedName name="PADA">'Panel assessments-Specific date'!$D$122</definedName>
    <definedName name="PADB" localSheetId="0">'Panel assessments-Latest price'!$D$123</definedName>
    <definedName name="PADB">'Panel assessments-Specific date'!$D$123</definedName>
    <definedName name="PADC" localSheetId="0">'Panel assessments-Latest price'!$D$124</definedName>
    <definedName name="PADC">'Panel assessments-Specific date'!$D$124</definedName>
    <definedName name="PADD" localSheetId="0">'Panel assessments-Latest price'!$D$125</definedName>
    <definedName name="PADD">'Panel assessments-Specific date'!$D$125</definedName>
    <definedName name="PADE" localSheetId="0">'Panel assessments-Latest price'!$D$209</definedName>
    <definedName name="PADE">'Panel assessments-Specific date'!$D$209</definedName>
    <definedName name="PADH" localSheetId="0">'Panel assessments-Latest price'!$N$109</definedName>
    <definedName name="PADH">'Panel assessments-Specific date'!$N$109</definedName>
    <definedName name="PADI" localSheetId="0">'Panel assessments-Latest price'!$N$111</definedName>
    <definedName name="PADI">'Panel assessments-Specific date'!$N$111</definedName>
    <definedName name="PADJ" localSheetId="0">'Panel assessments-Latest price'!$N$112</definedName>
    <definedName name="PADJ">'Panel assessments-Specific date'!$N$112</definedName>
    <definedName name="PADK" localSheetId="0">'Panel assessments-Latest price'!$N$113</definedName>
    <definedName name="PADK">'Panel assessments-Specific date'!$N$113</definedName>
    <definedName name="PADL" localSheetId="0">'Panel assessments-Latest price'!$O$119</definedName>
    <definedName name="PADL">'Panel assessments-Specific date'!$O$119</definedName>
    <definedName name="PADM" localSheetId="0">'Panel assessments-Latest price'!$O$120</definedName>
    <definedName name="PADM">'Panel assessments-Specific date'!$O$120</definedName>
    <definedName name="PADN" localSheetId="0">'Panel assessments-Latest price'!$O$121</definedName>
    <definedName name="PADN">'Panel assessments-Specific date'!$O$121</definedName>
    <definedName name="PADO" localSheetId="0">'Panel assessments-Latest price'!$O$122</definedName>
    <definedName name="PADO">'Panel assessments-Specific date'!$O$122</definedName>
    <definedName name="PADP" localSheetId="0">'Panel assessments-Latest price'!$O$123</definedName>
    <definedName name="PADP">'Panel assessments-Specific date'!$O$123</definedName>
    <definedName name="PADR" localSheetId="0">'Panel assessments-Latest price'!$F$109</definedName>
    <definedName name="PADR">'Panel assessments-Specific date'!$F$109</definedName>
    <definedName name="PADS" localSheetId="0">'Panel assessments-Latest price'!$F$110</definedName>
    <definedName name="PADS">'Panel assessments-Specific date'!$F$110</definedName>
    <definedName name="PADT" localSheetId="0">'Panel assessments-Latest price'!$F$111</definedName>
    <definedName name="PADT">'Panel assessments-Specific date'!$F$111</definedName>
    <definedName name="PADU" localSheetId="0">'Panel assessments-Latest price'!$F$112</definedName>
    <definedName name="PADU">'Panel assessments-Specific date'!$F$112</definedName>
    <definedName name="PADV" localSheetId="0">'Panel assessments-Latest price'!$F$113</definedName>
    <definedName name="PADV">'Panel assessments-Specific date'!$F$113</definedName>
    <definedName name="PADW" localSheetId="0">'Panel assessments-Latest price'!$F$114</definedName>
    <definedName name="PADW">'Panel assessments-Specific date'!$F$114</definedName>
    <definedName name="PADX" localSheetId="0">'Panel assessments-Latest price'!$E$119</definedName>
    <definedName name="PADX">'Panel assessments-Specific date'!$E$119</definedName>
    <definedName name="PADY" localSheetId="0">'Panel assessments-Latest price'!$E$120</definedName>
    <definedName name="PADY">'Panel assessments-Specific date'!$E$120</definedName>
    <definedName name="PADZ" localSheetId="0">'Panel assessments-Latest price'!$E$121</definedName>
    <definedName name="PADZ">'Panel assessments-Specific date'!$E$121</definedName>
    <definedName name="PAEA" localSheetId="0">'Panel assessments-Latest price'!$E$122</definedName>
    <definedName name="PAEA">'Panel assessments-Specific date'!$E$122</definedName>
    <definedName name="PAEB" localSheetId="0">'Panel assessments-Latest price'!$E$123</definedName>
    <definedName name="PAEB">'Panel assessments-Specific date'!$E$123</definedName>
    <definedName name="PAEC" localSheetId="0">'Panel assessments-Latest price'!$E$124</definedName>
    <definedName name="PAEC">'Panel assessments-Specific date'!$E$124</definedName>
    <definedName name="PAED" localSheetId="0">'Panel assessments-Latest price'!$E$125</definedName>
    <definedName name="PAED">'Panel assessments-Specific date'!$E$125</definedName>
    <definedName name="PAEE" localSheetId="0">'Panel assessments-Latest price'!$F$209</definedName>
    <definedName name="PAEE">'Panel assessments-Specific date'!$F$209</definedName>
    <definedName name="PAEQ" localSheetId="0">'Panel assessments-Latest price'!$F$119</definedName>
    <definedName name="PAEQ">'Panel assessments-Specific date'!$F$119</definedName>
    <definedName name="PAER" localSheetId="0">'Panel assessments-Latest price'!$F$120</definedName>
    <definedName name="PAER">'Panel assessments-Specific date'!$F$120</definedName>
    <definedName name="PAES" localSheetId="0">'Panel assessments-Latest price'!$F$121</definedName>
    <definedName name="PAES">'Panel assessments-Specific date'!$F$121</definedName>
    <definedName name="PAET" localSheetId="0">'Panel assessments-Latest price'!$F$122</definedName>
    <definedName name="PAET">'Panel assessments-Specific date'!$F$122</definedName>
    <definedName name="PAEU" localSheetId="0">'Panel assessments-Latest price'!$F$123</definedName>
    <definedName name="PAEU">'Panel assessments-Specific date'!$F$123</definedName>
    <definedName name="PAEV" localSheetId="0">'Panel assessments-Latest price'!$F$124</definedName>
    <definedName name="PAEV">'Panel assessments-Specific date'!$F$124</definedName>
    <definedName name="PAEW" localSheetId="0">'Panel assessments-Latest price'!$F$125</definedName>
    <definedName name="PAEW">'Panel assessments-Specific date'!$F$125</definedName>
    <definedName name="PAEX" localSheetId="0">'Panel assessments-Latest price'!$G$209</definedName>
    <definedName name="PAEX">'Panel assessments-Specific date'!$G$209</definedName>
    <definedName name="PAEZ" localSheetId="0">'Panel assessments-Latest price'!$O$109</definedName>
    <definedName name="PAEZ">'Panel assessments-Specific date'!$O$109</definedName>
    <definedName name="PAFA" localSheetId="0">'Panel assessments-Latest price'!$O$111</definedName>
    <definedName name="PAFA">'Panel assessments-Specific date'!$O$111</definedName>
    <definedName name="PAFB" localSheetId="0">'Panel assessments-Latest price'!$O$112</definedName>
    <definedName name="PAFB">'Panel assessments-Specific date'!$O$112</definedName>
    <definedName name="PAFC" localSheetId="0">'Panel assessments-Latest price'!$O$113</definedName>
    <definedName name="PAFC">'Panel assessments-Specific date'!$O$113</definedName>
    <definedName name="PAFI" localSheetId="0">'Panel assessments-Latest price'!$O$127</definedName>
    <definedName name="PAFI">'Panel assessments-Specific date'!$O$127</definedName>
    <definedName name="PAFJ" localSheetId="0">'Panel assessments-Latest price'!$O$128</definedName>
    <definedName name="PAFJ">'Panel assessments-Specific date'!$O$128</definedName>
    <definedName name="PAFK" localSheetId="0">'Panel assessments-Latest price'!$O$129</definedName>
    <definedName name="PAFK">'Panel assessments-Specific date'!$O$129</definedName>
    <definedName name="PAFO" localSheetId="0">'Panel assessments-Latest price'!$B$214</definedName>
    <definedName name="PAFO">'Panel assessments-Specific date'!$B$214</definedName>
    <definedName name="PAFP" localSheetId="0">'Panel assessments-Latest price'!$C$214</definedName>
    <definedName name="PAFP">'Panel assessments-Specific date'!$C$214</definedName>
    <definedName name="PAFQ" localSheetId="0">'Panel assessments-Latest price'!$D$214</definedName>
    <definedName name="PAFQ">'Panel assessments-Specific date'!$D$214</definedName>
    <definedName name="PAFR" localSheetId="0">'Panel assessments-Latest price'!$E$214</definedName>
    <definedName name="PAFR">'Panel assessments-Specific date'!$E$214</definedName>
    <definedName name="PAFS" localSheetId="0">'Panel assessments-Latest price'!$F$214</definedName>
    <definedName name="PAFS">'Panel assessments-Specific date'!$F$214</definedName>
    <definedName name="PAFT" localSheetId="0">'Panel assessments-Latest price'!$G$214</definedName>
    <definedName name="PAFT">'Panel assessments-Specific date'!$G$214</definedName>
    <definedName name="PAFV" localSheetId="0">'Panel assessments-Latest price'!$P$109</definedName>
    <definedName name="PAFV">'Panel assessments-Specific date'!$P$109</definedName>
    <definedName name="PAFX" localSheetId="0">'Panel assessments-Latest price'!$P$111</definedName>
    <definedName name="PAFX">'Panel assessments-Specific date'!$P$111</definedName>
    <definedName name="PAFY" localSheetId="0">'Panel assessments-Latest price'!$P$112</definedName>
    <definedName name="PAFY">'Panel assessments-Specific date'!$P$112</definedName>
    <definedName name="PAFZ" localSheetId="0">'Panel assessments-Latest price'!$P$113</definedName>
    <definedName name="PAFZ">'Panel assessments-Specific date'!$P$113</definedName>
    <definedName name="PAGF" localSheetId="0">'Panel assessments-Latest price'!$O$130</definedName>
    <definedName name="PAGF">'Panel assessments-Specific date'!$O$130</definedName>
    <definedName name="PAGG" localSheetId="0">'Panel assessments-Latest price'!$O$131</definedName>
    <definedName name="PAGG">'Panel assessments-Specific date'!$O$131</definedName>
    <definedName name="PAGH" localSheetId="0">'Panel assessments-Latest price'!$O$132</definedName>
    <definedName name="PAGH">'Panel assessments-Specific date'!$O$132</definedName>
    <definedName name="PAGP" localSheetId="0">'Panel assessments-Latest price'!$B$133</definedName>
    <definedName name="PAGP">'Panel assessments-Specific date'!$B$133</definedName>
    <definedName name="PAGQ" localSheetId="0">'Panel assessments-Latest price'!$B$134</definedName>
    <definedName name="PAGQ">'Panel assessments-Specific date'!$B$134</definedName>
    <definedName name="PAGR" localSheetId="0">'Panel assessments-Latest price'!$B$135</definedName>
    <definedName name="PAGR">'Panel assessments-Specific date'!$B$135</definedName>
    <definedName name="PAGS" localSheetId="0">'Panel assessments-Latest price'!$B$136</definedName>
    <definedName name="PAGS">'Panel assessments-Specific date'!$B$136</definedName>
    <definedName name="PAGT" localSheetId="0">'Panel assessments-Latest price'!$B$137</definedName>
    <definedName name="PAGT">'Panel assessments-Specific date'!$B$137</definedName>
    <definedName name="PAGU" localSheetId="0">'Panel assessments-Latest price'!$B$142</definedName>
    <definedName name="PAGU">'Panel assessments-Specific date'!$B$142</definedName>
    <definedName name="PAGV" localSheetId="0">'Panel assessments-Latest price'!$B$143</definedName>
    <definedName name="PAGV">'Panel assessments-Specific date'!$B$143</definedName>
    <definedName name="PAGW" localSheetId="0">'Panel assessments-Latest price'!$B$144</definedName>
    <definedName name="PAGW">'Panel assessments-Specific date'!$B$144</definedName>
    <definedName name="PAGX" localSheetId="0">'Panel assessments-Latest price'!$B$145</definedName>
    <definedName name="PAGX">'Panel assessments-Specific date'!$B$145</definedName>
    <definedName name="PAGY" localSheetId="0">'Panel assessments-Latest price'!$B$146</definedName>
    <definedName name="PAGY">'Panel assessments-Specific date'!$B$146</definedName>
    <definedName name="PAGZ" localSheetId="0">'Panel assessments-Latest price'!$B$150</definedName>
    <definedName name="PAGZ">'Panel assessments-Specific date'!$B$150</definedName>
    <definedName name="PAHA" localSheetId="0">'Panel assessments-Latest price'!$B$151</definedName>
    <definedName name="PAHA">'Panel assessments-Specific date'!$B$151</definedName>
    <definedName name="PAHB" localSheetId="0">'Panel assessments-Latest price'!$B$152</definedName>
    <definedName name="PAHB">'Panel assessments-Specific date'!$B$152</definedName>
    <definedName name="PAHC" localSheetId="0">'Panel assessments-Latest price'!$L$152</definedName>
    <definedName name="PAHC">'Panel assessments-Specific date'!$L$152</definedName>
    <definedName name="PAHD" localSheetId="0">'Panel assessments-Latest price'!$L$153</definedName>
    <definedName name="PAHD">'Panel assessments-Specific date'!$L$153</definedName>
    <definedName name="PAHE" localSheetId="0">'Panel assessments-Latest price'!$L$154</definedName>
    <definedName name="PAHE">'Panel assessments-Specific date'!$L$154</definedName>
    <definedName name="PAHF" localSheetId="0">'Panel assessments-Latest price'!$L$156</definedName>
    <definedName name="PAHF">'Panel assessments-Specific date'!$L$156</definedName>
    <definedName name="PAHJ" localSheetId="0">'Panel assessments-Latest price'!$C$133</definedName>
    <definedName name="PAHJ">'Panel assessments-Specific date'!$C$133</definedName>
    <definedName name="PAHK" localSheetId="0">'Panel assessments-Latest price'!$C$134</definedName>
    <definedName name="PAHK">'Panel assessments-Specific date'!$C$134</definedName>
    <definedName name="PAHL" localSheetId="0">'Panel assessments-Latest price'!$C$135</definedName>
    <definedName name="PAHL">'Panel assessments-Specific date'!$C$135</definedName>
    <definedName name="PAHM" localSheetId="0">'Panel assessments-Latest price'!$C$136</definedName>
    <definedName name="PAHM">'Panel assessments-Specific date'!$C$136</definedName>
    <definedName name="PAHN" localSheetId="0">'Panel assessments-Latest price'!$C$137</definedName>
    <definedName name="PAHN">'Panel assessments-Specific date'!$C$137</definedName>
    <definedName name="PAHO" localSheetId="0">'Panel assessments-Latest price'!$C$142</definedName>
    <definedName name="PAHO">'Panel assessments-Specific date'!$C$142</definedName>
    <definedName name="PAHP" localSheetId="0">'Panel assessments-Latest price'!$C$143</definedName>
    <definedName name="PAHP">'Panel assessments-Specific date'!$C$143</definedName>
    <definedName name="PAHQ" localSheetId="0">'Panel assessments-Latest price'!$C$144</definedName>
    <definedName name="PAHQ">'Panel assessments-Specific date'!$C$144</definedName>
    <definedName name="PAHR" localSheetId="0">'Panel assessments-Latest price'!$C$145</definedName>
    <definedName name="PAHR">'Panel assessments-Specific date'!$C$145</definedName>
    <definedName name="PAHS" localSheetId="0">'Panel assessments-Latest price'!$C$146</definedName>
    <definedName name="PAHS">'Panel assessments-Specific date'!$C$146</definedName>
    <definedName name="PAHT" localSheetId="0">'Panel assessments-Latest price'!$C$150</definedName>
    <definedName name="PAHT">'Panel assessments-Specific date'!$C$150</definedName>
    <definedName name="PAHU" localSheetId="0">'Panel assessments-Latest price'!$C$151</definedName>
    <definedName name="PAHU">'Panel assessments-Specific date'!$C$151</definedName>
    <definedName name="PAHV" localSheetId="0">'Panel assessments-Latest price'!$C$152</definedName>
    <definedName name="PAHV">'Panel assessments-Specific date'!$C$152</definedName>
    <definedName name="PAHW" localSheetId="0">'Panel assessments-Latest price'!$M$152</definedName>
    <definedName name="PAHW">'Panel assessments-Specific date'!$M$152</definedName>
    <definedName name="PAHX" localSheetId="0">'Panel assessments-Latest price'!$M$153</definedName>
    <definedName name="PAHX">'Panel assessments-Specific date'!$M$153</definedName>
    <definedName name="PAHY" localSheetId="0">'Panel assessments-Latest price'!$M$154</definedName>
    <definedName name="PAHY">'Panel assessments-Specific date'!$M$154</definedName>
    <definedName name="PAHZ" localSheetId="0">'Panel assessments-Latest price'!$M$156</definedName>
    <definedName name="PAHZ">'Panel assessments-Specific date'!$M$156</definedName>
    <definedName name="PAID" localSheetId="0">'Panel assessments-Latest price'!$D$133</definedName>
    <definedName name="PAID">'Panel assessments-Specific date'!$D$133</definedName>
    <definedName name="PAIE" localSheetId="0">'Panel assessments-Latest price'!$D$134</definedName>
    <definedName name="PAIE">'Panel assessments-Specific date'!$D$134</definedName>
    <definedName name="PAIF" localSheetId="0">'Panel assessments-Latest price'!$D$135</definedName>
    <definedName name="PAIF">'Panel assessments-Specific date'!$D$135</definedName>
    <definedName name="PAIG" localSheetId="0">'Panel assessments-Latest price'!$D$136</definedName>
    <definedName name="PAIG">'Panel assessments-Specific date'!$D$136</definedName>
    <definedName name="PAIH" localSheetId="0">'Panel assessments-Latest price'!$D$137</definedName>
    <definedName name="PAIH">'Panel assessments-Specific date'!$D$137</definedName>
    <definedName name="PAII" localSheetId="0">'Panel assessments-Latest price'!$D$142</definedName>
    <definedName name="PAII">'Panel assessments-Specific date'!$D$142</definedName>
    <definedName name="PAIJ" localSheetId="0">'Panel assessments-Latest price'!$D$143</definedName>
    <definedName name="PAIJ">'Panel assessments-Specific date'!$D$143</definedName>
    <definedName name="PAIK" localSheetId="0">'Panel assessments-Latest price'!$D$144</definedName>
    <definedName name="PAIK">'Panel assessments-Specific date'!$D$144</definedName>
    <definedName name="PAIL" localSheetId="0">'Panel assessments-Latest price'!$D$145</definedName>
    <definedName name="PAIL">'Panel assessments-Specific date'!$D$145</definedName>
    <definedName name="PAIM" localSheetId="0">'Panel assessments-Latest price'!$D$146</definedName>
    <definedName name="PAIM">'Panel assessments-Specific date'!$D$146</definedName>
    <definedName name="PAIN" localSheetId="0">'Panel assessments-Latest price'!$N$153</definedName>
    <definedName name="PAIN">'Panel assessments-Specific date'!$N$153</definedName>
    <definedName name="PAIO" localSheetId="0">'Panel assessments-Latest price'!$N$154</definedName>
    <definedName name="PAIO">'Panel assessments-Specific date'!$N$154</definedName>
    <definedName name="PAIP" localSheetId="0">'Panel assessments-Latest price'!$N$155</definedName>
    <definedName name="PAIP">'Panel assessments-Specific date'!$N$155</definedName>
    <definedName name="PAIQ" localSheetId="0">'Panel assessments-Latest price'!$N$156</definedName>
    <definedName name="PAIQ">'Panel assessments-Specific date'!$N$156</definedName>
    <definedName name="PAIR" localSheetId="0">'Panel assessments-Latest price'!$N$157</definedName>
    <definedName name="PAIR">'Panel assessments-Specific date'!$N$157</definedName>
    <definedName name="PAIW" localSheetId="0">'Panel assessments-Latest price'!$E$133</definedName>
    <definedName name="PAIW">'Panel assessments-Specific date'!$E$133</definedName>
    <definedName name="PAIX" localSheetId="0">'Panel assessments-Latest price'!$E$134</definedName>
    <definedName name="PAIX">'Panel assessments-Specific date'!$E$134</definedName>
    <definedName name="PAIY" localSheetId="0">'Panel assessments-Latest price'!$E$135</definedName>
    <definedName name="PAIY">'Panel assessments-Specific date'!$E$135</definedName>
    <definedName name="PAIZ" localSheetId="0">'Panel assessments-Latest price'!$E$136</definedName>
    <definedName name="PAIZ">'Panel assessments-Specific date'!$E$136</definedName>
    <definedName name="PAJA" localSheetId="0">'Panel assessments-Latest price'!$E$137</definedName>
    <definedName name="PAJA">'Panel assessments-Specific date'!$E$137</definedName>
    <definedName name="PAJB" localSheetId="0">'Panel assessments-Latest price'!$E$142</definedName>
    <definedName name="PAJB">'Panel assessments-Specific date'!$E$142</definedName>
    <definedName name="PAJC" localSheetId="0">'Panel assessments-Latest price'!$E$143</definedName>
    <definedName name="PAJC">'Panel assessments-Specific date'!$E$143</definedName>
    <definedName name="PAJD" localSheetId="0">'Panel assessments-Latest price'!$E$144</definedName>
    <definedName name="PAJD">'Panel assessments-Specific date'!$E$144</definedName>
    <definedName name="PAJE" localSheetId="0">'Panel assessments-Latest price'!$E$145</definedName>
    <definedName name="PAJE">'Panel assessments-Specific date'!$E$145</definedName>
    <definedName name="PAJF" localSheetId="0">'Panel assessments-Latest price'!$E$146</definedName>
    <definedName name="PAJF">'Panel assessments-Specific date'!$E$146</definedName>
    <definedName name="PAJG" localSheetId="0">'Panel assessments-Latest price'!$O$153</definedName>
    <definedName name="PAJG">'Panel assessments-Specific date'!$O$153</definedName>
    <definedName name="PAJH" localSheetId="0">'Panel assessments-Latest price'!$O$154</definedName>
    <definedName name="PAJH">'Panel assessments-Specific date'!$O$154</definedName>
    <definedName name="PAJI" localSheetId="0">'Panel assessments-Latest price'!$O$155</definedName>
    <definedName name="PAJI">'Panel assessments-Specific date'!$O$155</definedName>
    <definedName name="PAJJ" localSheetId="0">'Panel assessments-Latest price'!$O$156</definedName>
    <definedName name="PAJJ">'Panel assessments-Specific date'!$O$156</definedName>
    <definedName name="PAJK" localSheetId="0">'Panel assessments-Latest price'!$O$157</definedName>
    <definedName name="PAJK">'Panel assessments-Specific date'!$O$157</definedName>
    <definedName name="PAJP" localSheetId="0">'Panel assessments-Latest price'!$F$133</definedName>
    <definedName name="PAJP">'Panel assessments-Specific date'!$F$133</definedName>
    <definedName name="PAJQ" localSheetId="0">'Panel assessments-Latest price'!$F$134</definedName>
    <definedName name="PAJQ">'Panel assessments-Specific date'!$F$134</definedName>
    <definedName name="PAJR" localSheetId="0">'Panel assessments-Latest price'!$F$135</definedName>
    <definedName name="PAJR">'Panel assessments-Specific date'!$F$135</definedName>
    <definedName name="PAJS" localSheetId="0">'Panel assessments-Latest price'!$F$136</definedName>
    <definedName name="PAJS">'Panel assessments-Specific date'!$F$136</definedName>
    <definedName name="PAJT" localSheetId="0">'Panel assessments-Latest price'!$F$137</definedName>
    <definedName name="PAJT">'Panel assessments-Specific date'!$F$137</definedName>
    <definedName name="PAJU" localSheetId="0">'Panel assessments-Latest price'!$P$152</definedName>
    <definedName name="PAJU">'Panel assessments-Specific date'!$P$152</definedName>
    <definedName name="PAJV" localSheetId="0">'Panel assessments-Latest price'!$P$153</definedName>
    <definedName name="PAJV">'Panel assessments-Specific date'!$P$153</definedName>
    <definedName name="PAJW" localSheetId="0">'Panel assessments-Latest price'!$P$154</definedName>
    <definedName name="PAJW">'Panel assessments-Specific date'!$P$154</definedName>
    <definedName name="PAJX" localSheetId="0">'Panel assessments-Latest price'!$P$156</definedName>
    <definedName name="PAJX">'Panel assessments-Specific date'!$P$156</definedName>
    <definedName name="PAJZ" localSheetId="0">'Panel assessments-Latest price'!$G$133</definedName>
    <definedName name="PAJZ">'Panel assessments-Specific date'!$G$133</definedName>
    <definedName name="PAKA" localSheetId="0">'Panel assessments-Latest price'!$G$134</definedName>
    <definedName name="PAKA">'Panel assessments-Specific date'!$G$134</definedName>
    <definedName name="PAKB" localSheetId="0">'Panel assessments-Latest price'!$G$135</definedName>
    <definedName name="PAKB">'Panel assessments-Specific date'!$G$135</definedName>
    <definedName name="PAKC" localSheetId="0">'Panel assessments-Latest price'!$G$136</definedName>
    <definedName name="PAKC">'Panel assessments-Specific date'!$G$136</definedName>
    <definedName name="PAKD" localSheetId="0">'Panel assessments-Latest price'!$G$137</definedName>
    <definedName name="PAKD">'Panel assessments-Specific date'!$G$137</definedName>
    <definedName name="PAKE" localSheetId="0">'Panel assessments-Latest price'!$G$142</definedName>
    <definedName name="PAKE">'Panel assessments-Specific date'!$G$142</definedName>
    <definedName name="PAKF" localSheetId="0">'Panel assessments-Latest price'!$G$143</definedName>
    <definedName name="PAKF">'Panel assessments-Specific date'!$G$143</definedName>
    <definedName name="PAKG" localSheetId="0">'Panel assessments-Latest price'!$G$145</definedName>
    <definedName name="PAKG">'Panel assessments-Specific date'!$G$145</definedName>
    <definedName name="PAKH" localSheetId="0">'Panel assessments-Latest price'!$G$146</definedName>
    <definedName name="PAKH">'Panel assessments-Specific date'!$G$146</definedName>
    <definedName name="PAKK" localSheetId="0">'Panel assessments-Latest price'!$H$142</definedName>
    <definedName name="PAKK">'Panel assessments-Specific date'!$H$142</definedName>
    <definedName name="PAKL" localSheetId="0">'Panel assessments-Latest price'!$H$143</definedName>
    <definedName name="PAKL">'Panel assessments-Specific date'!$H$143</definedName>
    <definedName name="PAKN" localSheetId="0">'Panel assessments-Latest price'!$I$142</definedName>
    <definedName name="PAKN">'Panel assessments-Specific date'!$I$142</definedName>
    <definedName name="PAKO" localSheetId="0">'Panel assessments-Latest price'!$I$143</definedName>
    <definedName name="PAKO">'Panel assessments-Specific date'!$I$143</definedName>
    <definedName name="PAKP" localSheetId="0">'Panel assessments-Latest price'!$I$145</definedName>
    <definedName name="PAKP">'Panel assessments-Specific date'!$I$145</definedName>
    <definedName name="PAKQ" localSheetId="0">'Panel assessments-Latest price'!$I$146</definedName>
    <definedName name="PAKQ">'Panel assessments-Specific date'!$I$146</definedName>
    <definedName name="PAKT" localSheetId="0">'Panel assessments-Latest price'!$D$109</definedName>
    <definedName name="PAKT">'Panel assessments-Specific date'!$D$109</definedName>
    <definedName name="PAKU" localSheetId="0">'Panel assessments-Latest price'!$D$110</definedName>
    <definedName name="PAKU">'Panel assessments-Specific date'!$D$110</definedName>
    <definedName name="PAKV" localSheetId="0">'Panel assessments-Latest price'!$D$111</definedName>
    <definedName name="PAKV">'Panel assessments-Specific date'!$D$111</definedName>
    <definedName name="PAKW" localSheetId="0">'Panel assessments-Latest price'!$D$112</definedName>
    <definedName name="PAKW">'Panel assessments-Specific date'!$D$112</definedName>
    <definedName name="PAKX" localSheetId="0">'Panel assessments-Latest price'!$D$113</definedName>
    <definedName name="PAKX">'Panel assessments-Specific date'!$D$113</definedName>
    <definedName name="PAKY" localSheetId="0">'Panel assessments-Latest price'!$D$114</definedName>
    <definedName name="PAKY">'Panel assessments-Specific date'!$D$114</definedName>
    <definedName name="PALA" localSheetId="0">'Panel assessments-Latest price'!$G$109</definedName>
    <definedName name="PALA">'Panel assessments-Specific date'!$G$109</definedName>
    <definedName name="PALB" localSheetId="0">'Panel assessments-Latest price'!$G$110</definedName>
    <definedName name="PALB">'Panel assessments-Specific date'!$G$110</definedName>
    <definedName name="PALC" localSheetId="0">'Panel assessments-Latest price'!$G$111</definedName>
    <definedName name="PALC">'Panel assessments-Specific date'!$G$111</definedName>
    <definedName name="PALD" localSheetId="0">'Panel assessments-Latest price'!$G$112</definedName>
    <definedName name="PALD">'Panel assessments-Specific date'!$G$112</definedName>
    <definedName name="PALE" localSheetId="0">'Panel assessments-Latest price'!$G$113</definedName>
    <definedName name="PALE">'Panel assessments-Specific date'!$G$113</definedName>
    <definedName name="PALF" localSheetId="0">'Panel assessments-Latest price'!$G$114</definedName>
    <definedName name="PALF">'Panel assessments-Specific date'!$G$114</definedName>
    <definedName name="PALH" localSheetId="0">'Panel assessments-Latest price'!$C$109</definedName>
    <definedName name="PALH">'Panel assessments-Specific date'!$C$109</definedName>
    <definedName name="PALI" localSheetId="0">'Panel assessments-Latest price'!$C$110</definedName>
    <definedName name="PALI">'Panel assessments-Specific date'!$C$110</definedName>
    <definedName name="PALJ" localSheetId="0">'Panel assessments-Latest price'!$C$111</definedName>
    <definedName name="PALJ">'Panel assessments-Specific date'!$C$111</definedName>
    <definedName name="PALK" localSheetId="0">'Panel assessments-Latest price'!$C$112</definedName>
    <definedName name="PALK">'Panel assessments-Specific date'!$C$112</definedName>
    <definedName name="PALL" localSheetId="0">'Panel assessments-Latest price'!$C$113</definedName>
    <definedName name="PALL">'Panel assessments-Specific date'!$C$113</definedName>
    <definedName name="PALM" localSheetId="0">'Panel assessments-Latest price'!$C$114</definedName>
    <definedName name="PALM">'Panel assessments-Specific date'!$C$114</definedName>
    <definedName name="PALN" localSheetId="0">'Panel assessments-Latest price'!$N$162</definedName>
    <definedName name="PALN">'Panel assessments-Specific date'!$N$162</definedName>
    <definedName name="PALO" localSheetId="0">'Panel assessments-Latest price'!$O$162</definedName>
    <definedName name="PALO">'Panel assessments-Specific date'!$O$162</definedName>
    <definedName name="PALP" localSheetId="0">'Panel assessments-Latest price'!$N$163</definedName>
    <definedName name="PALP">'Panel assessments-Specific date'!$N$163</definedName>
    <definedName name="PALQ" localSheetId="0">'Panel assessments-Latest price'!$O$163</definedName>
    <definedName name="PALQ">'Panel assessments-Specific date'!$O$163</definedName>
    <definedName name="PALS" localSheetId="0">'Panel assessments-Latest price'!$G$304</definedName>
    <definedName name="PALS">'Panel assessments-Specific date'!$G$304</definedName>
    <definedName name="PALT" localSheetId="0">'Panel assessments-Latest price'!$H$304</definedName>
    <definedName name="PALT">'Panel assessments-Specific date'!$H$304</definedName>
    <definedName name="PALV" localSheetId="0">'Panel assessments-Latest price'!$L$138</definedName>
    <definedName name="PALV">'Panel assessments-Specific date'!$L$138</definedName>
    <definedName name="PALW" localSheetId="0">'Panel assessments-Latest price'!$M$138</definedName>
    <definedName name="PALW">'Panel assessments-Specific date'!$M$138</definedName>
    <definedName name="PALX" localSheetId="0">'Panel assessments-Latest price'!$N$138</definedName>
    <definedName name="PALX">'Panel assessments-Specific date'!$N$138</definedName>
    <definedName name="PALY" localSheetId="0">'Panel assessments-Latest price'!$O$138</definedName>
    <definedName name="PALY">'Panel assessments-Specific date'!$O$138</definedName>
    <definedName name="PALZ" localSheetId="0">'Panel assessments-Latest price'!$C$126</definedName>
    <definedName name="PALZ">'Panel assessments-Specific date'!$C$126</definedName>
    <definedName name="PAMA" localSheetId="0">'Panel assessments-Latest price'!$D$126</definedName>
    <definedName name="PAMA">'Panel assessments-Specific date'!$D$126</definedName>
    <definedName name="PAMB" localSheetId="0">'Panel assessments-Latest price'!$P$127</definedName>
    <definedName name="PAMB">'Panel assessments-Specific date'!$P$127</definedName>
    <definedName name="PAMC" localSheetId="0">'Panel assessments-Latest price'!$P$128</definedName>
    <definedName name="PAMC">'Panel assessments-Specific date'!$P$128</definedName>
    <definedName name="PAMD" localSheetId="0">'Panel assessments-Latest price'!$P$129</definedName>
    <definedName name="PAMD">'Panel assessments-Specific date'!$P$129</definedName>
    <definedName name="PAME" localSheetId="0">'Panel assessments-Latest price'!$P$130</definedName>
    <definedName name="PAME">'Panel assessments-Specific date'!$P$130</definedName>
    <definedName name="PAMF" localSheetId="0">'Panel assessments-Latest price'!$P$131</definedName>
    <definedName name="PAMF">'Panel assessments-Specific date'!$P$131</definedName>
    <definedName name="PAMG" localSheetId="0">'Panel assessments-Latest price'!$P$132</definedName>
    <definedName name="PAMG">'Panel assessments-Specific date'!$P$132</definedName>
    <definedName name="PAMH" localSheetId="0">'Panel assessments-Latest price'!$Q$127</definedName>
    <definedName name="PAMH">'Panel assessments-Specific date'!$Q$127</definedName>
    <definedName name="PAMI" localSheetId="0">'Panel assessments-Latest price'!$Q$128</definedName>
    <definedName name="PAMI">'Panel assessments-Specific date'!$Q$128</definedName>
    <definedName name="PAMJ" localSheetId="0">'Panel assessments-Latest price'!$Q$129</definedName>
    <definedName name="PAMJ">'Panel assessments-Specific date'!$Q$129</definedName>
    <definedName name="PAMK" localSheetId="0">'Panel assessments-Latest price'!$Q$130</definedName>
    <definedName name="PAMK">'Panel assessments-Specific date'!$Q$130</definedName>
    <definedName name="PAML" localSheetId="0">'Panel assessments-Latest price'!$Q$131</definedName>
    <definedName name="PAML">'Panel assessments-Specific date'!$Q$131</definedName>
    <definedName name="PAMM" localSheetId="0">'Panel assessments-Latest price'!$Q$132</definedName>
    <definedName name="PAMM">'Panel assessments-Specific date'!$Q$132</definedName>
    <definedName name="PAMN" localSheetId="0">'Panel assessments-Latest price'!$F$304</definedName>
    <definedName name="PAMN">'Panel assessments-Specific date'!$F$304</definedName>
    <definedName name="PAMP" localSheetId="0">'Panel assessments-Latest price'!$L$162</definedName>
    <definedName name="PAMP">'Panel assessments-Specific date'!$L$162</definedName>
    <definedName name="PAMQ" localSheetId="0">'Panel assessments-Latest price'!$M$162</definedName>
    <definedName name="PAMQ">'Panel assessments-Specific date'!$M$162</definedName>
    <definedName name="PAMR" localSheetId="0">'Panel assessments-Latest price'!$L$163</definedName>
    <definedName name="PAMR">'Panel assessments-Specific date'!$L$163</definedName>
    <definedName name="PAMS" localSheetId="0">'Panel assessments-Latest price'!$M$163</definedName>
    <definedName name="PAMS">'Panel assessments-Specific date'!$M$163</definedName>
    <definedName name="PAMT" localSheetId="0">'Panel assessments-Latest price'!$M$113</definedName>
    <definedName name="PAMT">'Panel assessments-Specific date'!$M$113</definedName>
    <definedName name="PAMU" localSheetId="0">'Panel assessments-Latest price'!$L$137</definedName>
    <definedName name="PAMU">'Panel assessments-Specific date'!$L$137</definedName>
    <definedName name="PAMV" localSheetId="0">'Panel assessments-Latest price'!$M$137</definedName>
    <definedName name="PAMV">'Panel assessments-Specific date'!$M$137</definedName>
    <definedName name="PAMW" localSheetId="0">'Panel assessments-Latest price'!$N$137</definedName>
    <definedName name="PAMW">'Panel assessments-Specific date'!$N$137</definedName>
    <definedName name="PAMX" localSheetId="0">'Panel assessments-Latest price'!$O$137</definedName>
    <definedName name="PAMX">'Panel assessments-Specific date'!$O$137</definedName>
    <definedName name="PAMY" localSheetId="0">'Panel assessments-Latest price'!$P$137</definedName>
    <definedName name="PAMY">'Panel assessments-Specific date'!$P$137</definedName>
    <definedName name="PAND" localSheetId="0">'Panel assessments-Latest price'!$F$305</definedName>
    <definedName name="PAND">'Panel assessments-Specific date'!$F$305</definedName>
    <definedName name="PANE" localSheetId="0">'Panel assessments-Latest price'!$F$306</definedName>
    <definedName name="PANE">'Panel assessments-Specific date'!$F$306</definedName>
    <definedName name="PANF" localSheetId="0">'Panel assessments-Latest price'!$F$307</definedName>
    <definedName name="PANF">'Panel assessments-Specific date'!$F$307</definedName>
    <definedName name="PANG" localSheetId="0">'Panel assessments-Latest price'!$G$305</definedName>
    <definedName name="PANG">'Panel assessments-Specific date'!$G$305</definedName>
    <definedName name="PANH" localSheetId="0">'Panel assessments-Latest price'!$G$306</definedName>
    <definedName name="PANH">'Panel assessments-Specific date'!$G$306</definedName>
    <definedName name="PANI" localSheetId="0">'Panel assessments-Latest price'!$G$307</definedName>
    <definedName name="PANI">'Panel assessments-Specific date'!$G$307</definedName>
    <definedName name="PANJ" localSheetId="0">'Panel assessments-Latest price'!$H$305</definedName>
    <definedName name="PANJ">'Panel assessments-Specific date'!$H$305</definedName>
    <definedName name="PANK" localSheetId="0">'Panel assessments-Latest price'!$H$306</definedName>
    <definedName name="PANK">'Panel assessments-Specific date'!$H$306</definedName>
    <definedName name="PANL" localSheetId="0">'Panel assessments-Latest price'!$H$307</definedName>
    <definedName name="PANL">'Panel assessments-Specific date'!$H$307</definedName>
    <definedName name="PANM" localSheetId="0">'Panel assessments-Latest price'!$N$152</definedName>
    <definedName name="PANM">'Panel assessments-Specific date'!$N$152</definedName>
    <definedName name="PANN" localSheetId="0">'Panel assessments-Latest price'!$O$152</definedName>
    <definedName name="PANN">'Panel assessments-Specific date'!$O$152</definedName>
    <definedName name="PANR" localSheetId="0">'Panel assessments-Latest price'!$Q$154</definedName>
    <definedName name="PANR">'Panel assessments-Specific date'!$Q$154</definedName>
    <definedName name="PANS" localSheetId="0">'Panel assessments-Latest price'!$R$154</definedName>
    <definedName name="PANS">'Panel assessments-Specific date'!$R$154</definedName>
    <definedName name="PANT" localSheetId="0">'Panel assessments-Latest price'!$Q$156</definedName>
    <definedName name="PANT">'Panel assessments-Specific date'!$Q$156</definedName>
    <definedName name="PANU" localSheetId="0">'Panel assessments-Latest price'!$R$156</definedName>
    <definedName name="PANU">'Panel assessments-Specific date'!$R$156</definedName>
    <definedName name="PANV" localSheetId="0">'Panel assessments-Latest price'!$B$210</definedName>
    <definedName name="PANV">'Panel assessments-Specific date'!$B$210</definedName>
    <definedName name="PANW" localSheetId="0">'Panel assessments-Latest price'!$C$210</definedName>
    <definedName name="PANW">'Panel assessments-Specific date'!$C$210</definedName>
    <definedName name="PANX" localSheetId="0">'Panel assessments-Latest price'!$D$210</definedName>
    <definedName name="PANX">'Panel assessments-Specific date'!$D$210</definedName>
    <definedName name="PANY" localSheetId="0">'Panel assessments-Latest price'!$F$210</definedName>
    <definedName name="PANY">'Panel assessments-Specific date'!$F$210</definedName>
    <definedName name="PANZ" localSheetId="0">'Panel assessments-Latest price'!$G$210</definedName>
    <definedName name="PANZ">'Panel assessments-Specific date'!$G$210</definedName>
    <definedName name="PAOA" localSheetId="0">'Panel assessments-Latest price'!$M$114</definedName>
    <definedName name="PAOA">'Panel assessments-Specific date'!$M$114</definedName>
    <definedName name="PAOB" localSheetId="0">'Panel assessments-Latest price'!$B$211</definedName>
    <definedName name="PAOB">'Panel assessments-Specific date'!$B$211</definedName>
    <definedName name="PAOC" localSheetId="0">'Panel assessments-Latest price'!$C$211</definedName>
    <definedName name="PAOC">'Panel assessments-Specific date'!$C$211</definedName>
    <definedName name="PAOD" localSheetId="0">'Panel assessments-Latest price'!$D$211</definedName>
    <definedName name="PAOD">'Panel assessments-Specific date'!$D$211</definedName>
    <definedName name="PAOE" localSheetId="0">'Panel assessments-Latest price'!$E$211</definedName>
    <definedName name="PAOE">'Panel assessments-Specific date'!$E$211</definedName>
    <definedName name="PAOF" localSheetId="0">'Panel assessments-Latest price'!$F$211</definedName>
    <definedName name="PAOF">'Panel assessments-Specific date'!$F$211</definedName>
    <definedName name="PAOG" localSheetId="0">'Panel assessments-Latest price'!$G$211</definedName>
    <definedName name="PAOG">'Panel assessments-Specific date'!$G$211</definedName>
    <definedName name="PAOH" localSheetId="0">'Panel assessments-Latest price'!$B$212</definedName>
    <definedName name="PAOH">'Panel assessments-Specific date'!$B$212</definedName>
    <definedName name="PAOI" localSheetId="0">'Panel assessments-Latest price'!$C$212</definedName>
    <definedName name="PAOI">'Panel assessments-Specific date'!$C$212</definedName>
    <definedName name="PAOJ" localSheetId="0">'Panel assessments-Latest price'!$D$212</definedName>
    <definedName name="PAOJ">'Panel assessments-Specific date'!$D$212</definedName>
    <definedName name="PAOK" localSheetId="0">'Panel assessments-Latest price'!$E$212</definedName>
    <definedName name="PAOK">'Panel assessments-Specific date'!$E$212</definedName>
    <definedName name="PAOL" localSheetId="0">'Panel assessments-Latest price'!$F$212</definedName>
    <definedName name="PAOL">'Panel assessments-Specific date'!$F$212</definedName>
    <definedName name="PAOM" localSheetId="0">'Panel assessments-Latest price'!$G$212</definedName>
    <definedName name="PAOM">'Panel assessments-Specific date'!$G$212</definedName>
    <definedName name="PAON" localSheetId="0">'Panel assessments-Latest price'!$B$213</definedName>
    <definedName name="PAON">'Panel assessments-Specific date'!$B$213</definedName>
    <definedName name="PAOO" localSheetId="0">'Panel assessments-Latest price'!$C$213</definedName>
    <definedName name="PAOO">'Panel assessments-Specific date'!$C$213</definedName>
    <definedName name="PAOP" localSheetId="0">'Panel assessments-Latest price'!$D$213</definedName>
    <definedName name="PAOP">'Panel assessments-Specific date'!$D$213</definedName>
    <definedName name="PAOQ" localSheetId="0">'Panel assessments-Latest price'!$E$213</definedName>
    <definedName name="PAOQ">'Panel assessments-Specific date'!$E$213</definedName>
    <definedName name="PAOR" localSheetId="0">'Panel assessments-Latest price'!$F$213</definedName>
    <definedName name="PAOR">'Panel assessments-Specific date'!$F$213</definedName>
    <definedName name="PAOS" localSheetId="0">'Panel assessments-Latest price'!$G$213</definedName>
    <definedName name="PAOS">'Panel assessments-Specific date'!$G$213</definedName>
    <definedName name="PAOT" localSheetId="0">'Panel assessments-Latest price'!$B$215</definedName>
    <definedName name="PAOT">'Panel assessments-Specific date'!$B$215</definedName>
    <definedName name="PAOU" localSheetId="0">'Panel assessments-Latest price'!$C$215</definedName>
    <definedName name="PAOU">'Panel assessments-Specific date'!$C$215</definedName>
    <definedName name="PAOV" localSheetId="0">'Panel assessments-Latest price'!$D$215</definedName>
    <definedName name="PAOV">'Panel assessments-Specific date'!$D$215</definedName>
    <definedName name="PAOW" localSheetId="0">'Panel assessments-Latest price'!$E$215</definedName>
    <definedName name="PAOW">'Panel assessments-Specific date'!$E$215</definedName>
    <definedName name="PAOX" localSheetId="0">'Panel assessments-Latest price'!$F$215</definedName>
    <definedName name="PAOX">'Panel assessments-Specific date'!$F$215</definedName>
    <definedName name="PAOY" localSheetId="0">'Panel assessments-Latest price'!$G$215</definedName>
    <definedName name="PAOY">'Panel assessments-Specific date'!$G$215</definedName>
    <definedName name="PAOZ" localSheetId="0">'Panel assessments-Latest price'!$B$216</definedName>
    <definedName name="PAOZ">'Panel assessments-Specific date'!$B$216</definedName>
    <definedName name="PAPA" localSheetId="0">'Panel assessments-Latest price'!$C$216</definedName>
    <definedName name="PAPA">'Panel assessments-Specific date'!$C$216</definedName>
    <definedName name="PAPB" localSheetId="0">'Panel assessments-Latest price'!$D$216</definedName>
    <definedName name="PAPB">'Panel assessments-Specific date'!$D$216</definedName>
    <definedName name="PAPC" localSheetId="0">'Panel assessments-Latest price'!$E$216</definedName>
    <definedName name="PAPC">'Panel assessments-Specific date'!$E$216</definedName>
    <definedName name="PAPD" localSheetId="0">'Panel assessments-Latest price'!$F$216</definedName>
    <definedName name="PAPD">'Panel assessments-Specific date'!$F$216</definedName>
    <definedName name="PAPE" localSheetId="0">'Panel assessments-Latest price'!$G$216</definedName>
    <definedName name="PAPE">'Panel assessments-Specific date'!$G$216</definedName>
    <definedName name="PAPF" localSheetId="0">'Panel assessments-Latest price'!$L$209</definedName>
    <definedName name="PAPF">'Panel assessments-Specific date'!$L$209</definedName>
    <definedName name="PAPG" localSheetId="0">'Panel assessments-Latest price'!$L$210</definedName>
    <definedName name="PAPG">'Panel assessments-Specific date'!$L$210</definedName>
    <definedName name="PAPH" localSheetId="0">'Panel assessments-Latest price'!$L$211</definedName>
    <definedName name="PAPH">'Panel assessments-Specific date'!$L$211</definedName>
    <definedName name="PAPI" localSheetId="0">'Panel assessments-Latest price'!$L$212</definedName>
    <definedName name="PAPI">'Panel assessments-Specific date'!$L$212</definedName>
    <definedName name="PAPJ" localSheetId="0">'Panel assessments-Latest price'!$L$213</definedName>
    <definedName name="PAPJ">'Panel assessments-Specific date'!$L$213</definedName>
    <definedName name="PAPK" localSheetId="0">'Panel assessments-Latest price'!$M$209</definedName>
    <definedName name="PAPK">'Panel assessments-Specific date'!$M$209</definedName>
    <definedName name="PAPL" localSheetId="0">'Panel assessments-Latest price'!$M$210</definedName>
    <definedName name="PAPL">'Panel assessments-Specific date'!$M$210</definedName>
    <definedName name="PAPM" localSheetId="0">'Panel assessments-Latest price'!$M$211</definedName>
    <definedName name="PAPM">'Panel assessments-Specific date'!$M$211</definedName>
    <definedName name="PAPN" localSheetId="0">'Panel assessments-Latest price'!$M$212</definedName>
    <definedName name="PAPN">'Panel assessments-Specific date'!$M$212</definedName>
    <definedName name="PAPO" localSheetId="0">'Panel assessments-Latest price'!$M$213</definedName>
    <definedName name="PAPO">'Panel assessments-Specific date'!$M$213</definedName>
    <definedName name="PAPP" localSheetId="0">'Panel assessments-Latest price'!$N$209</definedName>
    <definedName name="PAPP">'Panel assessments-Specific date'!$N$209</definedName>
    <definedName name="PAPQ" localSheetId="0">'Panel assessments-Latest price'!$N$210</definedName>
    <definedName name="PAPQ">'Panel assessments-Specific date'!$N$210</definedName>
    <definedName name="PAPR" localSheetId="0">'Panel assessments-Latest price'!$N$211</definedName>
    <definedName name="PAPR">'Panel assessments-Specific date'!$N$211</definedName>
    <definedName name="PAPS" localSheetId="0">'Panel assessments-Latest price'!$N$212</definedName>
    <definedName name="PAPS">'Panel assessments-Specific date'!$N$212</definedName>
    <definedName name="PAPT" localSheetId="0">'Panel assessments-Latest price'!$N$213</definedName>
    <definedName name="PAPT">'Panel assessments-Specific date'!$N$213</definedName>
    <definedName name="PAPU" localSheetId="0">'Panel assessments-Latest price'!$O$209</definedName>
    <definedName name="PAPU">'Panel assessments-Specific date'!$O$209</definedName>
    <definedName name="PAPV" localSheetId="0">'Panel assessments-Latest price'!$O$210</definedName>
    <definedName name="PAPV">'Panel assessments-Specific date'!$O$210</definedName>
    <definedName name="PAPW" localSheetId="0">'Panel assessments-Latest price'!$O$211</definedName>
    <definedName name="PAPW">'Panel assessments-Specific date'!$O$211</definedName>
    <definedName name="PAPX" localSheetId="0">'Panel assessments-Latest price'!$O$212</definedName>
    <definedName name="PAPX">'Panel assessments-Specific date'!$O$212</definedName>
    <definedName name="PAPY" localSheetId="0">'Panel assessments-Latest price'!$O$213</definedName>
    <definedName name="PAPY">'Panel assessments-Specific date'!$O$213</definedName>
    <definedName name="PAPZ" localSheetId="0">'Panel assessments-Latest price'!$P$209</definedName>
    <definedName name="PAPZ">'Panel assessments-Specific date'!$P$209</definedName>
    <definedName name="PAQA" localSheetId="0">'Panel assessments-Latest price'!$P$210</definedName>
    <definedName name="PAQA">'Panel assessments-Specific date'!$P$210</definedName>
    <definedName name="PAQB" localSheetId="0">'Panel assessments-Latest price'!$P$211</definedName>
    <definedName name="PAQB">'Panel assessments-Specific date'!$P$211</definedName>
    <definedName name="PAQC" localSheetId="0">'Panel assessments-Latest price'!$P$212</definedName>
    <definedName name="PAQC">'Panel assessments-Specific date'!$P$212</definedName>
    <definedName name="PAQD" localSheetId="0">'Panel assessments-Latest price'!$P$213</definedName>
    <definedName name="PAQD">'Panel assessments-Specific date'!$P$213</definedName>
    <definedName name="PAQE" localSheetId="0">'Panel assessments-Latest price'!$Q$209</definedName>
    <definedName name="PAQE">'Panel assessments-Specific date'!$Q$209</definedName>
    <definedName name="PAQF" localSheetId="0">'Panel assessments-Latest price'!$Q$210</definedName>
    <definedName name="PAQF">'Panel assessments-Specific date'!$Q$210</definedName>
    <definedName name="PAQG" localSheetId="0">'Panel assessments-Latest price'!$Q$211</definedName>
    <definedName name="PAQG">'Panel assessments-Specific date'!$Q$211</definedName>
    <definedName name="PAQH" localSheetId="0">'Panel assessments-Latest price'!$Q$212</definedName>
    <definedName name="PAQH">'Panel assessments-Specific date'!$Q$212</definedName>
    <definedName name="PAQI" localSheetId="0">'Panel assessments-Latest price'!$Q$213</definedName>
    <definedName name="PAQI">'Panel assessments-Specific date'!$Q$213</definedName>
    <definedName name="PAQJ" localSheetId="0">'Panel assessments-Latest price'!$R$209</definedName>
    <definedName name="PAQJ">'Panel assessments-Specific date'!$R$209</definedName>
    <definedName name="PAQK" localSheetId="0">'Panel assessments-Latest price'!$R$210</definedName>
    <definedName name="PAQK">'Panel assessments-Specific date'!$R$210</definedName>
    <definedName name="PAQL" localSheetId="0">'Panel assessments-Latest price'!$R$211</definedName>
    <definedName name="PAQL">'Panel assessments-Specific date'!$R$211</definedName>
    <definedName name="PAQM" localSheetId="0">'Panel assessments-Latest price'!$R$212</definedName>
    <definedName name="PAQM">'Panel assessments-Specific date'!$R$212</definedName>
    <definedName name="PAQN" localSheetId="0">'Panel assessments-Latest price'!$R$213</definedName>
    <definedName name="PAQN">'Panel assessments-Specific date'!$R$213</definedName>
    <definedName name="PAQO" localSheetId="0">'Panel assessments-Latest price'!$S$209</definedName>
    <definedName name="PAQO">'Panel assessments-Specific date'!$S$209</definedName>
    <definedName name="PAQP" localSheetId="0">'Panel assessments-Latest price'!$S$210</definedName>
    <definedName name="PAQP">'Panel assessments-Specific date'!$S$210</definedName>
    <definedName name="PAQQ" localSheetId="0">'Panel assessments-Latest price'!$S$211</definedName>
    <definedName name="PAQQ">'Panel assessments-Specific date'!$S$211</definedName>
    <definedName name="PAQR" localSheetId="0">'Panel assessments-Latest price'!$S$212</definedName>
    <definedName name="PAQR">'Panel assessments-Specific date'!$S$212</definedName>
    <definedName name="PAQS" localSheetId="0">'Panel assessments-Latest price'!$S$213</definedName>
    <definedName name="PAQS">'Panel assessments-Specific date'!$S$213</definedName>
    <definedName name="PAQT" localSheetId="0">'Panel assessments-Latest price'!$M$214</definedName>
    <definedName name="PAQT">'Panel assessments-Specific date'!$M$214</definedName>
    <definedName name="PAQU" localSheetId="0">'Panel assessments-Latest price'!$L$220</definedName>
    <definedName name="PAQU">'Panel assessments-Specific date'!$L$220</definedName>
    <definedName name="PAQV" localSheetId="0">'Panel assessments-Latest price'!$L$221</definedName>
    <definedName name="PAQV">'Panel assessments-Specific date'!$L$221</definedName>
    <definedName name="PAQW" localSheetId="0">'Panel assessments-Latest price'!$L$222</definedName>
    <definedName name="PAQW">'Panel assessments-Specific date'!$L$222</definedName>
    <definedName name="PAQX" localSheetId="0">'Panel assessments-Latest price'!$L$223</definedName>
    <definedName name="PAQX">'Panel assessments-Specific date'!$L$223</definedName>
    <definedName name="PAQY" localSheetId="0">'Panel assessments-Latest price'!$L$224</definedName>
    <definedName name="PAQY">'Panel assessments-Specific date'!$L$224</definedName>
    <definedName name="PAQZ" localSheetId="0">'Panel assessments-Latest price'!$M$220</definedName>
    <definedName name="PAQZ">'Panel assessments-Specific date'!$M$220</definedName>
    <definedName name="PARA" localSheetId="0">'Panel assessments-Latest price'!$M$221</definedName>
    <definedName name="PARA">'Panel assessments-Specific date'!$M$221</definedName>
    <definedName name="PARB" localSheetId="0">'Panel assessments-Latest price'!$M$222</definedName>
    <definedName name="PARB">'Panel assessments-Specific date'!$M$222</definedName>
    <definedName name="PARC" localSheetId="0">'Panel assessments-Latest price'!$M$223</definedName>
    <definedName name="PARC">'Panel assessments-Specific date'!$M$223</definedName>
    <definedName name="PARD" localSheetId="0">'Panel assessments-Latest price'!$M$224</definedName>
    <definedName name="PARD">'Panel assessments-Specific date'!$M$224</definedName>
    <definedName name="PARE" localSheetId="0">'Panel assessments-Latest price'!$N$220</definedName>
    <definedName name="PARE">'Panel assessments-Specific date'!$N$220</definedName>
    <definedName name="PARF" localSheetId="0">'Panel assessments-Latest price'!$N$221</definedName>
    <definedName name="PARF">'Panel assessments-Specific date'!$N$221</definedName>
    <definedName name="PARG" localSheetId="0">'Panel assessments-Latest price'!$N$222</definedName>
    <definedName name="PARG">'Panel assessments-Specific date'!$N$222</definedName>
    <definedName name="PARH" localSheetId="0">'Panel assessments-Latest price'!$N$223</definedName>
    <definedName name="PARH">'Panel assessments-Specific date'!$N$223</definedName>
    <definedName name="PARI" localSheetId="0">'Panel assessments-Latest price'!$N$224</definedName>
    <definedName name="PARI">'Panel assessments-Specific date'!$N$224</definedName>
    <definedName name="PARJ" localSheetId="0">'Panel assessments-Latest price'!$O$220</definedName>
    <definedName name="PARJ">'Panel assessments-Specific date'!$O$220</definedName>
    <definedName name="PARK" localSheetId="0">'Panel assessments-Latest price'!$O$221</definedName>
    <definedName name="PARK">'Panel assessments-Specific date'!$O$221</definedName>
    <definedName name="PARL" localSheetId="0">'Panel assessments-Latest price'!$O$222</definedName>
    <definedName name="PARL">'Panel assessments-Specific date'!$O$222</definedName>
    <definedName name="PARM" localSheetId="0">'Panel assessments-Latest price'!$O$223</definedName>
    <definedName name="PARM">'Panel assessments-Specific date'!$O$223</definedName>
    <definedName name="PARN" localSheetId="0">'Panel assessments-Latest price'!$O$224</definedName>
    <definedName name="PARN">'Panel assessments-Specific date'!$O$224</definedName>
    <definedName name="PARO" localSheetId="0">'Panel assessments-Latest price'!$P$220</definedName>
    <definedName name="PARO">'Panel assessments-Specific date'!$P$220</definedName>
    <definedName name="PARP" localSheetId="0">'Panel assessments-Latest price'!$P$221</definedName>
    <definedName name="PARP">'Panel assessments-Specific date'!$P$221</definedName>
    <definedName name="PARQ" localSheetId="0">'Panel assessments-Latest price'!$P$222</definedName>
    <definedName name="PARQ">'Panel assessments-Specific date'!$P$222</definedName>
    <definedName name="PARR" localSheetId="0">'Panel assessments-Latest price'!$P$223</definedName>
    <definedName name="PARR">'Panel assessments-Specific date'!$P$223</definedName>
    <definedName name="PARS" localSheetId="0">'Panel assessments-Latest price'!$P$224</definedName>
    <definedName name="PARS">'Panel assessments-Specific date'!$P$224</definedName>
    <definedName name="PART" localSheetId="0">'Panel assessments-Latest price'!$Q$220</definedName>
    <definedName name="PART">'Panel assessments-Specific date'!$Q$220</definedName>
    <definedName name="PARU" localSheetId="0">'Panel assessments-Latest price'!$Q$221</definedName>
    <definedName name="PARU">'Panel assessments-Specific date'!$Q$221</definedName>
    <definedName name="PARV" localSheetId="0">'Panel assessments-Latest price'!$Q$222</definedName>
    <definedName name="PARV">'Panel assessments-Specific date'!$Q$222</definedName>
    <definedName name="PARW" localSheetId="0">'Panel assessments-Latest price'!$Q$223</definedName>
    <definedName name="PARW">'Panel assessments-Specific date'!$Q$223</definedName>
    <definedName name="PARX" localSheetId="0">'Panel assessments-Latest price'!$Q$224</definedName>
    <definedName name="PARX">'Panel assessments-Specific date'!$Q$224</definedName>
    <definedName name="PARY" localSheetId="0">'Panel assessments-Latest price'!$R$220</definedName>
    <definedName name="PARY">'Panel assessments-Specific date'!$R$220</definedName>
    <definedName name="PARZ" localSheetId="0">'Panel assessments-Latest price'!$R$221</definedName>
    <definedName name="PARZ">'Panel assessments-Specific date'!$R$221</definedName>
    <definedName name="PASA" localSheetId="0">'Panel assessments-Latest price'!$R$222</definedName>
    <definedName name="PASA">'Panel assessments-Specific date'!$R$222</definedName>
    <definedName name="PASB" localSheetId="0">'Panel assessments-Latest price'!$R$223</definedName>
    <definedName name="PASB">'Panel assessments-Specific date'!$R$223</definedName>
    <definedName name="PASC" localSheetId="0">'Panel assessments-Latest price'!$R$224</definedName>
    <definedName name="PASC">'Panel assessments-Specific date'!$R$224</definedName>
    <definedName name="PASD" localSheetId="0">'Panel assessments-Latest price'!$M$225</definedName>
    <definedName name="PASD">'Panel assessments-Specific date'!$M$225</definedName>
    <definedName name="PASE" localSheetId="0">'Panel assessments-Latest price'!$M$226</definedName>
    <definedName name="PASE">'Panel assessments-Specific date'!$M$226</definedName>
    <definedName name="PASF" localSheetId="0">'Panel assessments-Latest price'!$E$209</definedName>
    <definedName name="PASF">'Panel assessments-Specific date'!$E$209</definedName>
    <definedName name="PASG" localSheetId="0">'Panel assessments-Latest price'!$E$210</definedName>
    <definedName name="PASG">'Panel assessments-Specific date'!$E$210</definedName>
    <definedName name="PASH" localSheetId="0">'Panel assessments-Latest price'!$F$308</definedName>
    <definedName name="PASH">'Panel assessments-Specific date'!$F$308</definedName>
    <definedName name="PASI" localSheetId="0">'Panel assessments-Latest price'!$G$308</definedName>
    <definedName name="PASI">'Panel assessments-Specific date'!$G$308</definedName>
    <definedName name="PASJ" localSheetId="0">'Panel assessments-Latest price'!$H$308</definedName>
    <definedName name="PASJ">'Panel assessments-Specific date'!$H$308</definedName>
    <definedName name="PASK" localSheetId="0">'Panel assessments-Latest price'!$S$220</definedName>
    <definedName name="PASK">'Panel assessments-Specific date'!$S$220</definedName>
    <definedName name="PASL" localSheetId="0">'Panel assessments-Latest price'!$S$221</definedName>
    <definedName name="PASL">'Panel assessments-Specific date'!$S$221</definedName>
    <definedName name="PASM" localSheetId="0">'Panel assessments-Latest price'!$S$222</definedName>
    <definedName name="PASM">'Panel assessments-Specific date'!$S$222</definedName>
    <definedName name="PASN" localSheetId="0">'Panel assessments-Latest price'!$S$223</definedName>
    <definedName name="PASN">'Panel assessments-Specific date'!$S$223</definedName>
    <definedName name="PASO" localSheetId="0">'Panel assessments-Latest price'!$S$224</definedName>
    <definedName name="PASO">'Panel assessments-Specific date'!$S$224</definedName>
    <definedName name="PASP" localSheetId="0">'Panel assessments-Latest price'!$B$217</definedName>
    <definedName name="PASP">'Panel assessments-Specific date'!$B$217</definedName>
    <definedName name="PASQ" localSheetId="0">'Panel assessments-Latest price'!$C$217</definedName>
    <definedName name="PASQ">'Panel assessments-Specific date'!$C$217</definedName>
    <definedName name="PASR" localSheetId="0">'Panel assessments-Latest price'!$D$217</definedName>
    <definedName name="PASR">'Panel assessments-Specific date'!$D$217</definedName>
    <definedName name="PASS" localSheetId="0">'Panel assessments-Latest price'!$E$217</definedName>
    <definedName name="PASS">'Panel assessments-Specific date'!$E$217</definedName>
    <definedName name="PAST" localSheetId="0">'Panel assessments-Latest price'!$F$217</definedName>
    <definedName name="PAST">'Panel assessments-Specific date'!$F$217</definedName>
    <definedName name="PASU" localSheetId="0">'Panel assessments-Latest price'!$G$217</definedName>
    <definedName name="PASU">'Panel assessments-Specific date'!$G$217</definedName>
    <definedName name="PASV" localSheetId="0">'Panel assessments-Latest price'!$M$215</definedName>
    <definedName name="PASV">'Panel assessments-Specific date'!$M$215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1" i="9" l="1"/>
  <c r="B201" i="9"/>
  <c r="B22" i="9" a="1"/>
  <c r="B22" i="9" l="1"/>
  <c r="D22" i="9" s="1"/>
  <c r="C22" i="9" l="1"/>
  <c r="A101" i="9"/>
  <c r="A201" i="9"/>
  <c r="A301" i="9"/>
  <c r="D146" i="9" a="1"/>
  <c r="C214" i="9" a="1"/>
  <c r="F110" i="9" a="1"/>
  <c r="L120" i="9" a="1"/>
  <c r="Q131" i="9" a="1"/>
  <c r="L111" i="9" a="1"/>
  <c r="B120" i="9" a="1"/>
  <c r="F123" i="9" a="1"/>
  <c r="G217" i="9" a="1"/>
  <c r="Q156" i="9" a="1"/>
  <c r="P212" i="9" a="1"/>
  <c r="N213" i="9" a="1"/>
  <c r="G111" i="9" a="1"/>
  <c r="Q130" i="9" a="1"/>
  <c r="F215" i="9" a="1"/>
  <c r="F125" i="9" a="1"/>
  <c r="O113" i="9" a="1"/>
  <c r="O152" i="9" a="1"/>
  <c r="E142" i="9" a="1"/>
  <c r="R223" i="9" a="1"/>
  <c r="E146" i="9" a="1"/>
  <c r="C144" i="9" a="1"/>
  <c r="C110" i="9" a="1"/>
  <c r="S209" i="9" a="1"/>
  <c r="E137" i="9" a="1"/>
  <c r="P113" i="9" a="1"/>
  <c r="E125" i="9" a="1"/>
  <c r="R154" i="9" a="1"/>
  <c r="M111" i="9" a="1"/>
  <c r="O157" i="9" a="1"/>
  <c r="M210" i="9" a="1"/>
  <c r="G142" i="9" a="1"/>
  <c r="G110" i="9" a="1"/>
  <c r="Q221" i="9" a="1"/>
  <c r="P220" i="9" a="1"/>
  <c r="L154" i="9" a="1"/>
  <c r="Q209" i="9" a="1"/>
  <c r="B113" i="9" a="1"/>
  <c r="Q222" i="9" a="1"/>
  <c r="C133" i="9" a="1"/>
  <c r="P213" i="9" a="1"/>
  <c r="N222" i="9" a="1"/>
  <c r="O109" i="9" a="1"/>
  <c r="O130" i="9" a="1"/>
  <c r="F304" i="9" a="1"/>
  <c r="C217" i="9" a="1"/>
  <c r="L222" i="9" a="1"/>
  <c r="M152" i="9" a="1"/>
  <c r="D121" i="9" a="1"/>
  <c r="Q154" i="9" a="1"/>
  <c r="M154" i="9" a="1"/>
  <c r="C151" i="9" a="1"/>
  <c r="E217" i="9" a="1"/>
  <c r="D122" i="9" a="1"/>
  <c r="N211" i="9" a="1"/>
  <c r="E122" i="9" a="1"/>
  <c r="P130" i="9" a="1"/>
  <c r="C121" i="9" a="1"/>
  <c r="P154" i="9" a="1"/>
  <c r="G211" i="9" a="1"/>
  <c r="D209" i="9" a="1"/>
  <c r="O129" i="9" a="1"/>
  <c r="B125" i="9" a="1"/>
  <c r="Q220" i="9" a="1"/>
  <c r="I142" i="9" a="1"/>
  <c r="L213" i="9" a="1"/>
  <c r="M120" i="9" a="1"/>
  <c r="O220" i="9" a="1"/>
  <c r="B123" i="9" a="1"/>
  <c r="B122" i="9" a="1"/>
  <c r="D126" i="9" a="1"/>
  <c r="F308" i="9" a="1"/>
  <c r="M220" i="9" a="1"/>
  <c r="P223" i="9" a="1"/>
  <c r="O132" i="9" a="1"/>
  <c r="L110" i="9" a="1"/>
  <c r="M223" i="9" a="1"/>
  <c r="R156" i="9" a="1"/>
  <c r="L156" i="9" a="1"/>
  <c r="Q211" i="9" a="1"/>
  <c r="D133" i="9" a="1"/>
  <c r="R212" i="9" a="1"/>
  <c r="E120" i="9" a="1"/>
  <c r="B152" i="9" a="1"/>
  <c r="C109" i="9" a="1"/>
  <c r="D144" i="9" a="1"/>
  <c r="L223" i="9" a="1"/>
  <c r="B119" i="9" a="1"/>
  <c r="R210" i="9" a="1"/>
  <c r="L119" i="9" a="1"/>
  <c r="O210" i="9" a="1"/>
  <c r="E124" i="9" a="1"/>
  <c r="I145" i="9" a="1"/>
  <c r="B150" i="9" a="1"/>
  <c r="C114" i="9" a="1"/>
  <c r="F307" i="9" a="1"/>
  <c r="N154" i="9" a="1"/>
  <c r="B111" i="9" a="1"/>
  <c r="C120" i="9" a="1"/>
  <c r="L128" i="9" a="1"/>
  <c r="F119" i="9" a="1"/>
  <c r="L221" i="9" a="1"/>
  <c r="G145" i="9" a="1"/>
  <c r="E121" i="9" a="1"/>
  <c r="R220" i="9" a="1"/>
  <c r="P137" i="9" a="1"/>
  <c r="F135" i="9" a="1"/>
  <c r="E144" i="9" a="1"/>
  <c r="M224" i="9" a="1"/>
  <c r="B124" i="9" a="1"/>
  <c r="D111" i="9" a="1"/>
  <c r="R211" i="9" a="1"/>
  <c r="E133" i="9" a="1"/>
  <c r="S220" i="9" a="1"/>
  <c r="B146" i="9" a="1"/>
  <c r="D136" i="9" a="1"/>
  <c r="P211" i="9" a="1"/>
  <c r="I146" i="9" a="1"/>
  <c r="M121" i="9" a="1"/>
  <c r="G135" i="9" a="1"/>
  <c r="N109" i="9" a="1"/>
  <c r="C215" i="9" a="1"/>
  <c r="D109" i="9" a="1"/>
  <c r="B212" i="9" a="1"/>
  <c r="L113" i="9" a="1"/>
  <c r="Q212" i="9" a="1"/>
  <c r="B210" i="9" a="1"/>
  <c r="C119" i="9" a="1"/>
  <c r="Q128" i="9" a="1"/>
  <c r="R209" i="9" a="1"/>
  <c r="P153" i="9" a="1"/>
  <c r="M221" i="9" a="1"/>
  <c r="N121" i="9" a="1"/>
  <c r="F122" i="9" a="1"/>
  <c r="D137" i="9" a="1"/>
  <c r="O213" i="9" a="1"/>
  <c r="B145" i="9" a="1"/>
  <c r="N137" i="9" a="1"/>
  <c r="E211" i="9" a="1"/>
  <c r="F209" i="9" a="1"/>
  <c r="G133" i="9" a="1"/>
  <c r="B121" i="9" a="1"/>
  <c r="O112" i="9" a="1"/>
  <c r="G134" i="9" a="1"/>
  <c r="Q132" i="9" a="1"/>
  <c r="O138" i="9" a="1"/>
  <c r="F214" i="9" a="1"/>
  <c r="B217" i="9" a="1"/>
  <c r="F113" i="9" a="1"/>
  <c r="M113" i="9" a="1"/>
  <c r="N120" i="9" a="1"/>
  <c r="D112" i="9" a="1"/>
  <c r="C146" i="9" a="1"/>
  <c r="E135" i="9" a="1"/>
  <c r="L211" i="9" a="1"/>
  <c r="E215" i="9" a="1"/>
  <c r="F212" i="9" a="1"/>
  <c r="L220" i="9" a="1"/>
  <c r="E143" i="9" a="1"/>
  <c r="C122" i="9" a="1"/>
  <c r="O119" i="9" a="1"/>
  <c r="P132" i="9" a="1"/>
  <c r="D215" i="9" a="1"/>
  <c r="E112" i="9" a="1"/>
  <c r="B114" i="9" a="1"/>
  <c r="F112" i="9" a="1"/>
  <c r="O154" i="9" a="1"/>
  <c r="P111" i="9" a="1"/>
  <c r="O137" i="9" a="1"/>
  <c r="M119" i="9" a="1"/>
  <c r="N122" i="9" a="1"/>
  <c r="B215" i="9" a="1"/>
  <c r="M156" i="9" a="1"/>
  <c r="C111" i="9" a="1"/>
  <c r="D145" i="9" a="1"/>
  <c r="O162" i="9" a="1"/>
  <c r="N163" i="9" a="1"/>
  <c r="G114" i="9" a="1"/>
  <c r="Q213" i="9" a="1"/>
  <c r="L131" i="9" a="1"/>
  <c r="O123" i="9" a="1"/>
  <c r="O122" i="9" a="1"/>
  <c r="N223" i="9" a="1"/>
  <c r="L212" i="9" a="1"/>
  <c r="B112" i="9" a="1"/>
  <c r="F136" i="9" a="1"/>
  <c r="M153" i="9" a="1"/>
  <c r="P222" i="9" a="1"/>
  <c r="L138" i="9" a="1"/>
  <c r="G136" i="9" a="1"/>
  <c r="S213" i="9" a="1"/>
  <c r="F120" i="9" a="1"/>
  <c r="M163" i="9" a="1"/>
  <c r="B213" i="9" a="1"/>
  <c r="P128" i="9" a="1"/>
  <c r="E209" i="9" a="1"/>
  <c r="F121" i="9" a="1"/>
  <c r="G210" i="9" a="1"/>
  <c r="P156" i="9" a="1"/>
  <c r="E109" i="9" a="1"/>
  <c r="O153" i="9" a="1"/>
  <c r="E213" i="9" a="1"/>
  <c r="N209" i="9" a="1"/>
  <c r="E136" i="9" a="1"/>
  <c r="E110" i="9" a="1"/>
  <c r="N119" i="9" a="1"/>
  <c r="C135" i="9" a="1"/>
  <c r="N152" i="9" a="1"/>
  <c r="C126" i="9" a="1"/>
  <c r="P209" i="9" a="1"/>
  <c r="B110" i="9" a="1"/>
  <c r="D134" i="9" a="1"/>
  <c r="O111" i="9" a="1"/>
  <c r="L109" i="9" a="1"/>
  <c r="E216" i="9" a="1"/>
  <c r="F124" i="9" a="1"/>
  <c r="N210" i="9" a="1"/>
  <c r="N155" i="9" a="1"/>
  <c r="N221" i="9" a="1"/>
  <c r="B135" i="9" a="1"/>
  <c r="O128" i="9" a="1"/>
  <c r="F305" i="9" a="1"/>
  <c r="L122" i="9" a="1"/>
  <c r="C213" i="9" a="1"/>
  <c r="F216" i="9" a="1"/>
  <c r="C136" i="9" a="1"/>
  <c r="L129" i="9" a="1"/>
  <c r="E134" i="9" a="1"/>
  <c r="O163" i="9" a="1"/>
  <c r="N212" i="9" a="1"/>
  <c r="Q127" i="9" a="1"/>
  <c r="P109" i="9" a="1"/>
  <c r="I22" i="9" a="1"/>
  <c r="B214" i="9" a="1"/>
  <c r="D114" i="9" a="1"/>
  <c r="F306" i="9" a="1"/>
  <c r="M226" i="9" a="1"/>
  <c r="E114" i="9" a="1"/>
  <c r="M138" i="9" a="1"/>
  <c r="B133" i="9" a="1"/>
  <c r="E113" i="9" a="1"/>
  <c r="F210" i="9" a="1"/>
  <c r="M212" i="9" a="1"/>
  <c r="C143" i="9" a="1"/>
  <c r="L123" i="9" a="1"/>
  <c r="R222" i="9" a="1"/>
  <c r="G209" i="9" a="1"/>
  <c r="N113" i="9" a="1"/>
  <c r="L137" i="9" a="1"/>
  <c r="P131" i="9" a="1"/>
  <c r="E210" i="9" a="1"/>
  <c r="O155" i="9" a="1"/>
  <c r="M122" i="9" a="1"/>
  <c r="C152" i="9" a="1"/>
  <c r="G113" i="9" a="1"/>
  <c r="S222" i="9" a="1"/>
  <c r="C210" i="9" a="1"/>
  <c r="M123" i="9" a="1"/>
  <c r="D125" i="9" a="1"/>
  <c r="M137" i="9" a="1"/>
  <c r="B216" i="9" a="1"/>
  <c r="C124" i="9" a="1"/>
  <c r="E145" i="9" a="1"/>
  <c r="G214" i="9" a="1"/>
  <c r="F134" i="9" a="1"/>
  <c r="P129" i="9" a="1"/>
  <c r="D123" i="9" a="1"/>
  <c r="L132" i="9" a="1"/>
  <c r="R221" i="9" a="1"/>
  <c r="O121" i="9" a="1"/>
  <c r="B137" i="9" a="1"/>
  <c r="S211" i="9" a="1"/>
  <c r="N123" i="9" a="1"/>
  <c r="S212" i="9" a="1"/>
  <c r="O223" i="9" a="1"/>
  <c r="S223" i="9" a="1"/>
  <c r="P210" i="9" a="1"/>
  <c r="M222" i="9" a="1"/>
  <c r="O224" i="9" a="1"/>
  <c r="M214" i="9" a="1"/>
  <c r="M162" i="9" a="1"/>
  <c r="C123" i="9" a="1"/>
  <c r="M215" i="9" a="1"/>
  <c r="N220" i="9" a="1"/>
  <c r="C125" i="9" a="1"/>
  <c r="D213" i="9" a="1"/>
  <c r="D113" i="9" a="1"/>
  <c r="O131" i="9" a="1"/>
  <c r="O212" i="9" a="1"/>
  <c r="C212" i="9" a="1"/>
  <c r="F133" i="9" a="1"/>
  <c r="B209" i="9" a="1"/>
  <c r="H143" i="9" a="1"/>
  <c r="B136" i="9" a="1"/>
  <c r="N153" i="9" a="1"/>
  <c r="P127" i="9" a="1"/>
  <c r="O211" i="9" a="1"/>
  <c r="L127" i="9" a="1"/>
  <c r="G137" i="9" a="1"/>
  <c r="F213" i="9" a="1"/>
  <c r="D143" i="9" a="1"/>
  <c r="L163" i="9" a="1"/>
  <c r="G112" i="9" a="1"/>
  <c r="D124" i="9" a="1"/>
  <c r="P112" i="9" a="1"/>
  <c r="D216" i="9" a="1"/>
  <c r="B109" i="9" a="1"/>
  <c r="O156" i="9" a="1"/>
  <c r="M213" i="9" a="1"/>
  <c r="O209" i="9" a="1"/>
  <c r="G212" i="9" a="1"/>
  <c r="E111" i="9" a="1"/>
  <c r="Q129" i="9" a="1"/>
  <c r="N224" i="9" a="1"/>
  <c r="C137" i="9" a="1"/>
  <c r="L162" i="9" a="1"/>
  <c r="D210" i="9" a="1"/>
  <c r="G143" i="9" a="1"/>
  <c r="G216" i="9" a="1"/>
  <c r="N157" i="9" a="1"/>
  <c r="C209" i="9" a="1"/>
  <c r="C112" i="9" a="1"/>
  <c r="F111" i="9" a="1"/>
  <c r="M211" i="9" a="1"/>
  <c r="F109" i="9" a="1"/>
  <c r="D142" i="9" a="1"/>
  <c r="G22" i="9"/>
  <c r="F217" i="9" a="1"/>
  <c r="C145" i="9" a="1"/>
  <c r="E119" i="9" a="1"/>
  <c r="Q210" i="9" a="1"/>
  <c r="O221" i="9" a="1"/>
  <c r="E123" i="9" a="1"/>
  <c r="Q223" i="9" a="1"/>
  <c r="L224" i="9" a="1"/>
  <c r="G109" i="9" a="1"/>
  <c r="D110" i="9" a="1"/>
  <c r="L152" i="9" a="1"/>
  <c r="L112" i="9" a="1"/>
  <c r="O127" i="9" a="1"/>
  <c r="F114" i="9" a="1"/>
  <c r="C134" i="9" a="1"/>
  <c r="N162" i="9" a="1"/>
  <c r="F137" i="9" a="1"/>
  <c r="D217" i="9" a="1"/>
  <c r="S224" i="9" a="1"/>
  <c r="D214" i="9" a="1"/>
  <c r="D211" i="9" a="1"/>
  <c r="S210" i="9" a="1"/>
  <c r="R224" i="9" a="1"/>
  <c r="C211" i="9" a="1"/>
  <c r="O222" i="9" a="1"/>
  <c r="P221" i="9" a="1"/>
  <c r="O120" i="9" a="1"/>
  <c r="P152" i="9" a="1"/>
  <c r="Q224" i="9" a="1"/>
  <c r="M209" i="9" a="1"/>
  <c r="G215" i="9" a="1"/>
  <c r="S221" i="9" a="1"/>
  <c r="B144" i="9" a="1"/>
  <c r="D120" i="9" a="1"/>
  <c r="L209" i="9" a="1"/>
  <c r="N138" i="9" a="1"/>
  <c r="I143" i="9" a="1"/>
  <c r="M225" i="9" a="1"/>
  <c r="G213" i="9" a="1"/>
  <c r="B211" i="9" a="1"/>
  <c r="C150" i="9" a="1"/>
  <c r="G146" i="9" a="1"/>
  <c r="C142" i="9" a="1"/>
  <c r="M112" i="9" a="1"/>
  <c r="B142" i="9" a="1"/>
  <c r="L121" i="9" a="1"/>
  <c r="L210" i="9" a="1"/>
  <c r="N156" i="9" a="1"/>
  <c r="D119" i="9" a="1"/>
  <c r="L153" i="9" a="1"/>
  <c r="C216" i="9" a="1"/>
  <c r="R213" i="9" a="1"/>
  <c r="M114" i="9" a="1"/>
  <c r="B143" i="9" a="1"/>
  <c r="N111" i="9" a="1"/>
  <c r="P224" i="9" a="1"/>
  <c r="B134" i="9" a="1"/>
  <c r="D135" i="9" a="1"/>
  <c r="G307" i="9" a="1"/>
  <c r="E212" i="9" a="1"/>
  <c r="F211" i="9" a="1"/>
  <c r="D212" i="9" a="1"/>
  <c r="B151" i="9" a="1"/>
  <c r="G305" i="9" a="1"/>
  <c r="C113" i="9" a="1"/>
  <c r="N112" i="9" a="1"/>
  <c r="H142" i="9" a="1"/>
  <c r="E214" i="9" a="1"/>
  <c r="G306" i="9" a="1"/>
  <c r="G304" i="9" a="1"/>
  <c r="G308" i="9" a="1"/>
  <c r="L132" i="9" l="1"/>
  <c r="B122" i="9"/>
  <c r="R210" i="9"/>
  <c r="P154" i="9"/>
  <c r="O224" i="9"/>
  <c r="E123" i="9"/>
  <c r="C122" i="9"/>
  <c r="F111" i="9"/>
  <c r="F308" i="9"/>
  <c r="B121" i="9"/>
  <c r="D211" i="9"/>
  <c r="F209" i="9"/>
  <c r="O130" i="9"/>
  <c r="Q221" i="9"/>
  <c r="R223" i="9"/>
  <c r="D120" i="9"/>
  <c r="D109" i="9"/>
  <c r="Q223" i="9"/>
  <c r="C145" i="9"/>
  <c r="F216" i="9"/>
  <c r="P210" i="9"/>
  <c r="L120" i="9"/>
  <c r="R224" i="9"/>
  <c r="L113" i="9"/>
  <c r="E210" i="9"/>
  <c r="P109" i="9"/>
  <c r="F217" i="9"/>
  <c r="D114" i="9"/>
  <c r="E110" i="9"/>
  <c r="L152" i="9"/>
  <c r="B111" i="9"/>
  <c r="B124" i="9"/>
  <c r="D143" i="9"/>
  <c r="R212" i="9"/>
  <c r="D210" i="9"/>
  <c r="B145" i="9"/>
  <c r="B213" i="9"/>
  <c r="E134" i="9"/>
  <c r="E213" i="9"/>
  <c r="D216" i="9"/>
  <c r="D213" i="9"/>
  <c r="R209" i="9"/>
  <c r="F114" i="9"/>
  <c r="M152" i="9"/>
  <c r="F211" i="9"/>
  <c r="D126" i="9"/>
  <c r="D133" i="9"/>
  <c r="L123" i="9"/>
  <c r="B113" i="9"/>
  <c r="P132" i="9"/>
  <c r="B135" i="9"/>
  <c r="N120" i="9"/>
  <c r="M111" i="9"/>
  <c r="S222" i="9"/>
  <c r="O213" i="9"/>
  <c r="B216" i="9"/>
  <c r="M209" i="9"/>
  <c r="F122" i="9"/>
  <c r="N222" i="9"/>
  <c r="Q128" i="9"/>
  <c r="C143" i="9"/>
  <c r="B119" i="9"/>
  <c r="O132" i="9"/>
  <c r="B114" i="9"/>
  <c r="F124" i="9"/>
  <c r="C119" i="9"/>
  <c r="C135" i="9"/>
  <c r="F212" i="9"/>
  <c r="F136" i="9"/>
  <c r="E214" i="9"/>
  <c r="F112" i="9"/>
  <c r="G134" i="9"/>
  <c r="F120" i="9"/>
  <c r="O210" i="9"/>
  <c r="G211" i="9"/>
  <c r="B209" i="9"/>
  <c r="E145" i="9"/>
  <c r="C146" i="9"/>
  <c r="E112" i="9"/>
  <c r="F125" i="9"/>
  <c r="G142" i="9"/>
  <c r="E211" i="9"/>
  <c r="D122" i="9"/>
  <c r="P213" i="9"/>
  <c r="O131" i="9"/>
  <c r="P221" i="9"/>
  <c r="C210" i="9"/>
  <c r="N113" i="9"/>
  <c r="L137" i="9"/>
  <c r="E111" i="9"/>
  <c r="E143" i="9"/>
  <c r="L121" i="9"/>
  <c r="C123" i="9"/>
  <c r="G145" i="9"/>
  <c r="O211" i="9"/>
  <c r="N156" i="9"/>
  <c r="C126" i="9"/>
  <c r="D136" i="9"/>
  <c r="G215" i="9"/>
  <c r="M212" i="9"/>
  <c r="O123" i="9"/>
  <c r="L110" i="9"/>
  <c r="B151" i="9"/>
  <c r="E122" i="9"/>
  <c r="O111" i="9"/>
  <c r="C216" i="9"/>
  <c r="L162" i="9"/>
  <c r="O122" i="9"/>
  <c r="E136" i="9"/>
  <c r="M215" i="9"/>
  <c r="C213" i="9"/>
  <c r="N138" i="9"/>
  <c r="F134" i="9"/>
  <c r="L221" i="9"/>
  <c r="L153" i="9"/>
  <c r="B150" i="9"/>
  <c r="S221" i="9"/>
  <c r="C110" i="9"/>
  <c r="F304" i="9"/>
  <c r="G213" i="9"/>
  <c r="M214" i="9"/>
  <c r="E133" i="9"/>
  <c r="M119" i="9"/>
  <c r="G135" i="9"/>
  <c r="L119" i="9"/>
  <c r="M224" i="9"/>
  <c r="B214" i="9"/>
  <c r="M122" i="9"/>
  <c r="S220" i="9"/>
  <c r="M210" i="9"/>
  <c r="L209" i="9"/>
  <c r="P211" i="9"/>
  <c r="D135" i="9"/>
  <c r="B133" i="9"/>
  <c r="E137" i="9"/>
  <c r="O128" i="9"/>
  <c r="P111" i="9"/>
  <c r="N109" i="9"/>
  <c r="B125" i="9"/>
  <c r="M154" i="9"/>
  <c r="Q129" i="9"/>
  <c r="N123" i="9"/>
  <c r="H142" i="9"/>
  <c r="L223" i="9"/>
  <c r="L211" i="9"/>
  <c r="N157" i="9"/>
  <c r="E120" i="9"/>
  <c r="N209" i="9"/>
  <c r="O220" i="9"/>
  <c r="N210" i="9"/>
  <c r="O112" i="9"/>
  <c r="L138" i="9"/>
  <c r="Q154" i="9"/>
  <c r="C112" i="9"/>
  <c r="I142" i="9"/>
  <c r="E142" i="9"/>
  <c r="F213" i="9"/>
  <c r="C151" i="9"/>
  <c r="F113" i="9"/>
  <c r="S212" i="9"/>
  <c r="Q130" i="9"/>
  <c r="N211" i="9"/>
  <c r="N111" i="9"/>
  <c r="M163" i="9"/>
  <c r="B134" i="9"/>
  <c r="P113" i="9"/>
  <c r="G113" i="9"/>
  <c r="F121" i="9"/>
  <c r="E119" i="9"/>
  <c r="E135" i="9"/>
  <c r="R222" i="9"/>
  <c r="F306" i="9"/>
  <c r="B123" i="9"/>
  <c r="N155" i="9"/>
  <c r="G210" i="9"/>
  <c r="F135" i="9"/>
  <c r="D123" i="9"/>
  <c r="L163" i="9"/>
  <c r="C113" i="9"/>
  <c r="B142" i="9"/>
  <c r="F110" i="9"/>
  <c r="O120" i="9"/>
  <c r="B110" i="9"/>
  <c r="C137" i="9"/>
  <c r="M222" i="9"/>
  <c r="F119" i="9"/>
  <c r="L222" i="9"/>
  <c r="D125" i="9"/>
  <c r="D112" i="9"/>
  <c r="D110" i="9"/>
  <c r="Q212" i="9"/>
  <c r="C217" i="9"/>
  <c r="D217" i="9"/>
  <c r="E113" i="9"/>
  <c r="E212" i="9"/>
  <c r="C215" i="9"/>
  <c r="E216" i="9"/>
  <c r="I143" i="9"/>
  <c r="O212" i="9"/>
  <c r="Q224" i="9"/>
  <c r="S211" i="9"/>
  <c r="L127" i="9"/>
  <c r="C120" i="9"/>
  <c r="P137" i="9"/>
  <c r="E125" i="9"/>
  <c r="Q156" i="9"/>
  <c r="O119" i="9"/>
  <c r="F215" i="9"/>
  <c r="N154" i="9"/>
  <c r="P127" i="9"/>
  <c r="B215" i="9"/>
  <c r="O129" i="9"/>
  <c r="B143" i="9"/>
  <c r="F109" i="9"/>
  <c r="O223" i="9"/>
  <c r="P129" i="9"/>
  <c r="N220" i="9"/>
  <c r="E209" i="9"/>
  <c r="O222" i="9"/>
  <c r="M121" i="9"/>
  <c r="M225" i="9"/>
  <c r="L122" i="9"/>
  <c r="B210" i="9"/>
  <c r="G112" i="9"/>
  <c r="M223" i="9"/>
  <c r="N224" i="9"/>
  <c r="R220" i="9"/>
  <c r="M220" i="9"/>
  <c r="Q222" i="9"/>
  <c r="O157" i="9"/>
  <c r="N221" i="9"/>
  <c r="D121" i="9"/>
  <c r="E109" i="9"/>
  <c r="N119" i="9"/>
  <c r="C144" i="9"/>
  <c r="F307" i="9"/>
  <c r="G136" i="9"/>
  <c r="E114" i="9"/>
  <c r="P212" i="9"/>
  <c r="B211" i="9"/>
  <c r="D134" i="9"/>
  <c r="Q209" i="9"/>
  <c r="B217" i="9"/>
  <c r="M153" i="9"/>
  <c r="O153" i="9"/>
  <c r="O152" i="9"/>
  <c r="L156" i="9"/>
  <c r="O121" i="9"/>
  <c r="N121" i="9"/>
  <c r="M123" i="9"/>
  <c r="O155" i="9"/>
  <c r="L128" i="9"/>
  <c r="G214" i="9"/>
  <c r="C150" i="9"/>
  <c r="L111" i="9"/>
  <c r="G133" i="9"/>
  <c r="I145" i="9"/>
  <c r="D111" i="9"/>
  <c r="B137" i="9"/>
  <c r="S210" i="9"/>
  <c r="O137" i="9"/>
  <c r="N122" i="9"/>
  <c r="N137" i="9"/>
  <c r="M211" i="9"/>
  <c r="O127" i="9"/>
  <c r="D214" i="9"/>
  <c r="P209" i="9"/>
  <c r="F133" i="9"/>
  <c r="M137" i="9"/>
  <c r="F123" i="9"/>
  <c r="F214" i="9"/>
  <c r="E217" i="9"/>
  <c r="D142" i="9"/>
  <c r="B146" i="9"/>
  <c r="G146" i="9"/>
  <c r="D146" i="9"/>
  <c r="L224" i="9"/>
  <c r="B109" i="9"/>
  <c r="L212" i="9"/>
  <c r="H143" i="9"/>
  <c r="E146" i="9"/>
  <c r="B212" i="9"/>
  <c r="C133" i="9"/>
  <c r="G114" i="9"/>
  <c r="Q213" i="9"/>
  <c r="S224" i="9"/>
  <c r="O138" i="9"/>
  <c r="F305" i="9"/>
  <c r="P152" i="9"/>
  <c r="G111" i="9"/>
  <c r="Q127" i="9"/>
  <c r="O209" i="9"/>
  <c r="N152" i="9"/>
  <c r="R213" i="9"/>
  <c r="M213" i="9"/>
  <c r="D145" i="9"/>
  <c r="M162" i="9"/>
  <c r="P222" i="9"/>
  <c r="P112" i="9"/>
  <c r="N163" i="9"/>
  <c r="N212" i="9"/>
  <c r="M113" i="9"/>
  <c r="O162" i="9"/>
  <c r="C214" i="9"/>
  <c r="P131" i="9"/>
  <c r="E144" i="9"/>
  <c r="G109" i="9"/>
  <c r="G216" i="9"/>
  <c r="Q210" i="9"/>
  <c r="G217" i="9"/>
  <c r="O163" i="9"/>
  <c r="G212" i="9"/>
  <c r="D113" i="9"/>
  <c r="N213" i="9"/>
  <c r="S209" i="9"/>
  <c r="B136" i="9"/>
  <c r="C211" i="9"/>
  <c r="M226" i="9"/>
  <c r="P224" i="9"/>
  <c r="L131" i="9"/>
  <c r="N223" i="9"/>
  <c r="O156" i="9"/>
  <c r="M120" i="9"/>
  <c r="Q211" i="9"/>
  <c r="R211" i="9"/>
  <c r="D119" i="9"/>
  <c r="L112" i="9"/>
  <c r="L210" i="9"/>
  <c r="L213" i="9"/>
  <c r="E215" i="9"/>
  <c r="C111" i="9"/>
  <c r="L109" i="9"/>
  <c r="N112" i="9"/>
  <c r="N162" i="9"/>
  <c r="C152" i="9"/>
  <c r="S223" i="9"/>
  <c r="C134" i="9"/>
  <c r="O154" i="9"/>
  <c r="M138" i="9"/>
  <c r="P223" i="9"/>
  <c r="Q131" i="9"/>
  <c r="P153" i="9"/>
  <c r="Q132" i="9"/>
  <c r="Q220" i="9"/>
  <c r="S213" i="9"/>
  <c r="C212" i="9"/>
  <c r="C125" i="9"/>
  <c r="P130" i="9"/>
  <c r="L220" i="9"/>
  <c r="B112" i="9"/>
  <c r="D215" i="9"/>
  <c r="C114" i="9"/>
  <c r="C109" i="9"/>
  <c r="D124" i="9"/>
  <c r="R221" i="9"/>
  <c r="C209" i="9"/>
  <c r="F137" i="9"/>
  <c r="G137" i="9"/>
  <c r="G143" i="9"/>
  <c r="D209" i="9"/>
  <c r="P220" i="9"/>
  <c r="P128" i="9"/>
  <c r="M156" i="9"/>
  <c r="B152" i="9"/>
  <c r="L129" i="9"/>
  <c r="D212" i="9"/>
  <c r="F210" i="9"/>
  <c r="O113" i="9"/>
  <c r="C124" i="9"/>
  <c r="B144" i="9"/>
  <c r="C136" i="9"/>
  <c r="G110" i="9"/>
  <c r="M221" i="9"/>
  <c r="R154" i="9"/>
  <c r="D144" i="9"/>
  <c r="I146" i="9"/>
  <c r="M112" i="9"/>
  <c r="R156" i="9"/>
  <c r="C142" i="9"/>
  <c r="D137" i="9"/>
  <c r="O221" i="9"/>
  <c r="G209" i="9"/>
  <c r="E121" i="9"/>
  <c r="E124" i="9"/>
  <c r="O109" i="9"/>
  <c r="P156" i="9"/>
  <c r="L154" i="9"/>
  <c r="B120" i="9"/>
  <c r="C121" i="9"/>
  <c r="N153" i="9"/>
  <c r="M114" i="9"/>
  <c r="G306" i="9"/>
  <c r="G307" i="9"/>
  <c r="G304" i="9"/>
  <c r="G308" i="9"/>
  <c r="G305" i="9"/>
  <c r="I22" i="9"/>
  <c r="H307" i="9" a="1"/>
  <c r="H306" i="9" a="1"/>
  <c r="H304" i="9" a="1"/>
  <c r="H308" i="9" a="1"/>
  <c r="H305" i="9" a="1"/>
  <c r="H306" i="9" l="1"/>
  <c r="H307" i="9"/>
  <c r="H304" i="9"/>
  <c r="H308" i="9"/>
  <c r="H305" i="9"/>
  <c r="B201" i="8" l="1"/>
  <c r="B101" i="8"/>
  <c r="B109" i="8" a="1"/>
  <c r="I22" i="8" a="1"/>
  <c r="G22" i="8"/>
  <c r="I22" i="8" l="1"/>
  <c r="B109" i="8"/>
  <c r="C22" i="8"/>
  <c r="D22" i="8"/>
  <c r="A201" i="8"/>
  <c r="P211" i="8" a="1"/>
  <c r="B145" i="8" a="1"/>
  <c r="R212" i="8" a="1"/>
  <c r="L152" i="8" a="1"/>
  <c r="N120" i="8" a="1"/>
  <c r="M226" i="8" a="1"/>
  <c r="Q154" i="8" a="1"/>
  <c r="N220" i="8" a="1"/>
  <c r="S213" i="8" a="1"/>
  <c r="Q210" i="8" a="1"/>
  <c r="B119" i="8" a="1"/>
  <c r="B121" i="8" a="1"/>
  <c r="G111" i="8" a="1"/>
  <c r="M113" i="8" a="1"/>
  <c r="E134" i="8" a="1"/>
  <c r="L132" i="8" a="1"/>
  <c r="L210" i="8" a="1"/>
  <c r="B209" i="8" a="1"/>
  <c r="G211" i="8" a="1"/>
  <c r="O154" i="8" a="1"/>
  <c r="Q221" i="8" a="1"/>
  <c r="L212" i="8" a="1"/>
  <c r="R220" i="8" a="1"/>
  <c r="C143" i="8" a="1"/>
  <c r="R154" i="8" a="1"/>
  <c r="O137" i="8" a="1"/>
  <c r="E143" i="8" a="1"/>
  <c r="P154" i="8" a="1"/>
  <c r="D120" i="8" a="1"/>
  <c r="S223" i="8" a="1"/>
  <c r="F216" i="8" a="1"/>
  <c r="Q131" i="8" a="1"/>
  <c r="O111" i="8" a="1"/>
  <c r="G216" i="8" a="1"/>
  <c r="B211" i="8" a="1"/>
  <c r="O162" i="8" a="1"/>
  <c r="C210" i="8" a="1"/>
  <c r="S209" i="8" a="1"/>
  <c r="S220" i="8" a="1"/>
  <c r="P113" i="8" a="1"/>
  <c r="P132" i="8" a="1"/>
  <c r="F110" i="8" a="1"/>
  <c r="I142" i="8" a="1"/>
  <c r="E135" i="8" a="1"/>
  <c r="N211" i="8" a="1"/>
  <c r="O220" i="8" a="1"/>
  <c r="F217" i="8" a="1"/>
  <c r="C152" i="8" a="1"/>
  <c r="M211" i="8" a="1"/>
  <c r="G136" i="8" a="1"/>
  <c r="Q224" i="8" a="1"/>
  <c r="D111" i="8" a="1"/>
  <c r="E210" i="8" a="1"/>
  <c r="E217" i="8" a="1"/>
  <c r="B110" i="8" a="1"/>
  <c r="S221" i="8" a="1"/>
  <c r="L119" i="8" a="1"/>
  <c r="G112" i="8" a="1"/>
  <c r="Q127" i="8" a="1"/>
  <c r="M163" i="8" a="1"/>
  <c r="B125" i="8" a="1"/>
  <c r="C119" i="8" a="1"/>
  <c r="E216" i="8" a="1"/>
  <c r="O156" i="8" a="1"/>
  <c r="F112" i="8" a="1"/>
  <c r="D209" i="8" a="1"/>
  <c r="G210" i="8" a="1"/>
  <c r="O221" i="8" a="1"/>
  <c r="F211" i="8" a="1"/>
  <c r="G113" i="8" a="1"/>
  <c r="M220" i="8" a="1"/>
  <c r="C121" i="8" a="1"/>
  <c r="N155" i="8" a="1"/>
  <c r="M111" i="8" a="1"/>
  <c r="L111" i="8" a="1"/>
  <c r="B213" i="8" a="1"/>
  <c r="Q129" i="8" a="1"/>
  <c r="P130" i="8" a="1"/>
  <c r="M123" i="8" a="1"/>
  <c r="D121" i="8" a="1"/>
  <c r="P223" i="8" a="1"/>
  <c r="L112" i="8" a="1"/>
  <c r="B146" i="8" a="1"/>
  <c r="M114" i="8" a="1"/>
  <c r="M122" i="8" a="1"/>
  <c r="P137" i="8" a="1"/>
  <c r="M120" i="8" a="1"/>
  <c r="Q132" i="8" a="1"/>
  <c r="O112" i="8" a="1"/>
  <c r="M212" i="8" a="1"/>
  <c r="F136" i="8" a="1"/>
  <c r="B217" i="8" a="1"/>
  <c r="Q156" i="8" a="1"/>
  <c r="N222" i="8" a="1"/>
  <c r="G114" i="8" a="1"/>
  <c r="F304" i="8" a="1"/>
  <c r="Q128" i="8" a="1"/>
  <c r="E110" i="8" a="1"/>
  <c r="D142" i="8" a="1"/>
  <c r="N123" i="8" a="1"/>
  <c r="Q213" i="8" a="1"/>
  <c r="G209" i="8" a="1"/>
  <c r="E136" i="8" a="1"/>
  <c r="D216" i="8" a="1"/>
  <c r="L113" i="8" a="1"/>
  <c r="O155" i="8" a="1"/>
  <c r="B135" i="8" a="1"/>
  <c r="L162" i="8" a="1"/>
  <c r="L121" i="8" a="1"/>
  <c r="N122" i="8" a="1"/>
  <c r="M119" i="8" a="1"/>
  <c r="B212" i="8" a="1"/>
  <c r="E109" i="8" a="1"/>
  <c r="B134" i="8" a="1"/>
  <c r="S210" i="8" a="1"/>
  <c r="N153" i="8" a="1"/>
  <c r="F137" i="8" a="1"/>
  <c r="O129" i="8" a="1"/>
  <c r="H143" i="8" a="1"/>
  <c r="L224" i="8" a="1"/>
  <c r="N113" i="8" a="1"/>
  <c r="C133" i="8" a="1"/>
  <c r="F120" i="8" a="1"/>
  <c r="O213" i="8" a="1"/>
  <c r="F214" i="8" a="1"/>
  <c r="D134" i="8" a="1"/>
  <c r="B113" i="8" a="1"/>
  <c r="L223" i="8" a="1"/>
  <c r="L154" i="8" a="1"/>
  <c r="S211" i="8" a="1"/>
  <c r="C151" i="8" a="1"/>
  <c r="N212" i="8" a="1"/>
  <c r="C146" i="8" a="1"/>
  <c r="C136" i="8" a="1"/>
  <c r="Q212" i="8" a="1"/>
  <c r="F306" i="8" a="1"/>
  <c r="P213" i="8" a="1"/>
  <c r="L209" i="8" a="1"/>
  <c r="L221" i="8" a="1"/>
  <c r="D126" i="8" a="1"/>
  <c r="G110" i="8" a="1"/>
  <c r="M222" i="8" a="1"/>
  <c r="L122" i="8" a="1"/>
  <c r="L129" i="8" a="1"/>
  <c r="P112" i="8" a="1"/>
  <c r="N162" i="8" a="1"/>
  <c r="G137" i="8" a="1"/>
  <c r="E213" i="8" a="1"/>
  <c r="P210" i="8" a="1"/>
  <c r="G213" i="8" a="1"/>
  <c r="R224" i="8" a="1"/>
  <c r="N156" i="8" a="1"/>
  <c r="E121" i="8" a="1"/>
  <c r="C126" i="8" a="1"/>
  <c r="G142" i="8" a="1"/>
  <c r="E125" i="8" a="1"/>
  <c r="D122" i="8" a="1"/>
  <c r="N209" i="8" a="1"/>
  <c r="B111" i="8" a="1"/>
  <c r="F215" i="8" a="1"/>
  <c r="P212" i="8" a="1"/>
  <c r="F122" i="8" a="1"/>
  <c r="N121" i="8" a="1"/>
  <c r="C123" i="8" a="1"/>
  <c r="P220" i="8" a="1"/>
  <c r="B142" i="8" a="1"/>
  <c r="F123" i="8" a="1"/>
  <c r="R223" i="8" a="1"/>
  <c r="C109" i="8" a="1"/>
  <c r="M138" i="8" a="1"/>
  <c r="M154" i="8" a="1"/>
  <c r="S224" i="8" a="1"/>
  <c r="M153" i="8" a="1"/>
  <c r="E113" i="8" a="1"/>
  <c r="F134" i="8" a="1"/>
  <c r="M213" i="8" a="1"/>
  <c r="D135" i="8" a="1"/>
  <c r="B112" i="8" a="1"/>
  <c r="N112" i="8" a="1"/>
  <c r="N224" i="8" a="1"/>
  <c r="L138" i="8" a="1"/>
  <c r="D213" i="8" a="1"/>
  <c r="D144" i="8" a="1"/>
  <c r="L213" i="8" a="1"/>
  <c r="O121" i="8" a="1"/>
  <c r="P222" i="8" a="1"/>
  <c r="O153" i="8" a="1"/>
  <c r="E144" i="8" a="1"/>
  <c r="B215" i="8" a="1"/>
  <c r="M224" i="8" a="1"/>
  <c r="M214" i="8" a="1"/>
  <c r="N138" i="8" a="1"/>
  <c r="D146" i="8" a="1"/>
  <c r="O152" i="8" a="1"/>
  <c r="M152" i="8" a="1"/>
  <c r="D113" i="8" a="1"/>
  <c r="L211" i="8" a="1"/>
  <c r="E145" i="8" a="1"/>
  <c r="E211" i="8" a="1"/>
  <c r="F209" i="8" a="1"/>
  <c r="M112" i="8" a="1"/>
  <c r="O211" i="8" a="1"/>
  <c r="P152" i="8" a="1"/>
  <c r="C214" i="8" a="1"/>
  <c r="O120" i="8" a="1"/>
  <c r="D136" i="8" a="1"/>
  <c r="F124" i="8" a="1"/>
  <c r="D210" i="8" a="1"/>
  <c r="R213" i="8" a="1"/>
  <c r="N154" i="8" a="1"/>
  <c r="O224" i="8" a="1"/>
  <c r="H142" i="8" a="1"/>
  <c r="O123" i="8" a="1"/>
  <c r="D123" i="8" a="1"/>
  <c r="B216" i="8" a="1"/>
  <c r="M210" i="8" a="1"/>
  <c r="O128" i="8" a="1"/>
  <c r="O113" i="8" a="1"/>
  <c r="M156" i="8" a="1"/>
  <c r="C124" i="8" a="1"/>
  <c r="L123" i="8" a="1"/>
  <c r="L163" i="8" a="1"/>
  <c r="E209" i="8" a="1"/>
  <c r="N213" i="8" a="1"/>
  <c r="D143" i="8" a="1"/>
  <c r="D212" i="8" a="1"/>
  <c r="N157" i="8" a="1"/>
  <c r="C209" i="8" a="1"/>
  <c r="C213" i="8" a="1"/>
  <c r="R210" i="8" a="1"/>
  <c r="F119" i="8" a="1"/>
  <c r="F125" i="8" a="1"/>
  <c r="O127" i="8" a="1"/>
  <c r="P209" i="8" a="1"/>
  <c r="L137" i="8" a="1"/>
  <c r="O119" i="8" a="1"/>
  <c r="C122" i="8" a="1"/>
  <c r="L110" i="8" a="1"/>
  <c r="F121" i="8" a="1"/>
  <c r="O210" i="8" a="1"/>
  <c r="M162" i="8" a="1"/>
  <c r="C137" i="8" a="1"/>
  <c r="C150" i="8" a="1"/>
  <c r="B124" i="8" a="1"/>
  <c r="R209" i="8" a="1"/>
  <c r="D112" i="8" a="1"/>
  <c r="E111" i="8" a="1"/>
  <c r="N210" i="8" a="1"/>
  <c r="Q209" i="8" a="1"/>
  <c r="C113" i="8" a="1"/>
  <c r="O122" i="8" a="1"/>
  <c r="M215" i="8" a="1"/>
  <c r="F212" i="8" a="1"/>
  <c r="R221" i="8" a="1"/>
  <c r="C114" i="8" a="1"/>
  <c r="P153" i="8" a="1"/>
  <c r="E142" i="8" a="1"/>
  <c r="Q130" i="8" a="1"/>
  <c r="G109" i="8" a="1"/>
  <c r="S222" i="8" a="1"/>
  <c r="O132" i="8" a="1"/>
  <c r="D217" i="8" a="1"/>
  <c r="N223" i="8" a="1"/>
  <c r="C142" i="8" a="1"/>
  <c r="G135" i="8" a="1"/>
  <c r="E137" i="8" a="1"/>
  <c r="F308" i="8" a="1"/>
  <c r="Q222" i="8" a="1"/>
  <c r="E133" i="8" a="1"/>
  <c r="C120" i="8" a="1"/>
  <c r="R211" i="8" a="1"/>
  <c r="P131" i="8" a="1"/>
  <c r="D119" i="8" a="1"/>
  <c r="D145" i="8" a="1"/>
  <c r="C215" i="8" a="1"/>
  <c r="D133" i="8" a="1"/>
  <c r="Q211" i="8" a="1"/>
  <c r="B120" i="8" a="1"/>
  <c r="N111" i="8" a="1"/>
  <c r="P156" i="8" a="1"/>
  <c r="D211" i="8" a="1"/>
  <c r="M223" i="8" a="1"/>
  <c r="I143" i="8" a="1"/>
  <c r="P129" i="8" a="1"/>
  <c r="G214" i="8" a="1"/>
  <c r="D137" i="8" a="1"/>
  <c r="G133" i="8" a="1"/>
  <c r="Q223" i="8" a="1"/>
  <c r="B144" i="8" a="1"/>
  <c r="E212" i="8" a="1"/>
  <c r="E120" i="8" a="1"/>
  <c r="C145" i="8" a="1"/>
  <c r="B210" i="8" a="1"/>
  <c r="L131" i="8" a="1"/>
  <c r="Q220" i="8" a="1"/>
  <c r="R222" i="8" a="1"/>
  <c r="L127" i="8" a="1"/>
  <c r="C125" i="8" a="1"/>
  <c r="F135" i="8" a="1"/>
  <c r="C110" i="8" a="1"/>
  <c r="E122" i="8" a="1"/>
  <c r="F113" i="8" a="1"/>
  <c r="E119" i="8" a="1"/>
  <c r="F210" i="8" a="1"/>
  <c r="N221" i="8" a="1"/>
  <c r="L128" i="8" a="1"/>
  <c r="O157" i="8" a="1"/>
  <c r="L220" i="8" a="1"/>
  <c r="N137" i="8" a="1"/>
  <c r="B214" i="8" a="1"/>
  <c r="C112" i="8" a="1"/>
  <c r="N119" i="8" a="1"/>
  <c r="D109" i="8" a="1"/>
  <c r="R156" i="8" a="1"/>
  <c r="F305" i="8" a="1"/>
  <c r="O163" i="8" a="1"/>
  <c r="C211" i="8" a="1"/>
  <c r="D215" i="8" a="1"/>
  <c r="O209" i="8" a="1"/>
  <c r="B136" i="8" a="1"/>
  <c r="G215" i="8" a="1"/>
  <c r="C135" i="8" a="1"/>
  <c r="E114" i="8" a="1"/>
  <c r="L222" i="8" a="1"/>
  <c r="C134" i="8" a="1"/>
  <c r="D125" i="8" a="1"/>
  <c r="M225" i="8" a="1"/>
  <c r="F114" i="8" a="1"/>
  <c r="I145" i="8" a="1"/>
  <c r="N109" i="8" a="1"/>
  <c r="P224" i="8" a="1"/>
  <c r="M121" i="8" a="1"/>
  <c r="G143" i="8" a="1"/>
  <c r="O130" i="8" a="1"/>
  <c r="C217" i="8" a="1"/>
  <c r="C144" i="8" a="1"/>
  <c r="E214" i="8" a="1"/>
  <c r="L120" i="8" a="1"/>
  <c r="D124" i="8" a="1"/>
  <c r="P128" i="8" a="1"/>
  <c r="D214" i="8" a="1"/>
  <c r="F307" i="8" a="1"/>
  <c r="B114" i="8" a="1"/>
  <c r="B123" i="8" a="1"/>
  <c r="L156" i="8" a="1"/>
  <c r="O131" i="8" a="1"/>
  <c r="O223" i="8" a="1"/>
  <c r="C216" i="8" a="1"/>
  <c r="B151" i="8" a="1"/>
  <c r="G212" i="8" a="1"/>
  <c r="M221" i="8" a="1"/>
  <c r="N152" i="8" a="1"/>
  <c r="C111" i="8" a="1"/>
  <c r="I146" i="8" a="1"/>
  <c r="F213" i="8" a="1"/>
  <c r="S212" i="8" a="1"/>
  <c r="E124" i="8" a="1"/>
  <c r="P111" i="8" a="1"/>
  <c r="F133" i="8" a="1"/>
  <c r="F111" i="8" a="1"/>
  <c r="F109" i="8" a="1"/>
  <c r="O138" i="8" a="1"/>
  <c r="E112" i="8" a="1"/>
  <c r="O109" i="8" a="1"/>
  <c r="D110" i="8" a="1"/>
  <c r="E215" i="8" a="1"/>
  <c r="L109" i="8" a="1"/>
  <c r="M137" i="8" a="1"/>
  <c r="G145" i="8" a="1"/>
  <c r="O212" i="8" a="1"/>
  <c r="G217" i="8" a="1"/>
  <c r="B143" i="8" a="1"/>
  <c r="M209" i="8" a="1"/>
  <c r="B150" i="8" a="1"/>
  <c r="N163" i="8" a="1"/>
  <c r="P221" i="8" a="1"/>
  <c r="G134" i="8" a="1"/>
  <c r="D114" i="8" a="1"/>
  <c r="P127" i="8" a="1"/>
  <c r="P109" i="8" a="1"/>
  <c r="B137" i="8" a="1"/>
  <c r="B122" i="8" a="1"/>
  <c r="O222" i="8" a="1"/>
  <c r="L153" i="8" a="1"/>
  <c r="G146" i="8" a="1"/>
  <c r="E123" i="8" a="1"/>
  <c r="E146" i="8" a="1"/>
  <c r="B152" i="8" a="1"/>
  <c r="C212" i="8" a="1"/>
  <c r="B133" i="8" a="1"/>
  <c r="D133" i="8" l="1"/>
  <c r="L152" i="8"/>
  <c r="R210" i="8"/>
  <c r="L212" i="8"/>
  <c r="R156" i="8"/>
  <c r="B123" i="8"/>
  <c r="D123" i="8"/>
  <c r="F121" i="8"/>
  <c r="G145" i="8"/>
  <c r="O109" i="8"/>
  <c r="N152" i="8"/>
  <c r="E112" i="8"/>
  <c r="N213" i="8"/>
  <c r="Q223" i="8"/>
  <c r="C209" i="8"/>
  <c r="C142" i="8"/>
  <c r="E214" i="8"/>
  <c r="G111" i="8"/>
  <c r="L222" i="8"/>
  <c r="C143" i="8"/>
  <c r="C144" i="8"/>
  <c r="B134" i="8"/>
  <c r="D112" i="8"/>
  <c r="B112" i="8"/>
  <c r="D125" i="8"/>
  <c r="E114" i="8"/>
  <c r="L162" i="8"/>
  <c r="B133" i="8"/>
  <c r="N223" i="8"/>
  <c r="G213" i="8"/>
  <c r="O122" i="8"/>
  <c r="O210" i="8"/>
  <c r="O138" i="8"/>
  <c r="M111" i="8"/>
  <c r="E109" i="8"/>
  <c r="L210" i="8"/>
  <c r="L120" i="8"/>
  <c r="O120" i="8"/>
  <c r="F210" i="8"/>
  <c r="L132" i="8"/>
  <c r="C216" i="8"/>
  <c r="N109" i="8"/>
  <c r="Q129" i="8"/>
  <c r="R213" i="8"/>
  <c r="M214" i="8"/>
  <c r="D215" i="8"/>
  <c r="N138" i="8"/>
  <c r="E144" i="8"/>
  <c r="F133" i="8"/>
  <c r="G137" i="8"/>
  <c r="M138" i="8"/>
  <c r="C136" i="8"/>
  <c r="P153" i="8"/>
  <c r="B110" i="8"/>
  <c r="I143" i="8"/>
  <c r="C121" i="8"/>
  <c r="D122" i="8"/>
  <c r="S223" i="8"/>
  <c r="G135" i="8"/>
  <c r="L112" i="8"/>
  <c r="M122" i="8"/>
  <c r="O212" i="8"/>
  <c r="P222" i="8"/>
  <c r="B145" i="8"/>
  <c r="D212" i="8"/>
  <c r="M209" i="8"/>
  <c r="B146" i="8"/>
  <c r="L113" i="8"/>
  <c r="D216" i="8"/>
  <c r="O222" i="8"/>
  <c r="O155" i="8"/>
  <c r="M156" i="8"/>
  <c r="F217" i="8"/>
  <c r="P223" i="8"/>
  <c r="B151" i="8"/>
  <c r="M113" i="8"/>
  <c r="E133" i="8"/>
  <c r="M121" i="8"/>
  <c r="M213" i="8"/>
  <c r="M119" i="8"/>
  <c r="C145" i="8"/>
  <c r="E212" i="8"/>
  <c r="B125" i="8"/>
  <c r="B111" i="8"/>
  <c r="F214" i="8"/>
  <c r="M112" i="8"/>
  <c r="Q220" i="8"/>
  <c r="C135" i="8"/>
  <c r="G209" i="8"/>
  <c r="P131" i="8"/>
  <c r="D146" i="8"/>
  <c r="I142" i="8"/>
  <c r="O121" i="8"/>
  <c r="B152" i="8"/>
  <c r="E135" i="8"/>
  <c r="B215" i="8"/>
  <c r="O153" i="8"/>
  <c r="D124" i="8"/>
  <c r="G210" i="8"/>
  <c r="N212" i="8"/>
  <c r="S220" i="8"/>
  <c r="B122" i="8"/>
  <c r="S211" i="8"/>
  <c r="P152" i="8"/>
  <c r="C150" i="8"/>
  <c r="G212" i="8"/>
  <c r="N210" i="8"/>
  <c r="Q131" i="8"/>
  <c r="E217" i="8"/>
  <c r="M225" i="8"/>
  <c r="P211" i="8"/>
  <c r="C114" i="8"/>
  <c r="F215" i="8"/>
  <c r="M226" i="8"/>
  <c r="N222" i="8"/>
  <c r="E110" i="8"/>
  <c r="L129" i="8"/>
  <c r="P220" i="8"/>
  <c r="C137" i="8"/>
  <c r="F111" i="8"/>
  <c r="F114" i="8"/>
  <c r="F304" i="8"/>
  <c r="C212" i="8"/>
  <c r="O220" i="8"/>
  <c r="G110" i="8"/>
  <c r="N123" i="8"/>
  <c r="B212" i="8"/>
  <c r="E124" i="8"/>
  <c r="L220" i="8"/>
  <c r="B211" i="8"/>
  <c r="B137" i="8"/>
  <c r="F307" i="8"/>
  <c r="Q212" i="8"/>
  <c r="O157" i="8"/>
  <c r="O224" i="8"/>
  <c r="C152" i="8"/>
  <c r="F216" i="8"/>
  <c r="M114" i="8"/>
  <c r="P209" i="8"/>
  <c r="D210" i="8"/>
  <c r="N112" i="8"/>
  <c r="R221" i="8"/>
  <c r="D209" i="8"/>
  <c r="L224" i="8"/>
  <c r="E142" i="8"/>
  <c r="F136" i="8"/>
  <c r="N211" i="8"/>
  <c r="R223" i="8"/>
  <c r="D134" i="8"/>
  <c r="G114" i="8"/>
  <c r="G134" i="8"/>
  <c r="C123" i="8"/>
  <c r="F209" i="8"/>
  <c r="Q221" i="8"/>
  <c r="C125" i="8"/>
  <c r="P129" i="8"/>
  <c r="D144" i="8"/>
  <c r="B213" i="8"/>
  <c r="F125" i="8"/>
  <c r="M163" i="8"/>
  <c r="P213" i="8"/>
  <c r="N155" i="8"/>
  <c r="L156" i="8"/>
  <c r="O156" i="8"/>
  <c r="B144" i="8"/>
  <c r="E210" i="8"/>
  <c r="L109" i="8"/>
  <c r="O123" i="8"/>
  <c r="E121" i="8"/>
  <c r="E125" i="8"/>
  <c r="B217" i="8"/>
  <c r="P113" i="8"/>
  <c r="F305" i="8"/>
  <c r="P212" i="8"/>
  <c r="F119" i="8"/>
  <c r="L209" i="8"/>
  <c r="O162" i="8"/>
  <c r="E136" i="8"/>
  <c r="L127" i="8"/>
  <c r="O223" i="8"/>
  <c r="B209" i="8"/>
  <c r="P111" i="8"/>
  <c r="D119" i="8"/>
  <c r="G143" i="8"/>
  <c r="O119" i="8"/>
  <c r="S209" i="8"/>
  <c r="L137" i="8"/>
  <c r="G109" i="8"/>
  <c r="F308" i="8"/>
  <c r="C110" i="8"/>
  <c r="C217" i="8"/>
  <c r="P127" i="8"/>
  <c r="C214" i="8"/>
  <c r="D136" i="8"/>
  <c r="C120" i="8"/>
  <c r="M224" i="8"/>
  <c r="C126" i="8"/>
  <c r="G216" i="8"/>
  <c r="N154" i="8"/>
  <c r="R224" i="8"/>
  <c r="M120" i="8"/>
  <c r="C111" i="8"/>
  <c r="B142" i="8"/>
  <c r="E123" i="8"/>
  <c r="L138" i="8"/>
  <c r="O130" i="8"/>
  <c r="F122" i="8"/>
  <c r="E215" i="8"/>
  <c r="N153" i="8"/>
  <c r="S212" i="8"/>
  <c r="E213" i="8"/>
  <c r="L111" i="8"/>
  <c r="O209" i="8"/>
  <c r="F213" i="8"/>
  <c r="G142" i="8"/>
  <c r="N163" i="8"/>
  <c r="R211" i="8"/>
  <c r="D114" i="8"/>
  <c r="G113" i="8"/>
  <c r="I145" i="8"/>
  <c r="C151" i="8"/>
  <c r="F124" i="8"/>
  <c r="N162" i="8"/>
  <c r="Q210" i="8"/>
  <c r="D211" i="8"/>
  <c r="R220" i="8"/>
  <c r="E211" i="8"/>
  <c r="B124" i="8"/>
  <c r="F134" i="8"/>
  <c r="M215" i="8"/>
  <c r="Q211" i="8"/>
  <c r="B135" i="8"/>
  <c r="D121" i="8"/>
  <c r="M152" i="8"/>
  <c r="E111" i="8"/>
  <c r="F211" i="8"/>
  <c r="O129" i="8"/>
  <c r="L119" i="8"/>
  <c r="D113" i="8"/>
  <c r="D137" i="8"/>
  <c r="B113" i="8"/>
  <c r="E145" i="8"/>
  <c r="M212" i="8"/>
  <c r="P137" i="8"/>
  <c r="C133" i="8"/>
  <c r="O111" i="8"/>
  <c r="N221" i="8"/>
  <c r="C210" i="8"/>
  <c r="G211" i="8"/>
  <c r="N220" i="8"/>
  <c r="S213" i="8"/>
  <c r="Q222" i="8"/>
  <c r="P112" i="8"/>
  <c r="P128" i="8"/>
  <c r="C122" i="8"/>
  <c r="G217" i="8"/>
  <c r="N137" i="8"/>
  <c r="Q128" i="8"/>
  <c r="R222" i="8"/>
  <c r="L163" i="8"/>
  <c r="P224" i="8"/>
  <c r="C112" i="8"/>
  <c r="F212" i="8"/>
  <c r="M162" i="8"/>
  <c r="L213" i="8"/>
  <c r="E120" i="8"/>
  <c r="L221" i="8"/>
  <c r="P156" i="8"/>
  <c r="B214" i="8"/>
  <c r="F112" i="8"/>
  <c r="F113" i="8"/>
  <c r="S222" i="8"/>
  <c r="D217" i="8"/>
  <c r="L154" i="8"/>
  <c r="B121" i="8"/>
  <c r="O152" i="8"/>
  <c r="M154" i="8"/>
  <c r="O137" i="8"/>
  <c r="M153" i="8"/>
  <c r="P154" i="8"/>
  <c r="Q154" i="8"/>
  <c r="M137" i="8"/>
  <c r="Q130" i="8"/>
  <c r="O127" i="8"/>
  <c r="D214" i="8"/>
  <c r="G214" i="8"/>
  <c r="S224" i="8"/>
  <c r="E216" i="8"/>
  <c r="E146" i="8"/>
  <c r="B150" i="8"/>
  <c r="E143" i="8"/>
  <c r="M223" i="8"/>
  <c r="P210" i="8"/>
  <c r="C211" i="8"/>
  <c r="N120" i="8"/>
  <c r="B143" i="8"/>
  <c r="B114" i="8"/>
  <c r="E137" i="8"/>
  <c r="P130" i="8"/>
  <c r="L223" i="8"/>
  <c r="F120" i="8"/>
  <c r="N209" i="8"/>
  <c r="B216" i="8"/>
  <c r="E119" i="8"/>
  <c r="L131" i="8"/>
  <c r="O211" i="8"/>
  <c r="G112" i="8"/>
  <c r="G133" i="8"/>
  <c r="N111" i="8"/>
  <c r="S221" i="8"/>
  <c r="D143" i="8"/>
  <c r="H142" i="8"/>
  <c r="L153" i="8"/>
  <c r="C213" i="8"/>
  <c r="F110" i="8"/>
  <c r="N224" i="8"/>
  <c r="Q213" i="8"/>
  <c r="D120" i="8"/>
  <c r="C109" i="8"/>
  <c r="C113" i="8"/>
  <c r="Q127" i="8"/>
  <c r="O113" i="8"/>
  <c r="D126" i="8"/>
  <c r="H143" i="8"/>
  <c r="O213" i="8"/>
  <c r="S210" i="8"/>
  <c r="M210" i="8"/>
  <c r="I146" i="8"/>
  <c r="O128" i="8"/>
  <c r="B136" i="8"/>
  <c r="E122" i="8"/>
  <c r="L123" i="8"/>
  <c r="F306" i="8"/>
  <c r="M221" i="8"/>
  <c r="Q132" i="8"/>
  <c r="C134" i="8"/>
  <c r="P109" i="8"/>
  <c r="M222" i="8"/>
  <c r="Q156" i="8"/>
  <c r="D111" i="8"/>
  <c r="G136" i="8"/>
  <c r="N157" i="8"/>
  <c r="D109" i="8"/>
  <c r="L211" i="8"/>
  <c r="O163" i="8"/>
  <c r="B210" i="8"/>
  <c r="P221" i="8"/>
  <c r="N122" i="8"/>
  <c r="O131" i="8"/>
  <c r="B120" i="8"/>
  <c r="F123" i="8"/>
  <c r="M211" i="8"/>
  <c r="P132" i="8"/>
  <c r="F109" i="8"/>
  <c r="N113" i="8"/>
  <c r="R209" i="8"/>
  <c r="D110" i="8"/>
  <c r="E113" i="8"/>
  <c r="L110" i="8"/>
  <c r="R212" i="8"/>
  <c r="D213" i="8"/>
  <c r="L128" i="8"/>
  <c r="O221" i="8"/>
  <c r="M220" i="8"/>
  <c r="O112" i="8"/>
  <c r="C215" i="8"/>
  <c r="F137" i="8"/>
  <c r="O132" i="8"/>
  <c r="C146" i="8"/>
  <c r="F135" i="8"/>
  <c r="M123" i="8"/>
  <c r="Q209" i="8"/>
  <c r="L121" i="8"/>
  <c r="C119" i="8"/>
  <c r="B119" i="8"/>
  <c r="E134" i="8"/>
  <c r="L122" i="8"/>
  <c r="O154" i="8"/>
  <c r="C124" i="8"/>
  <c r="Q224" i="8"/>
  <c r="D142" i="8"/>
  <c r="G146" i="8"/>
  <c r="N121" i="8"/>
  <c r="N156" i="8"/>
  <c r="D145" i="8"/>
  <c r="G215" i="8"/>
  <c r="N119" i="8"/>
  <c r="R154" i="8"/>
  <c r="D135" i="8"/>
  <c r="E209" i="8"/>
  <c r="A301" i="8"/>
  <c r="A101" i="8"/>
  <c r="G308" i="8" a="1"/>
  <c r="G304" i="8" a="1"/>
  <c r="G307" i="8" a="1"/>
  <c r="G306" i="8" a="1"/>
  <c r="G305" i="8" a="1"/>
  <c r="G304" i="8" l="1"/>
  <c r="G308" i="8"/>
  <c r="G306" i="8"/>
  <c r="G305" i="8"/>
  <c r="G307" i="8"/>
  <c r="H305" i="8" a="1"/>
  <c r="H305" i="8" l="1"/>
  <c r="H308" i="8" a="1"/>
  <c r="H308" i="8" l="1"/>
  <c r="H307" i="8" a="1"/>
  <c r="H307" i="8" l="1"/>
  <c r="H304" i="8" a="1"/>
  <c r="H304" i="8" l="1"/>
  <c r="H306" i="8" a="1"/>
  <c r="H306"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<sst xmlns="http://schemas.openxmlformats.org/spreadsheetml/2006/main" count="503" uniqueCount="149">
  <si>
    <t>RANDOM LENGTHS PANEL REPORT</t>
  </si>
  <si>
    <t>Prv Week</t>
  </si>
  <si>
    <t>Prv Year</t>
  </si>
  <si>
    <t>Date</t>
  </si>
  <si>
    <t>Year</t>
  </si>
  <si>
    <t>Month</t>
  </si>
  <si>
    <t>Pub Date</t>
  </si>
  <si>
    <t>Page 12</t>
  </si>
  <si>
    <t>ORIENTED STRAND BOARD</t>
  </si>
  <si>
    <t>WESTERN PLYWOOD</t>
  </si>
  <si>
    <t>U.S.</t>
  </si>
  <si>
    <t>SHEATHING</t>
  </si>
  <si>
    <t>NORTH</t>
  </si>
  <si>
    <t>WESTERN</t>
  </si>
  <si>
    <t>EASTERN</t>
  </si>
  <si>
    <t>SOUTH</t>
  </si>
  <si>
    <t>MID</t>
  </si>
  <si>
    <t>CD</t>
  </si>
  <si>
    <t>CC</t>
  </si>
  <si>
    <t>Mill</t>
  </si>
  <si>
    <t>CENTRAL</t>
  </si>
  <si>
    <t>CANADA</t>
  </si>
  <si>
    <t>WEST</t>
  </si>
  <si>
    <t>EAST</t>
  </si>
  <si>
    <t>ATLANTIC</t>
  </si>
  <si>
    <t xml:space="preserve">         CD</t>
  </si>
  <si>
    <t>Struc I</t>
  </si>
  <si>
    <t>P&amp;TS</t>
  </si>
  <si>
    <t>Grade</t>
  </si>
  <si>
    <t>3/8"</t>
  </si>
  <si>
    <t>7/16"</t>
  </si>
  <si>
    <t>1/2" 3P</t>
  </si>
  <si>
    <t>--</t>
  </si>
  <si>
    <t>15/32"</t>
  </si>
  <si>
    <t>1/2" 4/5P</t>
  </si>
  <si>
    <t>1/2"</t>
  </si>
  <si>
    <t>5/8" 4/5P</t>
  </si>
  <si>
    <t>19/32" T&amp;G</t>
  </si>
  <si>
    <t>3/4" 4/5P</t>
  </si>
  <si>
    <t>23/32" T&amp;G</t>
  </si>
  <si>
    <t>(1) For BC PT&amp;S, add:</t>
  </si>
  <si>
    <t>DELIVERED PRICES</t>
  </si>
  <si>
    <t>SANDED</t>
  </si>
  <si>
    <t>AC</t>
  </si>
  <si>
    <t>BC</t>
  </si>
  <si>
    <t>AB</t>
  </si>
  <si>
    <t>AA</t>
  </si>
  <si>
    <t>Seattle</t>
  </si>
  <si>
    <t>1/4"</t>
  </si>
  <si>
    <t>Portland</t>
  </si>
  <si>
    <t>11/32"</t>
  </si>
  <si>
    <t>Sacramento</t>
  </si>
  <si>
    <t>LA</t>
  </si>
  <si>
    <t>19/32"</t>
  </si>
  <si>
    <t>Denver</t>
  </si>
  <si>
    <t>23/32"</t>
  </si>
  <si>
    <t>Salt Lake</t>
  </si>
  <si>
    <t>Phoenix</t>
  </si>
  <si>
    <t>UNDERLAYMENT</t>
  </si>
  <si>
    <t>SIDINGS, Rough Sawn, 8-foot</t>
  </si>
  <si>
    <t>(5) For Struc 1, add:</t>
  </si>
  <si>
    <t>C X-Band T&amp;G</t>
  </si>
  <si>
    <t>8'</t>
  </si>
  <si>
    <t>9'</t>
  </si>
  <si>
    <t>10'</t>
  </si>
  <si>
    <t>6-Patch 11/32"</t>
  </si>
  <si>
    <t>SOUTHERN PLYWOOD</t>
  </si>
  <si>
    <t>1-1/8"</t>
  </si>
  <si>
    <t>19/32" RB&amp;B</t>
  </si>
  <si>
    <t>CONCRETE FORM</t>
  </si>
  <si>
    <t>18-Patch 11/32"</t>
  </si>
  <si>
    <t>Rated</t>
  </si>
  <si>
    <t xml:space="preserve">       Mill Grade</t>
  </si>
  <si>
    <t>5/8"</t>
  </si>
  <si>
    <t>From:</t>
  </si>
  <si>
    <t xml:space="preserve"> </t>
  </si>
  <si>
    <t xml:space="preserve">   3/4"</t>
  </si>
  <si>
    <t>15/32" 3P</t>
  </si>
  <si>
    <t>15/32" 4P</t>
  </si>
  <si>
    <t>WEST COAST VENEER</t>
  </si>
  <si>
    <t>19/32" 4P</t>
  </si>
  <si>
    <t>CD-8'</t>
  </si>
  <si>
    <t>54"</t>
  </si>
  <si>
    <t>27"</t>
  </si>
  <si>
    <t>RW</t>
  </si>
  <si>
    <t>F/T</t>
  </si>
  <si>
    <t>Mix</t>
  </si>
  <si>
    <t>DF 1/8"</t>
  </si>
  <si>
    <t xml:space="preserve">   UNDERLAYMENT</t>
  </si>
  <si>
    <t>WW 1/6"</t>
  </si>
  <si>
    <t xml:space="preserve">   C X-Band, T&amp;G</t>
  </si>
  <si>
    <t xml:space="preserve">   CONCRETE FORM</t>
  </si>
  <si>
    <t>SIDINGS, Rough Sawn, 8-foot, 6-patch</t>
  </si>
  <si>
    <t>NON-STRUCTURAL PANELS</t>
  </si>
  <si>
    <t>INDUSTRIAL PARTICLEBOARD</t>
  </si>
  <si>
    <t xml:space="preserve">INTERIOR </t>
  </si>
  <si>
    <t xml:space="preserve">                MELAMINE</t>
  </si>
  <si>
    <t>SOUTHERN</t>
  </si>
  <si>
    <t>PB UL</t>
  </si>
  <si>
    <t>19/32" Grv</t>
  </si>
  <si>
    <t>COAST</t>
  </si>
  <si>
    <t>INLAND</t>
  </si>
  <si>
    <t>11/16"</t>
  </si>
  <si>
    <t>3/4"</t>
  </si>
  <si>
    <t>MEDIUM DENSITY FIBERBOARD</t>
  </si>
  <si>
    <t>Page 13</t>
  </si>
  <si>
    <t>ORIENTED STRAND BOARD CANADA</t>
  </si>
  <si>
    <t>CANADIAN SHEATHING</t>
  </si>
  <si>
    <t>CANADIAN SPRUCE PLYWOOD</t>
  </si>
  <si>
    <t xml:space="preserve">                 T&amp;G</t>
  </si>
  <si>
    <t xml:space="preserve">19/32" </t>
  </si>
  <si>
    <t xml:space="preserve">23/32" </t>
  </si>
  <si>
    <t>VANC</t>
  </si>
  <si>
    <t>CAL/EDM</t>
  </si>
  <si>
    <t>REGINA</t>
  </si>
  <si>
    <t>WINN</t>
  </si>
  <si>
    <t>TOR</t>
  </si>
  <si>
    <t>MONT</t>
  </si>
  <si>
    <t>MONC</t>
  </si>
  <si>
    <t>HAL</t>
  </si>
  <si>
    <t>Vancouver</t>
  </si>
  <si>
    <t>9.5mm-3/8"</t>
  </si>
  <si>
    <t>Edmonton</t>
  </si>
  <si>
    <t>12.5mm-1/2"</t>
  </si>
  <si>
    <t>Calgary</t>
  </si>
  <si>
    <t>15.5mm-5/8"</t>
  </si>
  <si>
    <t>Regina</t>
  </si>
  <si>
    <t>18.5mm-3/4"</t>
  </si>
  <si>
    <t>Winnipeg</t>
  </si>
  <si>
    <t>25.5mm-1"</t>
  </si>
  <si>
    <t>Toronto</t>
  </si>
  <si>
    <t>(2) ) For Select, add:</t>
  </si>
  <si>
    <t>Montreal</t>
  </si>
  <si>
    <t>(3) For T&amp;G, add:</t>
  </si>
  <si>
    <t>Moncton</t>
  </si>
  <si>
    <t>Halifax</t>
  </si>
  <si>
    <t>DOUGLAS FIR PLYWOOD</t>
  </si>
  <si>
    <t>25.5mm-3/4"</t>
  </si>
  <si>
    <t>(2) For Select, add:</t>
  </si>
  <si>
    <t>Panel Composites</t>
  </si>
  <si>
    <t>This Week</t>
  </si>
  <si>
    <t>Last Week</t>
  </si>
  <si>
    <t>Year Ago</t>
  </si>
  <si>
    <t>Structural Panel Composite</t>
  </si>
  <si>
    <t>Oriented Strand Board Composite</t>
  </si>
  <si>
    <t>Southern Pine Plywood Composite</t>
  </si>
  <si>
    <t>Western Fir Plywood Composite</t>
  </si>
  <si>
    <t>Non-Structural Panel Composite</t>
  </si>
  <si>
    <r>
      <t>Random Lengths Panel Reports</t>
    </r>
    <r>
      <rPr>
        <sz val="10"/>
        <rFont val="Arial"/>
        <family val="2"/>
      </rPr>
      <t xml:space="preserve"> are published</t>
    </r>
    <r>
      <rPr>
        <b/>
        <sz val="11"/>
        <color theme="1"/>
        <rFont val="Calibri"/>
        <family val="2"/>
        <scheme val="minor"/>
      </rPr>
      <t xml:space="preserve"> every </t>
    </r>
    <r>
      <rPr>
        <b/>
        <u/>
        <sz val="11"/>
        <color theme="1"/>
        <rFont val="Calibri"/>
        <family val="2"/>
        <scheme val="minor"/>
      </rPr>
      <t>Friday.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</si>
</sst>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General_)"/>
    <numFmt numFmtId="165" formatCode="&quot;$&quot;#,##0"/>
    <numFmt numFmtId="166" formatCode="00"/>
    <numFmt numFmtId="167" formatCode="mm/dd/yy"/>
    <numFmt numFmtId="168" formatCode="\+#,##0;\–#,##0;0"/>
    <numFmt numFmtId="169" formatCode="\+#,##0.00;\–#,##0.00;0"/>
    <numFmt numFmtId="170" formatCode="mm/dd/yy;@"/>
    <numFmt numFmtId="171" formatCode="[$-409]d\-mmm\-yyyy;@"/>
  </numFmts>
  <fonts count="24" x14ac:knownFonts="1">
    <font>
      <sz val="10"/>
      <name val="Arial"/>
      <family val="2"/>
    </font>
    <font>
      <sz val="10"/>
      <name val="Arial"/>
      <family val="2"/>
    </font>
    <font>
      <i/>
      <sz val="10"/>
      <name val="Arial"/>
      <family val="2"/>
    </font>
    <font>
      <sz val="10"/>
      <color indexed="12"/>
      <name val="Arial"/>
      <family val="2"/>
    </font>
    <font>
      <sz val="10"/>
      <color indexed="10"/>
      <name val="Arial"/>
      <family val="2"/>
    </font>
    <font>
      <b/>
      <sz val="10"/>
      <color indexed="10"/>
      <name val="Arial"/>
      <family val="2"/>
    </font>
    <font>
      <sz val="10"/>
      <name val="Courier"/>
      <family val="3"/>
    </font>
    <font>
      <sz val="10"/>
      <name val="Arial Narrow"/>
      <family val="2"/>
    </font>
    <font>
      <b/>
      <i/>
      <sz val="10"/>
      <color indexed="17"/>
      <name val="Arial"/>
      <family val="2"/>
    </font>
    <font>
      <sz val="8"/>
      <color indexed="12"/>
      <name val="Arial"/>
      <family val="2"/>
    </font>
    <font>
      <b/>
      <i/>
      <sz val="12"/>
      <color indexed="17"/>
      <name val="Arial"/>
      <family val="2"/>
    </font>
    <font>
      <sz val="8"/>
      <name val="Arial"/>
      <family val="2"/>
    </font>
    <font>
      <b/>
      <i/>
      <sz val="16"/>
      <color indexed="17"/>
      <name val="Arial"/>
      <family val="2"/>
    </font>
    <font>
      <sz val="10"/>
      <color indexed="8"/>
      <name val="Arial"/>
      <family val="2"/>
    </font>
    <font>
      <sz val="10"/>
      <color indexed="8"/>
      <name val="Courier"/>
      <family val="3"/>
    </font>
    <font>
      <b/>
      <i/>
      <sz val="11"/>
      <color indexed="17"/>
      <name val="Arial"/>
      <family val="2"/>
    </font>
    <font>
      <sz val="8"/>
      <color indexed="17"/>
      <name val="Arial"/>
      <family val="2"/>
    </font>
    <font>
      <b/>
      <sz val="10"/>
      <color indexed="12"/>
      <name val="Arial"/>
      <family val="2"/>
    </font>
    <font>
      <i/>
      <sz val="9"/>
      <color indexed="10"/>
      <name val="Arial"/>
      <family val="2"/>
    </font>
    <font>
      <b/>
      <sz val="10"/>
      <name val="Arial"/>
      <family val="2"/>
    </font>
    <font>
      <i/>
      <sz val="10"/>
      <color indexed="12"/>
      <name val="Arial"/>
      <family val="2"/>
    </font>
    <font>
      <b/>
      <sz val="10"/>
      <color indexed="8"/>
      <name val="Arial"/>
      <family val="2"/>
    </font>
    <font>
      <b/>
      <sz val="11"/>
      <color theme="1"/>
      <name val="Calibri"/>
      <family val="2"/>
      <scheme val="minor"/>
    </font>
    <font>
      <b/>
      <u/>
      <sz val="11"/>
      <color theme="1"/>
      <name val="Calibri"/>
      <family val="2"/>
      <scheme val="minor"/>
    </font>
  </fonts>
  <fills count="6">
    <fill>
      <patternFill patternType="none"/>
    </fill>
    <fill>
      <patternFill patternType="gray125"/>
    </fill>
    <fill>
      <patternFill patternType="solid">
        <fgColor indexed="46"/>
        <bgColor indexed="64"/>
      </patternFill>
    </fill>
    <fill>
      <patternFill patternType="solid">
        <fgColor indexed="29"/>
        <bgColor indexed="64"/>
      </patternFill>
    </fill>
    <fill>
      <patternFill patternType="solid">
        <fgColor theme="7" tint="0.59999389629810485"/>
        <bgColor indexed="64"/>
      </patternFill>
    </fill>
    <fill>
      <patternFill patternType="solid">
        <fgColor rgb="FFFFFF00"/>
        <bgColor indexed="64"/>
      </patternFill>
    </fill>
  </fills>
  <borders count="1">
    <border>
      <left/>
      <right/>
      <top/>
      <bottom/>
      <diagonal/>
    </border>
  </borders>
  <cellStyleXfs count="7">
    <xf numFmtId="164" fontId="0" fillId="0" borderId="0"/>
    <xf numFmtId="2" fontId="14" fillId="2" borderId="0">
      <alignment horizontal="right"/>
    </xf>
    <xf numFmtId="2" fontId="6" fillId="3" borderId="0">
      <alignment horizontal="right"/>
    </xf>
    <xf numFmtId="3" fontId="1" fillId="0" borderId="0">
      <alignment horizontal="right"/>
    </xf>
    <xf numFmtId="4" fontId="1" fillId="0" borderId="0">
      <alignment horizontal="right"/>
    </xf>
    <xf numFmtId="168" fontId="1" fillId="0" borderId="0">
      <alignment horizontal="right"/>
    </xf>
    <xf numFmtId="169" fontId="1" fillId="0" borderId="0">
      <alignment horizontal="right"/>
    </xf>
  </cellStyleXfs>
  <cellXfs count="107">
    <xf numFmtId="164" fontId="0" fillId="0" borderId="0" xfId="0"/>
    <xf numFmtId="3" fontId="1" fillId="0" borderId="0" xfId="0" applyNumberFormat="1" applyFont="1"/>
    <xf numFmtId="165" fontId="8" fillId="0" borderId="0" xfId="0" quotePrefix="1" applyNumberFormat="1" applyFont="1" applyAlignment="1">
      <alignment horizontal="left"/>
    </xf>
    <xf numFmtId="3" fontId="5" fillId="0" borderId="0" xfId="0" quotePrefix="1" applyNumberFormat="1" applyFont="1" applyAlignment="1">
      <alignment horizontal="left"/>
    </xf>
    <xf numFmtId="3" fontId="4" fillId="0" borderId="0" xfId="0" applyNumberFormat="1" applyFont="1" applyAlignment="1">
      <alignment horizontal="left"/>
    </xf>
    <xf numFmtId="3" fontId="1" fillId="0" borderId="0" xfId="0" applyNumberFormat="1" applyFont="1" applyAlignment="1">
      <alignment horizontal="left"/>
    </xf>
    <xf numFmtId="3" fontId="1" fillId="0" borderId="0" xfId="0" applyNumberFormat="1" applyFont="1" applyAlignment="1">
      <alignment horizontal="right"/>
    </xf>
    <xf numFmtId="3" fontId="2" fillId="0" borderId="0" xfId="0" applyNumberFormat="1" applyFont="1" applyAlignment="1">
      <alignment horizontal="right"/>
    </xf>
    <xf numFmtId="3" fontId="9" fillId="0" borderId="0" xfId="0" applyNumberFormat="1" applyFont="1" applyAlignment="1">
      <alignment horizontal="right"/>
    </xf>
    <xf numFmtId="3" fontId="3" fillId="0" borderId="0" xfId="0" applyNumberFormat="1" applyFont="1"/>
    <xf numFmtId="3" fontId="3" fillId="0" borderId="0" xfId="0" applyNumberFormat="1" applyFont="1" applyAlignment="1">
      <alignment horizontal="right"/>
    </xf>
    <xf numFmtId="3" fontId="9" fillId="0" borderId="0" xfId="0" applyNumberFormat="1" applyFont="1" applyAlignment="1">
      <alignment horizontal="center"/>
    </xf>
    <xf numFmtId="3" fontId="4" fillId="0" borderId="0" xfId="0" quotePrefix="1" applyNumberFormat="1" applyFont="1" applyAlignment="1">
      <alignment horizontal="left"/>
    </xf>
    <xf numFmtId="3" fontId="1" fillId="0" borderId="0" xfId="0" quotePrefix="1" applyNumberFormat="1" applyFont="1" applyAlignment="1">
      <alignment horizontal="right"/>
    </xf>
    <xf numFmtId="3" fontId="4" fillId="0" borderId="0" xfId="0" applyNumberFormat="1" applyFont="1" applyAlignment="1">
      <alignment horizontal="right"/>
    </xf>
    <xf numFmtId="165" fontId="1" fillId="0" borderId="0" xfId="0" quotePrefix="1" applyNumberFormat="1" applyFont="1" applyAlignment="1">
      <alignment horizontal="right"/>
    </xf>
    <xf numFmtId="3" fontId="4" fillId="0" borderId="0" xfId="0" applyNumberFormat="1" applyFont="1"/>
    <xf numFmtId="3" fontId="3" fillId="0" borderId="0" xfId="0" applyNumberFormat="1" applyFont="1" applyAlignment="1">
      <alignment horizontal="left"/>
    </xf>
    <xf numFmtId="3" fontId="9" fillId="0" borderId="0" xfId="0" applyNumberFormat="1" applyFont="1"/>
    <xf numFmtId="4" fontId="1" fillId="0" borderId="0" xfId="0" applyNumberFormat="1" applyFont="1" applyAlignment="1">
      <alignment horizontal="right"/>
    </xf>
    <xf numFmtId="164" fontId="13" fillId="0" borderId="0" xfId="0" applyFont="1" applyAlignment="1">
      <alignment horizontal="center"/>
    </xf>
    <xf numFmtId="3" fontId="10" fillId="0" borderId="0" xfId="0" applyNumberFormat="1" applyFont="1" applyAlignment="1">
      <alignment horizontal="left"/>
    </xf>
    <xf numFmtId="164" fontId="1" fillId="0" borderId="0" xfId="0" applyFont="1"/>
    <xf numFmtId="3" fontId="1" fillId="0" borderId="0" xfId="3">
      <alignment horizontal="right"/>
    </xf>
    <xf numFmtId="164" fontId="0" fillId="0" borderId="0" xfId="0" quotePrefix="1" applyAlignment="1">
      <alignment horizontal="left"/>
    </xf>
    <xf numFmtId="14" fontId="15" fillId="0" borderId="0" xfId="0" applyNumberFormat="1" applyFont="1" applyAlignment="1">
      <alignment horizontal="right"/>
    </xf>
    <xf numFmtId="1" fontId="1" fillId="0" borderId="0" xfId="0" applyNumberFormat="1" applyFont="1"/>
    <xf numFmtId="165" fontId="9" fillId="0" borderId="0" xfId="0" applyNumberFormat="1" applyFont="1" applyAlignment="1">
      <alignment horizontal="right"/>
    </xf>
    <xf numFmtId="3" fontId="9" fillId="0" borderId="0" xfId="0" quotePrefix="1" applyNumberFormat="1" applyFont="1" applyAlignment="1">
      <alignment horizontal="right"/>
    </xf>
    <xf numFmtId="164" fontId="0" fillId="0" borderId="0" xfId="0" applyAlignment="1">
      <alignment horizontal="centerContinuous"/>
    </xf>
    <xf numFmtId="164" fontId="12" fillId="0" borderId="0" xfId="0" quotePrefix="1" applyFont="1" applyAlignment="1">
      <alignment horizontal="left"/>
    </xf>
    <xf numFmtId="167" fontId="8" fillId="0" borderId="0" xfId="0" applyNumberFormat="1" applyFont="1" applyAlignment="1">
      <alignment horizontal="left"/>
    </xf>
    <xf numFmtId="3" fontId="7" fillId="0" borderId="0" xfId="0" applyNumberFormat="1" applyFont="1" applyAlignment="1">
      <alignment horizontal="right"/>
    </xf>
    <xf numFmtId="164" fontId="4" fillId="0" borderId="0" xfId="0" quotePrefix="1" applyFont="1" applyAlignment="1">
      <alignment horizontal="left"/>
    </xf>
    <xf numFmtId="4" fontId="1" fillId="0" borderId="0" xfId="4">
      <alignment horizontal="right"/>
    </xf>
    <xf numFmtId="164" fontId="16" fillId="0" borderId="0" xfId="0" applyFont="1" applyAlignment="1">
      <alignment horizontal="left"/>
    </xf>
    <xf numFmtId="164" fontId="18" fillId="0" borderId="0" xfId="0" applyFont="1" applyAlignment="1">
      <alignment horizontal="left"/>
    </xf>
    <xf numFmtId="164" fontId="17" fillId="0" borderId="0" xfId="0" applyFont="1"/>
    <xf numFmtId="164" fontId="19" fillId="0" borderId="0" xfId="0" applyFont="1"/>
    <xf numFmtId="164" fontId="0" fillId="0" borderId="0" xfId="0" quotePrefix="1"/>
    <xf numFmtId="3" fontId="4" fillId="0" borderId="0" xfId="0" applyNumberFormat="1" applyFont="1" applyAlignment="1">
      <alignment horizontal="center"/>
    </xf>
    <xf numFmtId="3" fontId="4" fillId="0" borderId="0" xfId="0" quotePrefix="1" applyNumberFormat="1" applyFont="1" applyAlignment="1">
      <alignment horizontal="center"/>
    </xf>
    <xf numFmtId="14" fontId="13" fillId="0" borderId="0" xfId="0" applyNumberFormat="1" applyFont="1" applyAlignment="1">
      <alignment horizontal="center"/>
    </xf>
    <xf numFmtId="14" fontId="0" fillId="0" borderId="0" xfId="0" applyNumberFormat="1" applyAlignment="1">
      <alignment horizontal="center"/>
    </xf>
    <xf numFmtId="164" fontId="20" fillId="0" borderId="0" xfId="0" applyFont="1" applyAlignment="1">
      <alignment horizontal="center"/>
    </xf>
    <xf numFmtId="167" fontId="13" fillId="0" borderId="0" xfId="0" applyNumberFormat="1" applyFont="1" applyAlignment="1">
      <alignment horizontal="center"/>
    </xf>
    <xf numFmtId="166" fontId="1" fillId="0" borderId="0" xfId="0" applyNumberFormat="1" applyFont="1" applyAlignment="1">
      <alignment horizontal="center"/>
    </xf>
    <xf numFmtId="3" fontId="5" fillId="0" borderId="0" xfId="0" applyNumberFormat="1" applyFont="1" applyAlignment="1">
      <alignment horizontal="left"/>
    </xf>
    <xf numFmtId="170" fontId="0" fillId="0" borderId="0" xfId="0" applyNumberFormat="1"/>
    <xf numFmtId="14" fontId="0" fillId="0" borderId="0" xfId="0" applyNumberFormat="1"/>
    <xf numFmtId="14" fontId="20" fillId="0" borderId="0" xfId="0" applyNumberFormat="1" applyFont="1" applyAlignment="1">
      <alignment horizontal="center"/>
    </xf>
    <xf numFmtId="171" fontId="21" fillId="4" borderId="0" xfId="0" applyNumberFormat="1" applyFont="1" applyFill="1" applyAlignment="1">
      <alignment horizontal="center"/>
    </xf>
    <xf numFmtId="171" fontId="13" fillId="0" borderId="0" xfId="0" applyNumberFormat="1" applyFont="1" applyAlignment="1">
      <alignment horizontal="center"/>
    </xf>
    <xf numFmtId="164" fontId="12" fillId="0" borderId="0" xfId="0" quotePrefix="1" applyFont="1" applyAlignment="1" applyProtection="1">
      <alignment horizontal="left"/>
      <protection locked="0"/>
    </xf>
    <xf numFmtId="164" fontId="0" fillId="0" borderId="0" xfId="0" applyProtection="1">
      <protection locked="0"/>
    </xf>
    <xf numFmtId="164" fontId="0" fillId="0" borderId="0" xfId="0" quotePrefix="1" applyAlignment="1" applyProtection="1">
      <alignment horizontal="left"/>
      <protection locked="0"/>
    </xf>
    <xf numFmtId="3" fontId="1" fillId="0" borderId="0" xfId="0" applyNumberFormat="1" applyFont="1" applyProtection="1">
      <protection locked="0"/>
    </xf>
    <xf numFmtId="164" fontId="20" fillId="0" borderId="0" xfId="0" applyFont="1" applyAlignment="1" applyProtection="1">
      <alignment horizontal="center"/>
      <protection locked="0"/>
    </xf>
    <xf numFmtId="14" fontId="20" fillId="0" borderId="0" xfId="0" applyNumberFormat="1" applyFont="1" applyAlignment="1" applyProtection="1">
      <alignment horizontal="center"/>
      <protection locked="0"/>
    </xf>
    <xf numFmtId="164" fontId="13" fillId="0" borderId="0" xfId="0" applyFont="1" applyAlignment="1" applyProtection="1">
      <alignment horizontal="center"/>
      <protection locked="0"/>
    </xf>
    <xf numFmtId="166" fontId="1" fillId="0" borderId="0" xfId="0" applyNumberFormat="1" applyFont="1" applyAlignment="1" applyProtection="1">
      <alignment horizontal="center"/>
      <protection locked="0"/>
    </xf>
    <xf numFmtId="167" fontId="13" fillId="0" borderId="0" xfId="0" applyNumberFormat="1" applyFont="1" applyAlignment="1" applyProtection="1">
      <alignment horizontal="center"/>
      <protection locked="0"/>
    </xf>
    <xf numFmtId="170" fontId="0" fillId="0" borderId="0" xfId="0" applyNumberFormat="1" applyProtection="1">
      <protection locked="0"/>
    </xf>
    <xf numFmtId="14" fontId="13" fillId="0" borderId="0" xfId="0" applyNumberFormat="1" applyFont="1" applyAlignment="1" applyProtection="1">
      <alignment horizontal="center"/>
      <protection locked="0"/>
    </xf>
    <xf numFmtId="14" fontId="0" fillId="0" borderId="0" xfId="0" applyNumberFormat="1" applyAlignment="1" applyProtection="1">
      <alignment horizontal="center"/>
      <protection locked="0"/>
    </xf>
    <xf numFmtId="14" fontId="0" fillId="0" borderId="0" xfId="0" applyNumberFormat="1" applyProtection="1">
      <protection locked="0"/>
    </xf>
    <xf numFmtId="164" fontId="1" fillId="0" borderId="0" xfId="0" applyFont="1" applyProtection="1">
      <protection locked="0"/>
    </xf>
    <xf numFmtId="14" fontId="15" fillId="0" borderId="0" xfId="0" applyNumberFormat="1" applyFont="1" applyAlignment="1" applyProtection="1">
      <alignment horizontal="right"/>
      <protection locked="0"/>
    </xf>
    <xf numFmtId="1" fontId="1" fillId="0" borderId="0" xfId="0" applyNumberFormat="1" applyFont="1" applyProtection="1">
      <protection locked="0"/>
    </xf>
    <xf numFmtId="167" fontId="8" fillId="0" borderId="0" xfId="0" applyNumberFormat="1" applyFont="1" applyAlignment="1" applyProtection="1">
      <alignment horizontal="left"/>
      <protection locked="0"/>
    </xf>
    <xf numFmtId="3" fontId="10" fillId="0" borderId="0" xfId="0" applyNumberFormat="1" applyFont="1" applyAlignment="1" applyProtection="1">
      <alignment horizontal="left"/>
      <protection locked="0"/>
    </xf>
    <xf numFmtId="164" fontId="0" fillId="0" borderId="0" xfId="0" applyAlignment="1" applyProtection="1">
      <alignment horizontal="centerContinuous"/>
      <protection locked="0"/>
    </xf>
    <xf numFmtId="165" fontId="8" fillId="0" borderId="0" xfId="0" quotePrefix="1" applyNumberFormat="1" applyFont="1" applyAlignment="1" applyProtection="1">
      <alignment horizontal="left"/>
      <protection locked="0"/>
    </xf>
    <xf numFmtId="3" fontId="5" fillId="0" borderId="0" xfId="0" applyNumberFormat="1" applyFont="1" applyAlignment="1" applyProtection="1">
      <alignment horizontal="left"/>
      <protection locked="0"/>
    </xf>
    <xf numFmtId="3" fontId="5" fillId="0" borderId="0" xfId="0" quotePrefix="1" applyNumberFormat="1" applyFont="1" applyAlignment="1" applyProtection="1">
      <alignment horizontal="left"/>
      <protection locked="0"/>
    </xf>
    <xf numFmtId="3" fontId="7" fillId="0" borderId="0" xfId="0" applyNumberFormat="1" applyFont="1" applyAlignment="1" applyProtection="1">
      <alignment horizontal="right"/>
      <protection locked="0"/>
    </xf>
    <xf numFmtId="3" fontId="4" fillId="0" borderId="0" xfId="0" applyNumberFormat="1" applyFont="1" applyAlignment="1" applyProtection="1">
      <alignment horizontal="left"/>
      <protection locked="0"/>
    </xf>
    <xf numFmtId="3" fontId="1" fillId="0" borderId="0" xfId="0" applyNumberFormat="1" applyFont="1" applyAlignment="1" applyProtection="1">
      <alignment horizontal="left"/>
      <protection locked="0"/>
    </xf>
    <xf numFmtId="3" fontId="2"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3" fontId="9" fillId="0" borderId="0" xfId="0" applyNumberFormat="1" applyFont="1" applyAlignment="1" applyProtection="1">
      <alignment horizontal="center"/>
      <protection locked="0"/>
    </xf>
    <xf numFmtId="3" fontId="3" fillId="0" borderId="0" xfId="0" applyNumberFormat="1" applyFont="1" applyAlignment="1" applyProtection="1">
      <alignment horizontal="right"/>
      <protection locked="0"/>
    </xf>
    <xf numFmtId="3" fontId="3" fillId="0" borderId="0" xfId="0" applyNumberFormat="1" applyFont="1" applyProtection="1">
      <protection locked="0"/>
    </xf>
    <xf numFmtId="3" fontId="1" fillId="0" borderId="0" xfId="3" applyProtection="1">
      <alignment horizontal="right"/>
      <protection locked="0"/>
    </xf>
    <xf numFmtId="3" fontId="1" fillId="0" borderId="0" xfId="0" quotePrefix="1" applyNumberFormat="1" applyFont="1" applyAlignment="1" applyProtection="1">
      <alignment horizontal="right"/>
      <protection locked="0"/>
    </xf>
    <xf numFmtId="3" fontId="1" fillId="0" borderId="0" xfId="0" applyNumberFormat="1" applyFont="1" applyAlignment="1" applyProtection="1">
      <alignment horizontal="right"/>
      <protection locked="0"/>
    </xf>
    <xf numFmtId="164" fontId="16" fillId="0" borderId="0" xfId="0" applyFont="1" applyAlignment="1" applyProtection="1">
      <alignment horizontal="left"/>
      <protection locked="0"/>
    </xf>
    <xf numFmtId="3" fontId="4" fillId="0" borderId="0" xfId="0" applyNumberFormat="1" applyFont="1" applyProtection="1">
      <protection locked="0"/>
    </xf>
    <xf numFmtId="3" fontId="4" fillId="0" borderId="0" xfId="0" quotePrefix="1" applyNumberFormat="1" applyFont="1" applyAlignment="1" applyProtection="1">
      <alignment horizontal="left"/>
      <protection locked="0"/>
    </xf>
    <xf numFmtId="3" fontId="4" fillId="0" borderId="0" xfId="0" applyNumberFormat="1" applyFont="1" applyAlignment="1" applyProtection="1">
      <alignment horizontal="right"/>
      <protection locked="0"/>
    </xf>
    <xf numFmtId="3" fontId="9" fillId="0" borderId="0" xfId="0" applyNumberFormat="1" applyFont="1" applyProtection="1">
      <protection locked="0"/>
    </xf>
    <xf numFmtId="3" fontId="9" fillId="0" borderId="0" xfId="0" quotePrefix="1" applyNumberFormat="1" applyFont="1" applyAlignment="1" applyProtection="1">
      <alignment horizontal="right"/>
      <protection locked="0"/>
    </xf>
    <xf numFmtId="4" fontId="1" fillId="0" borderId="0" xfId="4" applyProtection="1">
      <alignment horizontal="right"/>
      <protection locked="0"/>
    </xf>
    <xf numFmtId="4" fontId="1" fillId="0" borderId="0" xfId="0" applyNumberFormat="1" applyFont="1" applyAlignment="1" applyProtection="1">
      <alignment horizontal="right"/>
      <protection locked="0"/>
    </xf>
    <xf numFmtId="164" fontId="4" fillId="0" borderId="0" xfId="0" quotePrefix="1" applyFont="1" applyAlignment="1" applyProtection="1">
      <alignment horizontal="left"/>
      <protection locked="0"/>
    </xf>
    <xf numFmtId="165" fontId="9" fillId="0" borderId="0" xfId="0" applyNumberFormat="1" applyFont="1" applyAlignment="1" applyProtection="1">
      <alignment horizontal="right"/>
      <protection locked="0"/>
    </xf>
    <xf numFmtId="164" fontId="0" fillId="0" borderId="0" xfId="0" quotePrefix="1" applyProtection="1">
      <protection locked="0"/>
    </xf>
    <xf numFmtId="165" fontId="1" fillId="0" borderId="0" xfId="0" quotePrefix="1" applyNumberFormat="1" applyFont="1" applyAlignment="1" applyProtection="1">
      <alignment horizontal="right"/>
      <protection locked="0"/>
    </xf>
    <xf numFmtId="3" fontId="4" fillId="0" borderId="0" xfId="0" quotePrefix="1" applyNumberFormat="1" applyFont="1" applyAlignment="1" applyProtection="1">
      <alignment horizontal="center"/>
      <protection locked="0"/>
    </xf>
    <xf numFmtId="3" fontId="4" fillId="0" borderId="0" xfId="0" applyNumberFormat="1" applyFont="1" applyAlignment="1" applyProtection="1">
      <alignment horizontal="center"/>
      <protection locked="0"/>
    </xf>
    <xf numFmtId="3" fontId="3" fillId="0" borderId="0" xfId="0" applyNumberFormat="1" applyFont="1" applyAlignment="1" applyProtection="1">
      <alignment horizontal="left"/>
      <protection locked="0"/>
    </xf>
    <xf numFmtId="164" fontId="18" fillId="0" borderId="0" xfId="0" applyFont="1" applyAlignment="1" applyProtection="1">
      <alignment horizontal="left"/>
      <protection locked="0"/>
    </xf>
    <xf numFmtId="164" fontId="17" fillId="0" borderId="0" xfId="0" applyFont="1" applyProtection="1">
      <protection locked="0"/>
    </xf>
    <xf numFmtId="164" fontId="19" fillId="0" borderId="0" xfId="0" applyFont="1" applyProtection="1">
      <protection locked="0"/>
    </xf>
    <xf numFmtId="171" fontId="13" fillId="0" borderId="0" xfId="0" applyNumberFormat="1" applyFont="1" applyAlignment="1" applyProtection="1">
      <alignment horizontal="center"/>
      <protection locked="0"/>
    </xf>
    <xf numFmtId="171" fontId="21" fillId="5" borderId="0" xfId="0" applyNumberFormat="1" applyFont="1" applyFill="1" applyAlignment="1">
      <alignment horizontal="center"/>
    </xf>
    <xf numFmtId="164" fontId="22" fillId="0" borderId="0" xfId="0" applyFont="1"/>
  </cellXfs>
  <cellStyles count="7">
    <cellStyle name="DbPrice" xfId="1" xr:uid="{00000000-0005-0000-0000-000000000000}"/>
    <cellStyle name="DbTag" xfId="2" xr:uid="{00000000-0005-0000-0000-000001000000}"/>
    <cellStyle name="Normal" xfId="0" builtinId="0"/>
    <cellStyle name="Price" xfId="3" xr:uid="{00000000-0005-0000-0000-000003000000}"/>
    <cellStyle name="PriceD2" xfId="4" xr:uid="{00000000-0005-0000-0000-000004000000}"/>
    <cellStyle name="UpsDowns" xfId="5" xr:uid="{00000000-0005-0000-0000-000005000000}"/>
    <cellStyle name="UpsDownsD2" xfId="6" xr:uid="{00000000-0005-0000-0000-00000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352425</xdr:colOff>
      <xdr:row>16</xdr:row>
      <xdr:rowOff>0</xdr:rowOff>
    </xdr:to>
    <xdr:grpSp>
      <xdr:nvGrpSpPr>
        <xdr:cNvPr id="2" name="Group 44">
          <a:extLst>
            <a:ext uri="{FF2B5EF4-FFF2-40B4-BE49-F238E27FC236}">
              <a16:creationId xmlns:a16="http://schemas.microsoft.com/office/drawing/2014/main" id="{DAD7BA42-92E4-4261-9F7A-DEA8D1BBE01C}"/>
            </a:ext>
          </a:extLst>
        </xdr:cNvPr>
        <xdr:cNvGrpSpPr>
          <a:grpSpLocks/>
        </xdr:cNvGrpSpPr>
      </xdr:nvGrpSpPr>
      <xdr:grpSpPr bwMode="auto">
        <a:xfrm>
          <a:off x="0" y="0"/>
          <a:ext cx="8372475" cy="2686050"/>
          <a:chOff x="0" y="0"/>
          <a:chExt cx="726" cy="282"/>
        </a:xfrm>
      </xdr:grpSpPr>
      <xdr:sp macro="" textlink="">
        <xdr:nvSpPr>
          <xdr:cNvPr id="3" name="Rectangle 1">
            <a:extLst>
              <a:ext uri="{FF2B5EF4-FFF2-40B4-BE49-F238E27FC236}">
                <a16:creationId xmlns:a16="http://schemas.microsoft.com/office/drawing/2014/main" id="{90B70CCD-C36F-5F62-9AF6-A145E7F1D62C}"/>
              </a:ext>
            </a:extLst>
          </xdr:cNvPr>
          <xdr:cNvSpPr>
            <a:spLocks noChangeArrowheads="1"/>
          </xdr:cNvSpPr>
        </xdr:nvSpPr>
        <xdr:spPr bwMode="auto">
          <a:xfrm>
            <a:off x="0" y="0"/>
            <a:ext cx="726" cy="28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Text 18">
            <a:extLst>
              <a:ext uri="{FF2B5EF4-FFF2-40B4-BE49-F238E27FC236}">
                <a16:creationId xmlns:a16="http://schemas.microsoft.com/office/drawing/2014/main" id="{E3FD9717-1549-4E5C-BF84-A179D34EB7AC}"/>
              </a:ext>
            </a:extLst>
          </xdr:cNvPr>
          <xdr:cNvSpPr txBox="1">
            <a:spLocks noChangeArrowheads="1"/>
          </xdr:cNvSpPr>
        </xdr:nvSpPr>
        <xdr:spPr bwMode="auto">
          <a:xfrm>
            <a:off x="28" y="209"/>
            <a:ext cx="553" cy="6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overflow" horzOverflow="overflow"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Panel Price Guide</a:t>
            </a:r>
          </a:p>
          <a:p>
            <a:pPr algn="l" rtl="0">
              <a:defRPr sz="1000"/>
            </a:pPr>
            <a:r>
              <a:rPr lang="en-US" sz="1000" b="0" i="0" u="none" strike="noStrike" baseline="0">
                <a:solidFill>
                  <a:srgbClr val="000000"/>
                </a:solidFill>
                <a:latin typeface="Arial"/>
                <a:cs typeface="Arial"/>
              </a:rPr>
              <a:t>Page 12 starts at cell A101	Pane Composites start at cell A301</a:t>
            </a:r>
          </a:p>
          <a:p>
            <a:pPr algn="l" rtl="0">
              <a:defRPr sz="1000"/>
            </a:pPr>
            <a:r>
              <a:rPr lang="en-US" sz="1000" b="0" i="0" u="none" strike="noStrike" baseline="0">
                <a:solidFill>
                  <a:srgbClr val="000000"/>
                </a:solidFill>
                <a:latin typeface="Arial"/>
                <a:cs typeface="Arial"/>
              </a:rPr>
              <a:t>Page 13 starts at cell A201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 name="Text 53">
            <a:extLst>
              <a:ext uri="{FF2B5EF4-FFF2-40B4-BE49-F238E27FC236}">
                <a16:creationId xmlns:a16="http://schemas.microsoft.com/office/drawing/2014/main" id="{3DB8E1EE-54C3-FDEE-E09E-6C99D83304AA}"/>
              </a:ext>
            </a:extLst>
          </xdr:cNvPr>
          <xdr:cNvSpPr txBox="1">
            <a:spLocks noChangeArrowheads="1"/>
          </xdr:cNvSpPr>
        </xdr:nvSpPr>
        <xdr:spPr bwMode="auto">
          <a:xfrm>
            <a:off x="467" y="14"/>
            <a:ext cx="254"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oneCellAnchor>
    <xdr:from>
      <xdr:col>0</xdr:col>
      <xdr:colOff>219075</xdr:colOff>
      <xdr:row>0</xdr:row>
      <xdr:rowOff>190500</xdr:rowOff>
    </xdr:from>
    <xdr:ext cx="4343400" cy="1514475"/>
    <xdr:pic>
      <xdr:nvPicPr>
        <xdr:cNvPr id="6" name="Picture 1">
          <a:extLst>
            <a:ext uri="{FF2B5EF4-FFF2-40B4-BE49-F238E27FC236}">
              <a16:creationId xmlns:a16="http://schemas.microsoft.com/office/drawing/2014/main" id="{B4D54124-7580-46DC-B0BE-1E5D8CEE7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1619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742950</xdr:colOff>
      <xdr:row>23</xdr:row>
      <xdr:rowOff>9525</xdr:rowOff>
    </xdr:from>
    <xdr:to>
      <xdr:col>6</xdr:col>
      <xdr:colOff>0</xdr:colOff>
      <xdr:row>30</xdr:row>
      <xdr:rowOff>28575</xdr:rowOff>
    </xdr:to>
    <xdr:sp macro="" textlink="">
      <xdr:nvSpPr>
        <xdr:cNvPr id="7" name="TextBox 6">
          <a:extLst>
            <a:ext uri="{FF2B5EF4-FFF2-40B4-BE49-F238E27FC236}">
              <a16:creationId xmlns:a16="http://schemas.microsoft.com/office/drawing/2014/main" id="{80C5C0CD-4D2B-4514-8E18-AF9CC25A0C5C}"/>
            </a:ext>
          </a:extLst>
        </xdr:cNvPr>
        <xdr:cNvSpPr txBox="1"/>
      </xdr:nvSpPr>
      <xdr:spPr>
        <a:xfrm>
          <a:off x="742950" y="3829050"/>
          <a:ext cx="3390900" cy="11525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This worksheet</a:t>
          </a:r>
          <a:r>
            <a:rPr lang="en-US" sz="1100" b="1" baseline="0">
              <a:solidFill>
                <a:schemeClr val="dk1"/>
              </a:solidFill>
              <a:effectLst/>
              <a:latin typeface="+mn-lt"/>
              <a:ea typeface="+mn-ea"/>
              <a:cs typeface="+mn-cs"/>
            </a:rPr>
            <a:t> can ONLY be used to generate the latest end-of-week prices </a:t>
          </a:r>
          <a:r>
            <a:rPr lang="en-US" sz="1100" b="1" i="1" u="sng" baseline="0">
              <a:solidFill>
                <a:schemeClr val="dk1"/>
              </a:solidFill>
              <a:effectLst/>
              <a:latin typeface="+mn-lt"/>
              <a:ea typeface="+mn-ea"/>
              <a:cs typeface="+mn-cs"/>
            </a:rPr>
            <a:t>before</a:t>
          </a:r>
          <a:r>
            <a:rPr lang="en-US" sz="1100" b="1" baseline="0">
              <a:solidFill>
                <a:schemeClr val="dk1"/>
              </a:solidFill>
              <a:effectLst/>
              <a:latin typeface="+mn-lt"/>
              <a:ea typeface="+mn-ea"/>
              <a:cs typeface="+mn-cs"/>
            </a:rPr>
            <a:t> the mid week assessments are published.</a:t>
          </a:r>
          <a:endParaRPr lang="en-GB"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The latest publication date is automatically filled </a:t>
          </a:r>
          <a:r>
            <a:rPr lang="en-US" sz="1100" b="1" baseline="0">
              <a:solidFill>
                <a:schemeClr val="dk1"/>
              </a:solidFill>
              <a:effectLst/>
              <a:latin typeface="+mn-lt"/>
              <a:ea typeface="+mn-ea"/>
              <a:cs typeface="+mn-cs"/>
            </a:rPr>
            <a:t>in the highlighted cell (B22).</a:t>
          </a:r>
          <a:endParaRPr lang="en-US"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352425</xdr:colOff>
      <xdr:row>16</xdr:row>
      <xdr:rowOff>0</xdr:rowOff>
    </xdr:to>
    <xdr:grpSp>
      <xdr:nvGrpSpPr>
        <xdr:cNvPr id="21789" name="Group 44">
          <a:extLst>
            <a:ext uri="{FF2B5EF4-FFF2-40B4-BE49-F238E27FC236}">
              <a16:creationId xmlns:a16="http://schemas.microsoft.com/office/drawing/2014/main" id="{00000000-0008-0000-0100-00001D550000}"/>
            </a:ext>
          </a:extLst>
        </xdr:cNvPr>
        <xdr:cNvGrpSpPr>
          <a:grpSpLocks/>
        </xdr:cNvGrpSpPr>
      </xdr:nvGrpSpPr>
      <xdr:grpSpPr bwMode="auto">
        <a:xfrm>
          <a:off x="0" y="0"/>
          <a:ext cx="8458200" cy="2686050"/>
          <a:chOff x="0" y="0"/>
          <a:chExt cx="726" cy="282"/>
        </a:xfrm>
      </xdr:grpSpPr>
      <xdr:sp macro="" textlink="">
        <xdr:nvSpPr>
          <xdr:cNvPr id="21791" name="Rectangle 1">
            <a:extLst>
              <a:ext uri="{FF2B5EF4-FFF2-40B4-BE49-F238E27FC236}">
                <a16:creationId xmlns:a16="http://schemas.microsoft.com/office/drawing/2014/main" id="{00000000-0008-0000-0100-00001F550000}"/>
              </a:ext>
            </a:extLst>
          </xdr:cNvPr>
          <xdr:cNvSpPr>
            <a:spLocks noChangeArrowheads="1"/>
          </xdr:cNvSpPr>
        </xdr:nvSpPr>
        <xdr:spPr bwMode="auto">
          <a:xfrm>
            <a:off x="0" y="0"/>
            <a:ext cx="726" cy="28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9" name="Text 18">
            <a:extLst>
              <a:ext uri="{FF2B5EF4-FFF2-40B4-BE49-F238E27FC236}">
                <a16:creationId xmlns:a16="http://schemas.microsoft.com/office/drawing/2014/main" id="{00000000-0008-0000-0100-000009000000}"/>
              </a:ext>
            </a:extLst>
          </xdr:cNvPr>
          <xdr:cNvSpPr txBox="1">
            <a:spLocks noChangeArrowheads="1"/>
          </xdr:cNvSpPr>
        </xdr:nvSpPr>
        <xdr:spPr bwMode="auto">
          <a:xfrm>
            <a:off x="28" y="209"/>
            <a:ext cx="553" cy="6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overflow" horzOverflow="overflow"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Panel Price Guide</a:t>
            </a:r>
          </a:p>
          <a:p>
            <a:pPr algn="l" rtl="0">
              <a:defRPr sz="1000"/>
            </a:pPr>
            <a:r>
              <a:rPr lang="en-US" sz="1000" b="0" i="0" u="none" strike="noStrike" baseline="0">
                <a:solidFill>
                  <a:srgbClr val="000000"/>
                </a:solidFill>
                <a:latin typeface="Arial"/>
                <a:cs typeface="Arial"/>
              </a:rPr>
              <a:t>Page 12 starts at cell A101	Pane Composites start at cell A301</a:t>
            </a:r>
          </a:p>
          <a:p>
            <a:pPr algn="l" rtl="0">
              <a:defRPr sz="1000"/>
            </a:pPr>
            <a:r>
              <a:rPr lang="en-US" sz="1000" b="0" i="0" u="none" strike="noStrike" baseline="0">
                <a:solidFill>
                  <a:srgbClr val="000000"/>
                </a:solidFill>
                <a:latin typeface="Arial"/>
                <a:cs typeface="Arial"/>
              </a:rPr>
              <a:t>Page 13 starts at cell A201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10" name="Text 53">
            <a:extLst>
              <a:ext uri="{FF2B5EF4-FFF2-40B4-BE49-F238E27FC236}">
                <a16:creationId xmlns:a16="http://schemas.microsoft.com/office/drawing/2014/main" id="{00000000-0008-0000-0100-00000A000000}"/>
              </a:ext>
            </a:extLst>
          </xdr:cNvPr>
          <xdr:cNvSpPr txBox="1">
            <a:spLocks noChangeArrowheads="1"/>
          </xdr:cNvSpPr>
        </xdr:nvSpPr>
        <xdr:spPr bwMode="auto">
          <a:xfrm>
            <a:off x="467" y="14"/>
            <a:ext cx="254"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twoCellAnchor editAs="oneCell">
    <xdr:from>
      <xdr:col>0</xdr:col>
      <xdr:colOff>219075</xdr:colOff>
      <xdr:row>0</xdr:row>
      <xdr:rowOff>190500</xdr:rowOff>
    </xdr:from>
    <xdr:to>
      <xdr:col>6</xdr:col>
      <xdr:colOff>419100</xdr:colOff>
      <xdr:row>9</xdr:row>
      <xdr:rowOff>152400</xdr:rowOff>
    </xdr:to>
    <xdr:pic>
      <xdr:nvPicPr>
        <xdr:cNvPr id="21790" name="Picture 1">
          <a:extLst>
            <a:ext uri="{FF2B5EF4-FFF2-40B4-BE49-F238E27FC236}">
              <a16:creationId xmlns:a16="http://schemas.microsoft.com/office/drawing/2014/main" id="{00000000-0008-0000-0100-00001E5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190500"/>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23</xdr:row>
      <xdr:rowOff>9526</xdr:rowOff>
    </xdr:from>
    <xdr:to>
      <xdr:col>5</xdr:col>
      <xdr:colOff>447675</xdr:colOff>
      <xdr:row>27</xdr:row>
      <xdr:rowOff>28576</xdr:rowOff>
    </xdr:to>
    <xdr:sp macro="" textlink="">
      <xdr:nvSpPr>
        <xdr:cNvPr id="3" name="TextBox 2">
          <a:extLst>
            <a:ext uri="{FF2B5EF4-FFF2-40B4-BE49-F238E27FC236}">
              <a16:creationId xmlns:a16="http://schemas.microsoft.com/office/drawing/2014/main" id="{C0279BD3-12C5-4D07-B895-B945A99D08B1}"/>
            </a:ext>
          </a:extLst>
        </xdr:cNvPr>
        <xdr:cNvSpPr txBox="1"/>
      </xdr:nvSpPr>
      <xdr:spPr>
        <a:xfrm>
          <a:off x="762000" y="3829051"/>
          <a:ext cx="3219450" cy="6667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Specify </a:t>
          </a:r>
          <a:r>
            <a:rPr lang="en-US" sz="1400" b="1" baseline="0"/>
            <a:t>a past publication date </a:t>
          </a:r>
          <a:r>
            <a:rPr lang="en-US" sz="1400" b="1" baseline="0">
              <a:solidFill>
                <a:schemeClr val="dk1"/>
              </a:solidFill>
              <a:effectLst/>
              <a:latin typeface="+mn-lt"/>
              <a:ea typeface="+mn-ea"/>
              <a:cs typeface="+mn-cs"/>
            </a:rPr>
            <a:t>in the highlighted cell (B22).</a:t>
          </a:r>
          <a:endParaRPr lang="en-US" sz="1100" b="1" baseline="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558A7-352D-46B6-9A9A-1C39F6321D65}">
  <sheetPr>
    <pageSetUpPr fitToPage="1"/>
  </sheetPr>
  <dimension ref="A1:BZ1561"/>
  <sheetViews>
    <sheetView tabSelected="1" zoomScaleNormal="100" workbookViewId="0">
      <selection activeCell="A17" sqref="A17"/>
    </sheetView>
  </sheetViews>
  <sheetFormatPr defaultRowHeight="12.75" x14ac:dyDescent="0.2"/>
  <cols>
    <col min="1" max="1" width="11.28515625" style="54" customWidth="1"/>
    <col min="2" max="2" width="14.140625" style="54" customWidth="1"/>
    <col min="3" max="6" width="9.140625" style="54"/>
    <col min="7" max="7" width="13.42578125" style="54" customWidth="1"/>
    <col min="8" max="8" width="10.7109375" style="54" customWidth="1"/>
    <col min="9" max="9" width="15.85546875" style="54" bestFit="1" customWidth="1"/>
    <col min="10" max="11" width="9.140625" style="54"/>
    <col min="12" max="12" width="12.5703125" style="54" customWidth="1"/>
    <col min="13" max="13" width="10.42578125" style="54" customWidth="1"/>
    <col min="14" max="16384" width="9.140625" style="54"/>
  </cols>
  <sheetData>
    <row r="1" spans="1:78" s="56" customFormat="1" ht="20.25" x14ac:dyDescent="0.3">
      <c r="A1" s="53" t="s">
        <v>0</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5"/>
      <c r="BB1" s="54"/>
      <c r="BC1" s="54"/>
      <c r="BD1" s="54"/>
      <c r="BE1" s="54"/>
      <c r="BF1" s="54"/>
      <c r="BG1" s="54"/>
      <c r="BH1" s="54"/>
      <c r="BI1" s="54"/>
      <c r="BJ1" s="54"/>
      <c r="BK1" s="54"/>
      <c r="BL1" s="54"/>
      <c r="BM1" s="54"/>
      <c r="BN1" s="54"/>
      <c r="BO1" s="54"/>
      <c r="BP1" s="54"/>
      <c r="BQ1" s="54"/>
      <c r="BR1" s="54"/>
      <c r="BS1" s="54"/>
      <c r="BT1" s="54"/>
      <c r="BU1" s="54"/>
      <c r="BV1" s="54"/>
      <c r="BW1" s="54"/>
      <c r="BX1" s="54"/>
      <c r="BY1" s="54"/>
      <c r="BZ1" s="54"/>
    </row>
    <row r="2" spans="1:78" s="56" customForma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3" spans="1:78" s="56" customFormat="1" x14ac:dyDescent="0.2">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row>
    <row r="4" spans="1:78" s="56" customFormat="1" x14ac:dyDescent="0.2">
      <c r="A4" s="54"/>
      <c r="B4" s="54"/>
      <c r="C4" s="54"/>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row>
    <row r="5" spans="1:78" s="56" customFormat="1" x14ac:dyDescent="0.2">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row>
    <row r="6" spans="1:78" s="56" customFormat="1" x14ac:dyDescent="0.2">
      <c r="A6" s="54"/>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row>
    <row r="7" spans="1:78" s="56" customForma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row>
    <row r="8" spans="1:78" s="56" customForma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row>
    <row r="9" spans="1:78" s="56" customForma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row>
    <row r="10" spans="1:78" s="56" customFormat="1" ht="12.75" customHeight="1" x14ac:dyDescent="0.2">
      <c r="A10" s="54"/>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row>
    <row r="11" spans="1:78" s="56" customFormat="1" x14ac:dyDescent="0.2">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row>
    <row r="12" spans="1:78" s="56" customFormat="1" x14ac:dyDescent="0.2">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row>
    <row r="13" spans="1:78" s="56" customFormat="1" x14ac:dyDescent="0.2">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row>
    <row r="14" spans="1:78" s="56" customFormat="1" x14ac:dyDescent="0.2">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row>
    <row r="15" spans="1:78" s="56" customFormat="1" x14ac:dyDescent="0.2">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row>
    <row r="16" spans="1:78" s="56" customFormat="1" x14ac:dyDescent="0.2">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row>
    <row r="17" spans="1:78" s="56" customFormat="1" x14ac:dyDescent="0.2">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row>
    <row r="18" spans="1:78" s="56" customFormat="1" x14ac:dyDescent="0.2">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row>
    <row r="19" spans="1:78" s="56" customFormat="1" x14ac:dyDescent="0.2">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row>
    <row r="20" spans="1:78" s="56" customFormat="1" x14ac:dyDescent="0.2">
      <c r="A20" s="54"/>
      <c r="B20" s="54"/>
      <c r="C20" s="54"/>
      <c r="D20" s="54"/>
      <c r="E20" s="54"/>
      <c r="F20" s="54"/>
      <c r="G20" s="57" t="s">
        <v>1</v>
      </c>
      <c r="H20" s="54"/>
      <c r="I20" s="57" t="s">
        <v>2</v>
      </c>
      <c r="J20" s="54"/>
      <c r="K20" s="57"/>
      <c r="L20" s="57"/>
      <c r="M20" s="57"/>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row>
    <row r="21" spans="1:78" s="56" customFormat="1" x14ac:dyDescent="0.2">
      <c r="A21" s="54"/>
      <c r="B21" s="57" t="s">
        <v>3</v>
      </c>
      <c r="C21" s="57" t="s">
        <v>4</v>
      </c>
      <c r="D21" s="57" t="s">
        <v>5</v>
      </c>
      <c r="E21" s="57"/>
      <c r="F21" s="57"/>
      <c r="G21" s="57" t="s">
        <v>6</v>
      </c>
      <c r="I21" s="57" t="s">
        <v>6</v>
      </c>
      <c r="J21" s="54"/>
      <c r="K21" s="57"/>
      <c r="L21" s="58"/>
      <c r="M21" s="57"/>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row>
    <row r="22" spans="1:78" s="56" customFormat="1" x14ac:dyDescent="0.2">
      <c r="A22" s="54"/>
      <c r="B22" s="105" cm="1">
        <f t="array" aca="1" ref="B22" ca="1">_xll.GetPrice("FP-PNL-0499","Actual","AssessmentDate", TODAY())</f>
        <v>45849.444976851853</v>
      </c>
      <c r="C22" s="59">
        <f ca="1">YEAR(_LATESTvarPubDate)</f>
        <v>2025</v>
      </c>
      <c r="D22" s="60">
        <f ca="1">MONTH(_LATESTvarPubDate)</f>
        <v>7</v>
      </c>
      <c r="E22" s="60"/>
      <c r="F22" s="60"/>
      <c r="G22" s="104">
        <f ca="1">_xll.GetPrice("FP-PNL-0499","Actual","AssessmentDate",_LATESTvarPubDate-5)</f>
        <v>45841.442997685182</v>
      </c>
      <c r="I22" s="104" cm="1">
        <f t="array" aca="1" ref="I22" ca="1">_xll.GetPrice("FP-PNL-0499","Actual","AssessmentDate",IF(_xll.GetPrice("FP-PNL-0499","Actual","PreliminaryPrice",EDATE(_LATESTvarPubDate,-12)),_xll.GetPrice("FP-PNL-0499","Actual","AssessmentDate",EDATE(_LATESTvarPubDate,-12))-1,_xll.GetPrice("FP-PNL-0499","Actual","AssessmentDate",EDATE(_LATESTvarPubDate,-12))))</f>
        <v>45476.441979166666</v>
      </c>
      <c r="J22" s="54"/>
      <c r="K22" s="61"/>
      <c r="L22" s="61"/>
      <c r="M22" s="62"/>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row>
    <row r="23" spans="1:78" s="56" customFormat="1" x14ac:dyDescent="0.2">
      <c r="A23" s="54"/>
      <c r="B23" s="63"/>
      <c r="C23" s="59"/>
      <c r="D23" s="59"/>
      <c r="E23" s="59"/>
      <c r="F23" s="59"/>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row>
    <row r="24" spans="1:78" s="56" customFormat="1" x14ac:dyDescent="0.2">
      <c r="A24" s="54"/>
      <c r="B24" s="64"/>
      <c r="C24" s="54"/>
      <c r="D24" s="54"/>
      <c r="E24" s="54"/>
      <c r="F24" s="54"/>
      <c r="G24" s="54"/>
      <c r="H24" s="54"/>
      <c r="I24" s="54"/>
      <c r="J24" s="54"/>
      <c r="K24" s="54"/>
      <c r="L24" s="65"/>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row>
    <row r="25" spans="1:78" s="56" customFormat="1" x14ac:dyDescent="0.2">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54"/>
    </row>
    <row r="26" spans="1:78" s="56" customForma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54"/>
    </row>
    <row r="27" spans="1:78" s="56" customFormat="1" x14ac:dyDescent="0.2">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c r="BV27" s="54"/>
      <c r="BW27" s="54"/>
      <c r="BX27" s="54"/>
      <c r="BY27" s="54"/>
      <c r="BZ27" s="54"/>
    </row>
    <row r="28" spans="1:78" s="56" customFormat="1" x14ac:dyDescent="0.2">
      <c r="A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c r="BM28" s="54"/>
      <c r="BN28" s="54"/>
      <c r="BO28" s="54"/>
      <c r="BP28" s="54"/>
      <c r="BQ28" s="54"/>
      <c r="BR28" s="54"/>
      <c r="BS28" s="54"/>
      <c r="BT28" s="54"/>
      <c r="BU28" s="54"/>
      <c r="BV28" s="54"/>
      <c r="BW28" s="54"/>
      <c r="BX28" s="54"/>
      <c r="BY28" s="54"/>
      <c r="BZ28" s="54"/>
    </row>
    <row r="29" spans="1:78" s="56" customFormat="1" x14ac:dyDescent="0.2">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row>
    <row r="30" spans="1:78" s="56" customFormat="1" x14ac:dyDescent="0.2">
      <c r="A30" s="66"/>
      <c r="B30" s="66"/>
      <c r="C30" s="66"/>
      <c r="D30" s="66"/>
      <c r="E30" s="66"/>
      <c r="F30" s="66"/>
      <c r="G30" s="66"/>
      <c r="H30" s="66"/>
      <c r="I30" s="66"/>
      <c r="J30" s="66"/>
      <c r="K30" s="66"/>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54"/>
    </row>
    <row r="31" spans="1:78" s="56" customFormat="1" x14ac:dyDescent="0.2">
      <c r="A31" s="66"/>
      <c r="B31" s="66"/>
      <c r="C31" s="66"/>
      <c r="D31" s="66"/>
      <c r="E31" s="66"/>
      <c r="F31" s="66"/>
      <c r="G31" s="66"/>
      <c r="H31" s="66"/>
      <c r="I31" s="66"/>
      <c r="J31" s="66"/>
      <c r="K31" s="66"/>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c r="BR31" s="54"/>
      <c r="BS31" s="54"/>
      <c r="BT31" s="54"/>
      <c r="BU31" s="54"/>
      <c r="BV31" s="54"/>
      <c r="BW31" s="54"/>
      <c r="BX31" s="54"/>
      <c r="BY31" s="54"/>
      <c r="BZ31" s="54"/>
    </row>
    <row r="32" spans="1:78" s="56" customFormat="1" x14ac:dyDescent="0.2">
      <c r="A32" s="66"/>
      <c r="B32" s="66"/>
      <c r="C32" s="66"/>
      <c r="D32" s="66"/>
      <c r="E32" s="66"/>
      <c r="F32" s="66"/>
      <c r="G32" s="66"/>
      <c r="H32" s="66"/>
      <c r="I32" s="66"/>
      <c r="J32" s="66"/>
      <c r="K32" s="66"/>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54"/>
    </row>
    <row r="33" spans="1:78" s="56" customFormat="1" x14ac:dyDescent="0.2">
      <c r="A33" s="66"/>
      <c r="B33" s="66"/>
      <c r="C33" s="66"/>
      <c r="D33" s="66"/>
      <c r="E33" s="66"/>
      <c r="F33" s="66"/>
      <c r="G33" s="66"/>
      <c r="H33" s="66"/>
      <c r="I33" s="66"/>
      <c r="J33" s="66"/>
      <c r="K33" s="66"/>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row>
    <row r="34" spans="1:78" s="56" customFormat="1" x14ac:dyDescent="0.2">
      <c r="A34" s="66"/>
      <c r="B34" s="66"/>
      <c r="C34" s="66"/>
      <c r="D34" s="66"/>
      <c r="E34" s="66"/>
      <c r="F34" s="66"/>
      <c r="G34" s="66"/>
      <c r="H34" s="66"/>
      <c r="I34" s="66"/>
      <c r="J34" s="66"/>
      <c r="K34" s="66"/>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row>
    <row r="35" spans="1:78" s="56" customFormat="1" x14ac:dyDescent="0.2">
      <c r="A35" s="66"/>
      <c r="B35" s="66"/>
      <c r="C35" s="66"/>
      <c r="D35" s="66"/>
      <c r="E35" s="66"/>
      <c r="F35" s="66"/>
      <c r="G35" s="66"/>
      <c r="H35" s="66"/>
      <c r="I35" s="66"/>
      <c r="J35" s="66"/>
      <c r="K35" s="66"/>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row>
    <row r="36" spans="1:78" s="56" customFormat="1" x14ac:dyDescent="0.2">
      <c r="A36" s="66"/>
      <c r="B36" s="66"/>
      <c r="C36" s="66"/>
      <c r="D36" s="66"/>
      <c r="E36" s="66"/>
      <c r="F36" s="66"/>
      <c r="G36" s="66"/>
      <c r="H36" s="66"/>
      <c r="I36" s="66"/>
      <c r="J36" s="66"/>
      <c r="K36" s="66"/>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row>
    <row r="37" spans="1:78" s="56" customFormat="1" x14ac:dyDescent="0.2">
      <c r="A37" s="66"/>
      <c r="B37" s="66"/>
      <c r="C37" s="66"/>
      <c r="D37" s="66"/>
      <c r="E37" s="66"/>
      <c r="F37" s="66"/>
      <c r="G37" s="66"/>
      <c r="H37" s="66"/>
      <c r="I37" s="66"/>
      <c r="J37" s="66"/>
      <c r="K37" s="66"/>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54"/>
    </row>
    <row r="38" spans="1:78" s="56" customFormat="1" x14ac:dyDescent="0.2">
      <c r="A38" s="66"/>
      <c r="B38" s="66"/>
      <c r="C38" s="66"/>
      <c r="D38" s="66"/>
      <c r="E38" s="66"/>
      <c r="F38" s="66"/>
      <c r="G38" s="66"/>
      <c r="H38" s="66"/>
      <c r="I38" s="66"/>
      <c r="J38" s="66"/>
      <c r="K38" s="66"/>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row>
    <row r="39" spans="1:78" s="56" customFormat="1" x14ac:dyDescent="0.2">
      <c r="A39" s="66"/>
      <c r="B39" s="66"/>
      <c r="C39" s="66"/>
      <c r="D39" s="66"/>
      <c r="E39" s="66"/>
      <c r="F39" s="66"/>
      <c r="G39" s="66"/>
      <c r="H39" s="66"/>
      <c r="I39" s="66"/>
      <c r="J39" s="66"/>
      <c r="K39" s="66"/>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54"/>
    </row>
    <row r="40" spans="1:78" s="56" customFormat="1" x14ac:dyDescent="0.2">
      <c r="A40" s="66"/>
      <c r="B40" s="66"/>
      <c r="C40" s="66"/>
      <c r="D40" s="66"/>
      <c r="E40" s="66"/>
      <c r="F40" s="66"/>
      <c r="G40" s="66"/>
      <c r="H40" s="66"/>
      <c r="I40" s="66"/>
      <c r="J40" s="66"/>
      <c r="K40" s="66"/>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row>
    <row r="41" spans="1:78" s="56" customFormat="1" x14ac:dyDescent="0.2">
      <c r="A41" s="66"/>
      <c r="B41" s="66"/>
      <c r="C41" s="66"/>
      <c r="D41" s="66"/>
      <c r="E41" s="66"/>
      <c r="F41" s="66"/>
      <c r="G41" s="66"/>
      <c r="H41" s="66"/>
      <c r="I41" s="66"/>
      <c r="J41" s="66"/>
      <c r="K41" s="66"/>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row>
    <row r="42" spans="1:78" s="56" customFormat="1" ht="14.25" x14ac:dyDescent="0.2">
      <c r="A42" s="66"/>
      <c r="B42" s="66"/>
      <c r="C42" s="67"/>
      <c r="D42" s="66"/>
      <c r="E42" s="66"/>
      <c r="F42" s="66"/>
      <c r="G42" s="66"/>
      <c r="H42" s="66"/>
      <c r="I42" s="66"/>
      <c r="J42" s="66"/>
      <c r="K42" s="66"/>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4"/>
    </row>
    <row r="43" spans="1:78" s="56" customFormat="1" x14ac:dyDescent="0.2">
      <c r="A43" s="66"/>
      <c r="B43" s="66"/>
      <c r="C43" s="66"/>
      <c r="D43" s="66"/>
      <c r="E43" s="66"/>
      <c r="F43" s="66"/>
      <c r="G43" s="66"/>
      <c r="H43" s="66"/>
      <c r="I43" s="66"/>
      <c r="J43" s="66"/>
      <c r="K43" s="66"/>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4"/>
    </row>
    <row r="44" spans="1:78" s="56" customFormat="1" x14ac:dyDescent="0.2">
      <c r="A44" s="66"/>
      <c r="B44" s="66"/>
      <c r="C44" s="66"/>
      <c r="D44" s="66"/>
      <c r="E44" s="66"/>
      <c r="F44" s="66"/>
      <c r="G44" s="66"/>
      <c r="H44" s="66"/>
      <c r="I44" s="66"/>
      <c r="J44" s="66"/>
      <c r="K44" s="66"/>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row>
    <row r="45" spans="1:78" s="56" customFormat="1" x14ac:dyDescent="0.2">
      <c r="A45" s="66"/>
      <c r="B45" s="66"/>
      <c r="C45" s="66"/>
      <c r="D45" s="66"/>
      <c r="E45" s="66"/>
      <c r="F45" s="66"/>
      <c r="G45" s="66"/>
      <c r="H45" s="66"/>
      <c r="I45" s="66"/>
      <c r="J45" s="66"/>
      <c r="K45" s="66"/>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row>
    <row r="46" spans="1:78" s="56" customFormat="1" x14ac:dyDescent="0.2">
      <c r="A46" s="66"/>
      <c r="B46" s="66"/>
      <c r="C46" s="66"/>
      <c r="D46" s="66"/>
      <c r="E46" s="66"/>
      <c r="F46" s="66"/>
      <c r="G46" s="66"/>
      <c r="H46" s="66"/>
      <c r="I46" s="66"/>
      <c r="J46" s="66"/>
      <c r="K46" s="66"/>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row>
    <row r="47" spans="1:78" s="56" customFormat="1" x14ac:dyDescent="0.2">
      <c r="A47" s="66"/>
      <c r="B47" s="66"/>
      <c r="C47" s="66"/>
      <c r="D47" s="66"/>
      <c r="E47" s="66"/>
      <c r="F47" s="66"/>
      <c r="G47" s="66"/>
      <c r="H47" s="66"/>
      <c r="I47" s="66"/>
      <c r="J47" s="66"/>
      <c r="K47" s="66"/>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row>
    <row r="48" spans="1:78" s="56" customFormat="1" ht="11.25" customHeight="1" x14ac:dyDescent="0.2">
      <c r="A48" s="66"/>
      <c r="B48" s="66"/>
      <c r="C48" s="66"/>
      <c r="D48" s="66"/>
      <c r="E48" s="66"/>
      <c r="F48" s="66"/>
      <c r="G48" s="66"/>
      <c r="H48" s="66"/>
      <c r="I48" s="66"/>
      <c r="J48" s="66"/>
      <c r="K48" s="66"/>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row>
    <row r="49" spans="1:78" s="56" customFormat="1" x14ac:dyDescent="0.2">
      <c r="A49" s="66"/>
      <c r="B49" s="66"/>
      <c r="C49" s="66"/>
      <c r="D49" s="66"/>
      <c r="E49" s="66"/>
      <c r="F49" s="66"/>
      <c r="G49" s="66"/>
      <c r="H49" s="66"/>
      <c r="I49" s="66"/>
      <c r="J49" s="66"/>
      <c r="K49" s="66"/>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row>
    <row r="50" spans="1:78" s="56" customFormat="1" x14ac:dyDescent="0.2">
      <c r="A50" s="66"/>
      <c r="B50" s="66"/>
      <c r="C50" s="66"/>
      <c r="D50" s="66"/>
      <c r="E50" s="66"/>
      <c r="F50" s="66"/>
      <c r="G50" s="66"/>
      <c r="H50" s="66"/>
      <c r="I50" s="66"/>
      <c r="J50" s="66"/>
      <c r="K50" s="66"/>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row>
    <row r="51" spans="1:78" s="56" customFormat="1" x14ac:dyDescent="0.2">
      <c r="A51" s="66"/>
      <c r="B51" s="66"/>
      <c r="C51" s="66"/>
      <c r="D51" s="66"/>
      <c r="E51" s="66"/>
      <c r="F51" s="66"/>
      <c r="G51" s="66"/>
      <c r="H51" s="66"/>
      <c r="I51" s="66"/>
      <c r="J51" s="66"/>
      <c r="K51" s="66"/>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c r="BR51" s="54"/>
      <c r="BS51" s="54"/>
      <c r="BT51" s="54"/>
      <c r="BU51" s="54"/>
      <c r="BV51" s="54"/>
      <c r="BW51" s="54"/>
      <c r="BX51" s="54"/>
      <c r="BY51" s="54"/>
      <c r="BZ51" s="54"/>
    </row>
    <row r="52" spans="1:78" s="56" customFormat="1" x14ac:dyDescent="0.2">
      <c r="A52" s="66"/>
      <c r="B52" s="66"/>
      <c r="C52" s="66"/>
      <c r="D52" s="66"/>
      <c r="E52" s="66"/>
      <c r="F52" s="66"/>
      <c r="G52" s="66"/>
      <c r="H52" s="66"/>
      <c r="I52" s="66"/>
      <c r="J52" s="66"/>
      <c r="K52" s="66"/>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row>
    <row r="53" spans="1:78" s="56" customFormat="1" x14ac:dyDescent="0.2">
      <c r="A53" s="66"/>
      <c r="B53" s="66"/>
      <c r="C53" s="66"/>
      <c r="D53" s="66"/>
      <c r="E53" s="66"/>
      <c r="F53" s="66"/>
      <c r="G53" s="66"/>
      <c r="H53" s="66"/>
      <c r="I53" s="66"/>
      <c r="J53" s="66"/>
      <c r="K53" s="66"/>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row>
    <row r="54" spans="1:78" s="56" customFormat="1" x14ac:dyDescent="0.2">
      <c r="A54" s="66"/>
      <c r="B54" s="66"/>
      <c r="C54" s="66"/>
      <c r="D54" s="66"/>
      <c r="E54" s="66"/>
      <c r="F54" s="66"/>
      <c r="G54" s="66"/>
      <c r="H54" s="66"/>
      <c r="I54" s="66"/>
      <c r="J54" s="66"/>
      <c r="K54" s="66"/>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row>
    <row r="55" spans="1:78" s="56" customFormat="1" x14ac:dyDescent="0.2">
      <c r="A55" s="66"/>
      <c r="B55" s="66"/>
      <c r="C55" s="66"/>
      <c r="D55" s="66"/>
      <c r="E55" s="66"/>
      <c r="F55" s="66"/>
      <c r="G55" s="66"/>
      <c r="H55" s="66"/>
      <c r="I55" s="66"/>
      <c r="J55" s="66"/>
      <c r="K55" s="66"/>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54"/>
    </row>
    <row r="56" spans="1:78" s="56" customFormat="1" x14ac:dyDescent="0.2">
      <c r="A56" s="66"/>
      <c r="B56" s="66"/>
      <c r="C56" s="66"/>
      <c r="D56" s="66"/>
      <c r="E56" s="66"/>
      <c r="F56" s="66"/>
      <c r="G56" s="66"/>
      <c r="H56" s="66"/>
      <c r="I56" s="66"/>
      <c r="J56" s="66"/>
      <c r="K56" s="66"/>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row>
    <row r="57" spans="1:78" s="56" customFormat="1" x14ac:dyDescent="0.2">
      <c r="A57" s="66"/>
      <c r="B57" s="66"/>
      <c r="C57" s="66"/>
      <c r="D57" s="66"/>
      <c r="E57" s="66"/>
      <c r="F57" s="66"/>
      <c r="G57" s="66"/>
      <c r="H57" s="66"/>
      <c r="I57" s="66"/>
      <c r="J57" s="66"/>
      <c r="K57" s="66"/>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row>
    <row r="58" spans="1:78" s="56" customFormat="1" x14ac:dyDescent="0.2">
      <c r="A58" s="66"/>
      <c r="B58" s="66"/>
      <c r="C58" s="66"/>
      <c r="D58" s="66"/>
      <c r="E58" s="66"/>
      <c r="F58" s="66"/>
      <c r="G58" s="66"/>
      <c r="H58" s="66"/>
      <c r="I58" s="66"/>
      <c r="J58" s="66"/>
      <c r="K58" s="66"/>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row>
    <row r="59" spans="1:78" s="56" customFormat="1" x14ac:dyDescent="0.2">
      <c r="A59" s="66"/>
      <c r="B59" s="66"/>
      <c r="C59" s="66"/>
      <c r="D59" s="66"/>
      <c r="E59" s="66"/>
      <c r="F59" s="66"/>
      <c r="G59" s="66"/>
      <c r="H59" s="66"/>
      <c r="I59" s="66"/>
      <c r="J59" s="66"/>
      <c r="K59" s="66"/>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row>
    <row r="60" spans="1:78" s="56" customFormat="1" x14ac:dyDescent="0.2">
      <c r="A60" s="66"/>
      <c r="B60" s="66"/>
      <c r="C60" s="66"/>
      <c r="D60" s="66"/>
      <c r="E60" s="66"/>
      <c r="F60" s="66"/>
      <c r="G60" s="66"/>
      <c r="H60" s="66"/>
      <c r="I60" s="66"/>
      <c r="J60" s="66"/>
      <c r="K60" s="66"/>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54"/>
    </row>
    <row r="61" spans="1:78" s="56" customFormat="1" x14ac:dyDescent="0.2">
      <c r="A61" s="66"/>
      <c r="B61" s="66"/>
      <c r="C61" s="66"/>
      <c r="D61" s="66"/>
      <c r="E61" s="66"/>
      <c r="F61" s="66"/>
      <c r="G61" s="66"/>
      <c r="H61" s="66"/>
      <c r="I61" s="66"/>
      <c r="J61" s="66"/>
      <c r="K61" s="66"/>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row>
    <row r="62" spans="1:78" s="56" customFormat="1" x14ac:dyDescent="0.2">
      <c r="A62" s="66"/>
      <c r="B62" s="66"/>
      <c r="C62" s="66"/>
      <c r="D62" s="66"/>
      <c r="E62" s="66"/>
      <c r="F62" s="66"/>
      <c r="G62" s="66"/>
      <c r="H62" s="66"/>
      <c r="I62" s="66"/>
      <c r="J62" s="66"/>
      <c r="K62" s="66"/>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row>
    <row r="63" spans="1:78" s="56" customFormat="1" x14ac:dyDescent="0.2">
      <c r="A63" s="66"/>
      <c r="B63" s="66"/>
      <c r="C63" s="66"/>
      <c r="D63" s="66"/>
      <c r="E63" s="66"/>
      <c r="F63" s="66"/>
      <c r="G63" s="66"/>
      <c r="H63" s="66"/>
      <c r="I63" s="66"/>
      <c r="J63" s="66"/>
      <c r="K63" s="66"/>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row>
    <row r="64" spans="1:78" s="56" customFormat="1" x14ac:dyDescent="0.2">
      <c r="A64" s="66"/>
      <c r="B64" s="66"/>
      <c r="C64" s="66"/>
      <c r="D64" s="66"/>
      <c r="E64" s="66"/>
      <c r="F64" s="66"/>
      <c r="G64" s="66"/>
      <c r="H64" s="66"/>
      <c r="I64" s="66"/>
      <c r="J64" s="66"/>
      <c r="K64" s="66"/>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row>
    <row r="65" spans="1:78" s="56" customFormat="1" x14ac:dyDescent="0.2">
      <c r="A65" s="66"/>
      <c r="B65" s="66"/>
      <c r="C65" s="66"/>
      <c r="D65" s="66"/>
      <c r="E65" s="66"/>
      <c r="F65" s="66"/>
      <c r="G65" s="66"/>
      <c r="H65" s="66"/>
      <c r="I65" s="66"/>
      <c r="J65" s="66"/>
      <c r="K65" s="66"/>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row>
    <row r="66" spans="1:78" s="56" customFormat="1" x14ac:dyDescent="0.2">
      <c r="A66" s="66"/>
      <c r="B66" s="66"/>
      <c r="C66" s="66"/>
      <c r="D66" s="66"/>
      <c r="E66" s="66"/>
      <c r="F66" s="66"/>
      <c r="G66" s="66"/>
      <c r="H66" s="66"/>
      <c r="I66" s="66"/>
      <c r="J66" s="66"/>
      <c r="K66" s="66"/>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54"/>
    </row>
    <row r="67" spans="1:78" s="56" customFormat="1" x14ac:dyDescent="0.2">
      <c r="A67" s="66"/>
      <c r="B67" s="66"/>
      <c r="C67" s="66"/>
      <c r="D67" s="66"/>
      <c r="E67" s="66"/>
      <c r="F67" s="66"/>
      <c r="G67" s="66"/>
      <c r="H67" s="66"/>
      <c r="I67" s="66"/>
      <c r="J67" s="66"/>
      <c r="K67" s="66"/>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54"/>
    </row>
    <row r="68" spans="1:78" s="56" customForma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54"/>
      <c r="BV68" s="54"/>
      <c r="BW68" s="54"/>
      <c r="BX68" s="54"/>
      <c r="BY68" s="54"/>
      <c r="BZ68" s="54"/>
    </row>
    <row r="69" spans="1:78" s="56" customFormat="1" x14ac:dyDescent="0.2">
      <c r="A69" s="66"/>
      <c r="B69" s="66"/>
      <c r="C69" s="66"/>
      <c r="D69" s="66"/>
      <c r="E69" s="66"/>
      <c r="F69" s="66"/>
      <c r="G69" s="66"/>
      <c r="H69" s="66"/>
      <c r="I69" s="66"/>
      <c r="J69" s="66"/>
      <c r="K69" s="66"/>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row>
    <row r="70" spans="1:78" s="56" customFormat="1" x14ac:dyDescent="0.2">
      <c r="A70" s="66"/>
      <c r="B70" s="66"/>
      <c r="C70" s="66"/>
      <c r="D70" s="66"/>
      <c r="E70" s="66"/>
      <c r="F70" s="66"/>
      <c r="G70" s="66"/>
      <c r="H70" s="66"/>
      <c r="I70" s="66"/>
      <c r="J70" s="66"/>
      <c r="K70" s="66"/>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54"/>
    </row>
    <row r="71" spans="1:78" s="56" customFormat="1" x14ac:dyDescent="0.2">
      <c r="A71" s="66"/>
      <c r="B71" s="66"/>
      <c r="C71" s="66"/>
      <c r="D71" s="66"/>
      <c r="E71" s="66"/>
      <c r="F71" s="66"/>
      <c r="G71" s="66"/>
      <c r="H71" s="66"/>
      <c r="I71" s="66"/>
      <c r="J71" s="66"/>
      <c r="K71" s="66"/>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54"/>
    </row>
    <row r="72" spans="1:78" s="56" customFormat="1" x14ac:dyDescent="0.2">
      <c r="A72" s="66"/>
      <c r="B72" s="66"/>
      <c r="C72" s="66"/>
      <c r="D72" s="66"/>
      <c r="E72" s="66"/>
      <c r="F72" s="66"/>
      <c r="G72" s="66"/>
      <c r="H72" s="66"/>
      <c r="I72" s="66"/>
      <c r="J72" s="66"/>
      <c r="K72" s="66"/>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54"/>
    </row>
    <row r="73" spans="1:78" s="56" customFormat="1" x14ac:dyDescent="0.2">
      <c r="A73" s="66"/>
      <c r="B73" s="66"/>
      <c r="C73" s="66"/>
      <c r="D73" s="66"/>
      <c r="E73" s="66"/>
      <c r="F73" s="66"/>
      <c r="G73" s="66"/>
      <c r="H73" s="66"/>
      <c r="I73" s="66"/>
      <c r="J73" s="66"/>
      <c r="K73" s="66"/>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54"/>
    </row>
    <row r="74" spans="1:78" s="56" customFormat="1" x14ac:dyDescent="0.2">
      <c r="A74" s="66"/>
      <c r="B74" s="66"/>
      <c r="C74" s="66"/>
      <c r="D74" s="66"/>
      <c r="E74" s="66"/>
      <c r="F74" s="66"/>
      <c r="G74" s="66"/>
      <c r="H74" s="66"/>
      <c r="I74" s="66"/>
      <c r="J74" s="66"/>
      <c r="K74" s="66"/>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row>
    <row r="75" spans="1:78" x14ac:dyDescent="0.2">
      <c r="A75" s="66"/>
      <c r="B75" s="66"/>
      <c r="C75" s="66"/>
      <c r="D75" s="66"/>
      <c r="E75" s="66"/>
      <c r="F75" s="66"/>
      <c r="G75" s="66"/>
      <c r="H75" s="66"/>
      <c r="I75" s="66"/>
      <c r="J75" s="66"/>
      <c r="K75" s="66"/>
    </row>
    <row r="76" spans="1:78" x14ac:dyDescent="0.2">
      <c r="A76" s="66"/>
      <c r="B76" s="66"/>
      <c r="C76" s="66"/>
      <c r="D76" s="66"/>
      <c r="E76" s="66"/>
      <c r="F76" s="66"/>
      <c r="G76" s="66"/>
      <c r="H76" s="66"/>
      <c r="I76" s="66"/>
      <c r="J76" s="66"/>
      <c r="K76" s="66"/>
    </row>
    <row r="77" spans="1:78" x14ac:dyDescent="0.2">
      <c r="A77" s="66"/>
      <c r="B77" s="66"/>
      <c r="C77" s="66"/>
      <c r="D77" s="66"/>
      <c r="E77" s="66"/>
      <c r="F77" s="66"/>
      <c r="G77" s="66"/>
      <c r="H77" s="66"/>
      <c r="I77" s="66"/>
      <c r="J77" s="66"/>
      <c r="K77" s="66"/>
    </row>
    <row r="78" spans="1:78" x14ac:dyDescent="0.2">
      <c r="A78" s="66"/>
      <c r="B78" s="66"/>
      <c r="C78" s="66"/>
      <c r="D78" s="66"/>
      <c r="E78" s="66"/>
      <c r="F78" s="66"/>
      <c r="G78" s="66"/>
      <c r="H78" s="66"/>
      <c r="I78" s="66"/>
      <c r="J78" s="66"/>
      <c r="K78" s="66"/>
    </row>
    <row r="79" spans="1:78" x14ac:dyDescent="0.2">
      <c r="A79" s="66"/>
      <c r="B79" s="66"/>
      <c r="C79" s="66"/>
      <c r="D79" s="66"/>
      <c r="E79" s="66"/>
      <c r="F79" s="66"/>
      <c r="G79" s="66"/>
      <c r="H79" s="66"/>
      <c r="I79" s="66"/>
      <c r="J79" s="66"/>
      <c r="K79" s="66"/>
    </row>
    <row r="80" spans="1:78" x14ac:dyDescent="0.2">
      <c r="A80" s="66"/>
      <c r="B80" s="66"/>
      <c r="C80" s="66"/>
      <c r="D80" s="66"/>
      <c r="E80" s="66"/>
      <c r="F80" s="66"/>
      <c r="G80" s="66"/>
      <c r="H80" s="66"/>
      <c r="I80" s="66"/>
      <c r="J80" s="66"/>
      <c r="K80" s="66"/>
    </row>
    <row r="81" spans="1:11" x14ac:dyDescent="0.2">
      <c r="A81" s="66"/>
      <c r="B81" s="66"/>
      <c r="C81" s="66"/>
      <c r="D81" s="66"/>
      <c r="E81" s="66"/>
      <c r="F81" s="66"/>
      <c r="G81" s="66"/>
      <c r="H81" s="66"/>
      <c r="I81" s="66"/>
      <c r="J81" s="66"/>
      <c r="K81" s="66"/>
    </row>
    <row r="82" spans="1:11" x14ac:dyDescent="0.2">
      <c r="A82" s="66"/>
      <c r="B82" s="66"/>
      <c r="C82" s="66"/>
      <c r="D82" s="66"/>
      <c r="E82" s="66"/>
      <c r="F82" s="66"/>
      <c r="G82" s="66"/>
      <c r="H82" s="66"/>
      <c r="I82" s="66"/>
      <c r="J82" s="66"/>
      <c r="K82" s="66"/>
    </row>
    <row r="83" spans="1:11" x14ac:dyDescent="0.2">
      <c r="A83" s="66"/>
      <c r="B83" s="66"/>
      <c r="C83" s="66"/>
      <c r="D83" s="66"/>
      <c r="E83" s="66"/>
      <c r="F83" s="66"/>
      <c r="G83" s="66"/>
      <c r="H83" s="66"/>
      <c r="I83" s="66"/>
      <c r="J83" s="66"/>
      <c r="K83" s="66"/>
    </row>
    <row r="84" spans="1:11" x14ac:dyDescent="0.2">
      <c r="A84" s="66"/>
      <c r="B84" s="66"/>
      <c r="C84" s="66"/>
      <c r="D84" s="66"/>
      <c r="E84" s="66"/>
      <c r="F84" s="66"/>
      <c r="G84" s="66"/>
      <c r="H84" s="66"/>
      <c r="I84" s="66"/>
      <c r="J84" s="66"/>
      <c r="K84" s="66"/>
    </row>
    <row r="85" spans="1:11" x14ac:dyDescent="0.2">
      <c r="A85" s="66"/>
      <c r="B85" s="66"/>
      <c r="C85" s="66"/>
      <c r="D85" s="66"/>
      <c r="E85" s="66"/>
      <c r="F85" s="66"/>
      <c r="G85" s="66"/>
      <c r="H85" s="66"/>
      <c r="I85" s="66"/>
      <c r="J85" s="66"/>
      <c r="K85" s="66"/>
    </row>
    <row r="86" spans="1:11" x14ac:dyDescent="0.2">
      <c r="A86" s="66"/>
      <c r="B86" s="66"/>
      <c r="C86" s="66"/>
      <c r="D86" s="66"/>
      <c r="E86" s="66"/>
      <c r="F86" s="66"/>
      <c r="G86" s="66"/>
      <c r="H86" s="66"/>
      <c r="I86" s="66"/>
      <c r="J86" s="66"/>
      <c r="K86" s="66"/>
    </row>
    <row r="87" spans="1:11" x14ac:dyDescent="0.2">
      <c r="A87" s="66"/>
      <c r="B87" s="66"/>
      <c r="C87" s="66"/>
      <c r="D87" s="66"/>
      <c r="E87" s="66"/>
      <c r="F87" s="66"/>
      <c r="G87" s="66"/>
      <c r="H87" s="66"/>
      <c r="I87" s="66"/>
      <c r="J87" s="66"/>
      <c r="K87" s="66"/>
    </row>
    <row r="88" spans="1:11" x14ac:dyDescent="0.2">
      <c r="A88" s="66"/>
      <c r="B88" s="66"/>
      <c r="C88" s="66"/>
      <c r="D88" s="66"/>
      <c r="E88" s="66"/>
      <c r="F88" s="66"/>
      <c r="G88" s="66"/>
      <c r="H88" s="66"/>
      <c r="I88" s="66"/>
      <c r="J88" s="66"/>
      <c r="K88" s="66"/>
    </row>
    <row r="89" spans="1:11" x14ac:dyDescent="0.2">
      <c r="A89" s="66"/>
      <c r="B89" s="66"/>
      <c r="C89" s="66"/>
      <c r="D89" s="66"/>
      <c r="E89" s="66"/>
      <c r="F89" s="66"/>
      <c r="G89" s="66"/>
      <c r="H89" s="66"/>
      <c r="I89" s="66"/>
      <c r="J89" s="66"/>
      <c r="K89" s="66"/>
    </row>
    <row r="90" spans="1:11" x14ac:dyDescent="0.2">
      <c r="A90" s="66"/>
      <c r="B90" s="66"/>
      <c r="C90" s="66"/>
      <c r="D90" s="66"/>
      <c r="E90" s="66"/>
      <c r="F90" s="66"/>
      <c r="G90" s="66"/>
      <c r="H90" s="66"/>
      <c r="I90" s="66"/>
      <c r="J90" s="66"/>
      <c r="K90" s="66"/>
    </row>
    <row r="91" spans="1:11" x14ac:dyDescent="0.2">
      <c r="A91" s="66"/>
      <c r="B91" s="66"/>
      <c r="C91" s="66"/>
      <c r="D91" s="66"/>
      <c r="E91" s="66"/>
      <c r="F91" s="66"/>
      <c r="G91" s="66"/>
      <c r="H91" s="66"/>
      <c r="I91" s="66"/>
      <c r="J91" s="66"/>
      <c r="K91" s="66"/>
    </row>
    <row r="92" spans="1:11" x14ac:dyDescent="0.2">
      <c r="A92" s="66"/>
      <c r="B92" s="66"/>
      <c r="C92" s="66"/>
      <c r="D92" s="66"/>
      <c r="E92" s="66"/>
      <c r="F92" s="66"/>
      <c r="G92" s="66"/>
      <c r="H92" s="66"/>
      <c r="I92" s="66"/>
      <c r="J92" s="66"/>
      <c r="K92" s="66"/>
    </row>
    <row r="93" spans="1:11" x14ac:dyDescent="0.2">
      <c r="A93" s="66"/>
      <c r="B93" s="66"/>
      <c r="C93" s="66"/>
      <c r="D93" s="66"/>
      <c r="E93" s="66"/>
      <c r="F93" s="66"/>
      <c r="G93" s="66"/>
      <c r="H93" s="66"/>
      <c r="I93" s="66"/>
      <c r="J93" s="66"/>
      <c r="K93" s="66"/>
    </row>
    <row r="94" spans="1:11" x14ac:dyDescent="0.2">
      <c r="A94" s="66"/>
      <c r="B94" s="66"/>
      <c r="C94" s="66"/>
      <c r="D94" s="66"/>
      <c r="E94" s="66"/>
      <c r="F94" s="66"/>
      <c r="G94" s="66"/>
      <c r="H94" s="66"/>
      <c r="I94" s="66"/>
      <c r="J94" s="66"/>
      <c r="K94" s="66"/>
    </row>
    <row r="95" spans="1:11" x14ac:dyDescent="0.2">
      <c r="A95" s="66"/>
      <c r="B95" s="66"/>
      <c r="C95" s="66"/>
      <c r="D95" s="66"/>
      <c r="E95" s="66"/>
      <c r="F95" s="66"/>
      <c r="G95" s="66"/>
      <c r="H95" s="66"/>
      <c r="I95" s="66"/>
      <c r="J95" s="66"/>
      <c r="K95" s="66"/>
    </row>
    <row r="96" spans="1:11" x14ac:dyDescent="0.2">
      <c r="A96" s="66"/>
      <c r="B96" s="66"/>
      <c r="C96" s="66"/>
      <c r="D96" s="66"/>
      <c r="E96" s="66"/>
      <c r="F96" s="66"/>
      <c r="G96" s="66"/>
      <c r="H96" s="66"/>
      <c r="I96" s="66"/>
      <c r="J96" s="66"/>
      <c r="K96" s="66"/>
    </row>
    <row r="97" spans="1:17" x14ac:dyDescent="0.2">
      <c r="A97" s="66"/>
      <c r="B97" s="66"/>
      <c r="C97" s="66"/>
      <c r="D97" s="66"/>
      <c r="E97" s="66"/>
      <c r="F97" s="66"/>
      <c r="G97" s="66"/>
      <c r="H97" s="66"/>
      <c r="I97" s="66"/>
      <c r="J97" s="66"/>
      <c r="K97" s="66"/>
    </row>
    <row r="98" spans="1:17" x14ac:dyDescent="0.2">
      <c r="A98" s="66"/>
      <c r="B98" s="66"/>
      <c r="C98" s="66"/>
      <c r="D98" s="66"/>
      <c r="E98" s="66"/>
      <c r="F98" s="66"/>
      <c r="G98" s="66"/>
      <c r="H98" s="66"/>
      <c r="I98" s="66"/>
      <c r="J98" s="66"/>
      <c r="K98" s="66"/>
    </row>
    <row r="99" spans="1:17" x14ac:dyDescent="0.2">
      <c r="A99" s="66"/>
      <c r="B99" s="66"/>
      <c r="C99" s="66"/>
      <c r="D99" s="66"/>
      <c r="E99" s="66"/>
      <c r="F99" s="66"/>
      <c r="G99" s="66"/>
      <c r="H99" s="66"/>
      <c r="I99" s="66"/>
      <c r="J99" s="66"/>
      <c r="K99" s="66"/>
    </row>
    <row r="100" spans="1:17" x14ac:dyDescent="0.2">
      <c r="A100" s="66"/>
      <c r="B100" s="66"/>
      <c r="C100" s="66"/>
      <c r="D100" s="66"/>
      <c r="E100" s="66"/>
      <c r="F100" s="66"/>
      <c r="G100" s="66"/>
      <c r="H100" s="66"/>
      <c r="I100" s="66"/>
      <c r="J100" s="66"/>
      <c r="K100" s="66"/>
    </row>
    <row r="101" spans="1:17" ht="15" x14ac:dyDescent="0.2">
      <c r="A101" s="69">
        <f ca="1">_LATESTvarPubDate</f>
        <v>45849.444976851853</v>
      </c>
      <c r="B101" s="70" t="str">
        <f>$A$1</f>
        <v>RANDOM LENGTHS PANEL REPORT</v>
      </c>
      <c r="C101" s="71"/>
      <c r="D101" s="71"/>
      <c r="E101" s="71"/>
      <c r="F101" s="71"/>
      <c r="G101" s="71"/>
      <c r="H101" s="72" t="s">
        <v>7</v>
      </c>
      <c r="I101" s="71"/>
      <c r="J101" s="71"/>
      <c r="K101" s="71"/>
      <c r="L101" s="71"/>
      <c r="M101" s="56"/>
      <c r="N101" s="56"/>
      <c r="O101" s="56"/>
      <c r="P101" s="56"/>
    </row>
    <row r="105" spans="1:17" x14ac:dyDescent="0.2">
      <c r="A105" s="73" t="s">
        <v>8</v>
      </c>
      <c r="B105" s="56"/>
      <c r="C105" s="56"/>
      <c r="D105" s="56"/>
      <c r="E105" s="56"/>
      <c r="F105" s="56"/>
      <c r="G105" s="56"/>
      <c r="H105" s="56"/>
      <c r="K105" s="74" t="s">
        <v>9</v>
      </c>
      <c r="L105" s="56"/>
      <c r="M105" s="56"/>
      <c r="N105" s="75"/>
      <c r="Q105" s="56"/>
    </row>
    <row r="106" spans="1:17" x14ac:dyDescent="0.2">
      <c r="A106" s="76" t="s">
        <v>10</v>
      </c>
      <c r="K106" s="76" t="s">
        <v>11</v>
      </c>
      <c r="L106" s="77"/>
      <c r="M106" s="56"/>
      <c r="N106" s="78"/>
      <c r="O106" s="78"/>
      <c r="Q106" s="78"/>
    </row>
    <row r="107" spans="1:17" x14ac:dyDescent="0.2">
      <c r="B107" s="79" t="s">
        <v>12</v>
      </c>
      <c r="C107" s="79" t="s">
        <v>13</v>
      </c>
      <c r="D107" s="79" t="s">
        <v>14</v>
      </c>
      <c r="E107" s="79" t="s">
        <v>15</v>
      </c>
      <c r="F107" s="79" t="s">
        <v>15</v>
      </c>
      <c r="G107" s="80" t="s">
        <v>16</v>
      </c>
      <c r="H107" s="81"/>
      <c r="K107" s="56"/>
      <c r="L107" s="79"/>
      <c r="M107" s="82"/>
      <c r="N107" s="79" t="s">
        <v>17</v>
      </c>
      <c r="O107" s="79" t="s">
        <v>18</v>
      </c>
      <c r="P107" s="79" t="s">
        <v>19</v>
      </c>
    </row>
    <row r="108" spans="1:17" x14ac:dyDescent="0.2">
      <c r="A108" s="56"/>
      <c r="B108" s="79" t="s">
        <v>20</v>
      </c>
      <c r="C108" s="79" t="s">
        <v>21</v>
      </c>
      <c r="D108" s="79" t="s">
        <v>21</v>
      </c>
      <c r="E108" s="79" t="s">
        <v>22</v>
      </c>
      <c r="F108" s="79" t="s">
        <v>23</v>
      </c>
      <c r="G108" s="79" t="s">
        <v>24</v>
      </c>
      <c r="K108" s="56"/>
      <c r="L108" s="79" t="s">
        <v>25</v>
      </c>
      <c r="M108" s="82"/>
      <c r="N108" s="79" t="s">
        <v>26</v>
      </c>
      <c r="O108" s="79" t="s">
        <v>27</v>
      </c>
      <c r="P108" s="79" t="s">
        <v>28</v>
      </c>
    </row>
    <row r="109" spans="1:17" x14ac:dyDescent="0.2">
      <c r="A109" s="79" t="s">
        <v>29</v>
      </c>
      <c r="B109" s="83" cm="1">
        <f t="array" aca="1" ref="B109" ca="1">_xll.GetPrice("FP-PNL-0027","Actual","Low",_LATESTvarPubDate)</f>
        <v>230</v>
      </c>
      <c r="C109" s="83">
        <f t="array" aca="1" ref="C109" ca="1">_xll.GetPrice("FP-PNL-0033","Actual","Low",_LATESTvarPubDate)</f>
        <v>190</v>
      </c>
      <c r="D109" s="83">
        <f t="array" aca="1" ref="D109" ca="1">_xll.GetPrice("FP-PNL-0039","Actual","Low",_LATESTvarPubDate)</f>
        <v>200</v>
      </c>
      <c r="E109" s="83">
        <f t="array" aca="1" ref="E109" ca="1">_xll.GetPrice("FP-PNL-0109","Actual","Low",_LATESTvarPubDate)</f>
        <v>200</v>
      </c>
      <c r="F109" s="83">
        <f t="array" aca="1" ref="F109" ca="1">_xll.GetPrice("FP-PNL-0115","Actual","Low",_LATESTvarPubDate)</f>
        <v>215</v>
      </c>
      <c r="G109" s="83">
        <f t="array" aca="1" ref="G109" ca="1">_xll.GetPrice("FP-PNL-0121","Actual","Low",_LATESTvarPubDate)</f>
        <v>220</v>
      </c>
      <c r="I109" s="65"/>
      <c r="K109" s="79" t="s">
        <v>29</v>
      </c>
      <c r="L109" s="83">
        <f t="array" aca="1" ref="L109" ca="1">_xll.GetPrice("FP-PNL-0219","Actual","Low",_LATESTvarPubDate)</f>
        <v>405</v>
      </c>
      <c r="M109" s="56"/>
      <c r="N109" s="83">
        <f t="array" aca="1" ref="N109" ca="1">_xll.GetPrice("FP-PNL-0227","Actual","Low",_LATESTvarPubDate)</f>
        <v>455</v>
      </c>
      <c r="O109" s="83">
        <f t="array" aca="1" ref="O109" ca="1">_xll.GetPrice("FP-PNL-0235","Actual","Low",_LATESTvarPubDate)</f>
        <v>1210</v>
      </c>
      <c r="P109" s="83">
        <f t="array" aca="1" ref="P109" ca="1">_xll.GetPrice("FP-PNL-0239","Actual","Low",_LATESTvarPubDate)</f>
        <v>295</v>
      </c>
    </row>
    <row r="110" spans="1:17" x14ac:dyDescent="0.2">
      <c r="A110" s="79" t="s">
        <v>30</v>
      </c>
      <c r="B110" s="83">
        <f t="array" aca="1" ref="B110" ca="1">_xll.GetPrice("FP-PNL-0028","Actual","Low",_LATESTvarPubDate)</f>
        <v>235</v>
      </c>
      <c r="C110" s="83">
        <f t="array" aca="1" ref="C110" ca="1">_xll.GetPrice("FP-PNL-0034","Actual","Low",_LATESTvarPubDate)</f>
        <v>190</v>
      </c>
      <c r="D110" s="83">
        <f t="array" aca="1" ref="D110" ca="1">_xll.GetPrice("FP-PNL-0040","Actual","Low",_LATESTvarPubDate)</f>
        <v>205</v>
      </c>
      <c r="E110" s="83">
        <f t="array" aca="1" ref="E110" ca="1">_xll.GetPrice("FP-PNL-0110","Actual","Low",_LATESTvarPubDate)</f>
        <v>200</v>
      </c>
      <c r="F110" s="83">
        <f t="array" aca="1" ref="F110" ca="1">_xll.GetPrice("FP-PNL-0116","Actual","Low",_LATESTvarPubDate)</f>
        <v>215</v>
      </c>
      <c r="G110" s="83">
        <f t="array" aca="1" ref="G110" ca="1">_xll.GetPrice("FP-PNL-0122","Actual","Low",_LATESTvarPubDate)</f>
        <v>225</v>
      </c>
      <c r="K110" s="79" t="s">
        <v>31</v>
      </c>
      <c r="L110" s="83">
        <f t="array" aca="1" ref="L110" ca="1">_xll.GetPrice("FP-PNL-0220","Actual","Low",_LATESTvarPubDate)</f>
        <v>465</v>
      </c>
      <c r="M110" s="56"/>
      <c r="N110" s="84" t="s">
        <v>32</v>
      </c>
      <c r="O110" s="85" t="s">
        <v>32</v>
      </c>
      <c r="P110" s="85" t="s">
        <v>32</v>
      </c>
    </row>
    <row r="111" spans="1:17" x14ac:dyDescent="0.2">
      <c r="A111" s="79" t="s">
        <v>33</v>
      </c>
      <c r="B111" s="83">
        <f t="array" aca="1" ref="B111" ca="1">_xll.GetPrice("FP-PNL-0029","Actual","Low",_LATESTvarPubDate)</f>
        <v>250</v>
      </c>
      <c r="C111" s="83">
        <f t="array" aca="1" ref="C111" ca="1">_xll.GetPrice("FP-PNL-0035","Actual","Low",_LATESTvarPubDate)</f>
        <v>210</v>
      </c>
      <c r="D111" s="83">
        <f t="array" aca="1" ref="D111" ca="1">_xll.GetPrice("FP-PNL-0041","Actual","Low",_LATESTvarPubDate)</f>
        <v>225</v>
      </c>
      <c r="E111" s="83">
        <f t="array" aca="1" ref="E111" ca="1">_xll.GetPrice("FP-PNL-0111","Actual","Low",_LATESTvarPubDate)</f>
        <v>220</v>
      </c>
      <c r="F111" s="83">
        <f t="array" aca="1" ref="F111" ca="1">_xll.GetPrice("FP-PNL-0117","Actual","Low",_LATESTvarPubDate)</f>
        <v>235</v>
      </c>
      <c r="G111" s="83">
        <f t="array" aca="1" ref="G111" ca="1">_xll.GetPrice("FP-PNL-0123","Actual","Low",_LATESTvarPubDate)</f>
        <v>245</v>
      </c>
      <c r="K111" s="79" t="s">
        <v>34</v>
      </c>
      <c r="L111" s="83">
        <f t="array" aca="1" ref="L111" ca="1">_xll.GetPrice("FP-PNL-0221","Actual","Low",_LATESTvarPubDate)</f>
        <v>475</v>
      </c>
      <c r="M111" s="83">
        <f t="array" aca="1" ref="M111" ca="1">_xll.GetPrice("FP-PNL-0222","Actual","Low",_LATESTvarPubDate)</f>
        <v>570</v>
      </c>
      <c r="N111" s="83">
        <f t="array" aca="1" ref="N111" ca="1">_xll.GetPrice("FP-PNL-0228","Actual","Low",_LATESTvarPubDate)</f>
        <v>600</v>
      </c>
      <c r="O111" s="83">
        <f t="array" aca="1" ref="O111" ca="1">_xll.GetPrice("FP-PNL-0236","Actual","Low",_LATESTvarPubDate)</f>
        <v>1545</v>
      </c>
      <c r="P111" s="83">
        <f t="array" aca="1" ref="P111" ca="1">_xll.GetPrice("FP-PNL-0240","Actual","Low",_LATESTvarPubDate)</f>
        <v>300</v>
      </c>
    </row>
    <row r="112" spans="1:17" x14ac:dyDescent="0.2">
      <c r="A112" s="79" t="s">
        <v>35</v>
      </c>
      <c r="B112" s="83">
        <f t="array" aca="1" ref="B112" ca="1">_xll.GetPrice("FP-PNL-0030","Actual","Low",_LATESTvarPubDate)</f>
        <v>260</v>
      </c>
      <c r="C112" s="83">
        <f t="array" aca="1" ref="C112" ca="1">_xll.GetPrice("FP-PNL-0036","Actual","Low",_LATESTvarPubDate)</f>
        <v>235</v>
      </c>
      <c r="D112" s="83">
        <f t="array" aca="1" ref="D112" ca="1">_xll.GetPrice("FP-PNL-0042","Actual","Low",_LATESTvarPubDate)</f>
        <v>235</v>
      </c>
      <c r="E112" s="83">
        <f t="array" aca="1" ref="E112" ca="1">_xll.GetPrice("FP-PNL-0112","Actual","Low",_LATESTvarPubDate)</f>
        <v>240</v>
      </c>
      <c r="F112" s="83">
        <f t="array" aca="1" ref="F112" ca="1">_xll.GetPrice("FP-PNL-0118","Actual","Low",_LATESTvarPubDate)</f>
        <v>255</v>
      </c>
      <c r="G112" s="83">
        <f t="array" aca="1" ref="G112" ca="1">_xll.GetPrice("FP-PNL-0124","Actual","Low",_LATESTvarPubDate)</f>
        <v>265</v>
      </c>
      <c r="K112" s="79" t="s">
        <v>36</v>
      </c>
      <c r="L112" s="83">
        <f t="array" aca="1" ref="L112" ca="1">_xll.GetPrice("FP-PNL-0223","Actual","Low",_LATESTvarPubDate)</f>
        <v>610</v>
      </c>
      <c r="M112" s="83">
        <f t="array" aca="1" ref="M112" ca="1">_xll.GetPrice("FP-PNL-0224","Actual","Low",_LATESTvarPubDate)</f>
        <v>630</v>
      </c>
      <c r="N112" s="83">
        <f t="array" aca="1" ref="N112" ca="1">_xll.GetPrice("FP-PNL-0229","Actual","Low",_LATESTvarPubDate)</f>
        <v>670</v>
      </c>
      <c r="O112" s="83">
        <f t="array" aca="1" ref="O112" ca="1">_xll.GetPrice("FP-PNL-0237","Actual","Low",_LATESTvarPubDate)</f>
        <v>1695</v>
      </c>
      <c r="P112" s="83">
        <f t="array" aca="1" ref="P112" ca="1">_xll.GetPrice("FP-PNL-0241","Actual","Low",_LATESTvarPubDate)</f>
        <v>380</v>
      </c>
    </row>
    <row r="113" spans="1:26" x14ac:dyDescent="0.2">
      <c r="A113" s="79" t="s">
        <v>37</v>
      </c>
      <c r="B113" s="83">
        <f t="array" aca="1" ref="B113" ca="1">_xll.GetPrice("FP-PNL-0031","Actual","Low",_LATESTvarPubDate)</f>
        <v>350</v>
      </c>
      <c r="C113" s="83">
        <f t="array" aca="1" ref="C113" ca="1">_xll.GetPrice("FP-PNL-0037","Actual","Low",_LATESTvarPubDate)</f>
        <v>300</v>
      </c>
      <c r="D113" s="83">
        <f t="array" aca="1" ref="D113" ca="1">_xll.GetPrice("FP-PNL-0043","Actual","Low",_LATESTvarPubDate)</f>
        <v>315</v>
      </c>
      <c r="E113" s="83">
        <f t="array" aca="1" ref="E113" ca="1">_xll.GetPrice("FP-PNL-0113","Actual","Low",_LATESTvarPubDate)</f>
        <v>325</v>
      </c>
      <c r="F113" s="83">
        <f t="array" aca="1" ref="F113" ca="1">_xll.GetPrice("FP-PNL-0119","Actual","Low",_LATESTvarPubDate)</f>
        <v>340</v>
      </c>
      <c r="G113" s="83">
        <f t="array" aca="1" ref="G113" ca="1">_xll.GetPrice("FP-PNL-0125","Actual","Low",_LATESTvarPubDate)</f>
        <v>345</v>
      </c>
      <c r="K113" s="79" t="s">
        <v>38</v>
      </c>
      <c r="L113" s="83">
        <f t="array" aca="1" ref="L113" ca="1">_xll.GetPrice("FP-PNL-0225","Actual","Low",_LATESTvarPubDate)</f>
        <v>770</v>
      </c>
      <c r="M113" s="83">
        <f t="array" aca="1" ref="M113" ca="1">_xll.GetPrice("FP-PNL-0226","Actual","Low",_LATESTvarPubDate)</f>
        <v>765</v>
      </c>
      <c r="N113" s="83">
        <f t="array" aca="1" ref="N113" ca="1">_xll.GetPrice("FP-PNL-0230","Actual","Low",_LATESTvarPubDate)</f>
        <v>810</v>
      </c>
      <c r="O113" s="83">
        <f t="array" aca="1" ref="O113" ca="1">_xll.GetPrice("FP-PNL-0238","Actual","Low",_LATESTvarPubDate)</f>
        <v>1785</v>
      </c>
      <c r="P113" s="83">
        <f t="array" aca="1" ref="P113" ca="1">_xll.GetPrice("FP-PNL-0242","Actual","Low",_LATESTvarPubDate)</f>
        <v>500</v>
      </c>
    </row>
    <row r="114" spans="1:26" x14ac:dyDescent="0.2">
      <c r="A114" s="79" t="s">
        <v>39</v>
      </c>
      <c r="B114" s="83">
        <f t="array" aca="1" ref="B114" ca="1">_xll.GetPrice("FP-PNL-0032","Actual","Low",_LATESTvarPubDate)</f>
        <v>415</v>
      </c>
      <c r="C114" s="83">
        <f t="array" aca="1" ref="C114" ca="1">_xll.GetPrice("FP-PNL-0038","Actual","Low",_LATESTvarPubDate)</f>
        <v>385</v>
      </c>
      <c r="D114" s="83">
        <f t="array" aca="1" ref="D114" ca="1">_xll.GetPrice("FP-PNL-0044","Actual","Low",_LATESTvarPubDate)</f>
        <v>400</v>
      </c>
      <c r="E114" s="83">
        <f t="array" aca="1" ref="E114" ca="1">_xll.GetPrice("FP-PNL-0114","Actual","Low",_LATESTvarPubDate)</f>
        <v>365</v>
      </c>
      <c r="F114" s="83">
        <f t="array" aca="1" ref="F114" ca="1">_xll.GetPrice("FP-PNL-0120","Actual","Low",_LATESTvarPubDate)</f>
        <v>385</v>
      </c>
      <c r="G114" s="83">
        <f t="array" aca="1" ref="G114" ca="1">_xll.GetPrice("FP-PNL-0126","Actual","Low",_LATESTvarPubDate)</f>
        <v>395</v>
      </c>
      <c r="I114" s="56"/>
      <c r="J114" s="56"/>
      <c r="K114" s="86" t="s">
        <v>40</v>
      </c>
      <c r="M114" s="83">
        <f t="array" aca="1" ref="M114" ca="1">_xll.GetPrice("FP-PNL-0286","Actual","Low",_LATESTvarPubDate)</f>
        <v>25</v>
      </c>
    </row>
    <row r="115" spans="1:26" x14ac:dyDescent="0.2">
      <c r="I115" s="56"/>
      <c r="J115" s="56"/>
    </row>
    <row r="116" spans="1:26" x14ac:dyDescent="0.2">
      <c r="A116" s="56"/>
      <c r="B116" s="56"/>
      <c r="C116" s="56"/>
      <c r="D116" s="56"/>
      <c r="E116" s="56"/>
      <c r="F116" s="56"/>
      <c r="G116" s="56"/>
      <c r="H116" s="56"/>
    </row>
    <row r="117" spans="1:26" x14ac:dyDescent="0.2">
      <c r="A117" s="76" t="s">
        <v>41</v>
      </c>
      <c r="B117" s="87"/>
      <c r="C117" s="56"/>
      <c r="D117" s="56"/>
      <c r="E117" s="56"/>
      <c r="F117" s="56"/>
      <c r="G117" s="56"/>
      <c r="H117" s="56"/>
      <c r="K117" s="88" t="s">
        <v>42</v>
      </c>
      <c r="L117" s="56"/>
      <c r="M117" s="56"/>
      <c r="N117" s="56"/>
      <c r="O117" s="56"/>
    </row>
    <row r="118" spans="1:26" x14ac:dyDescent="0.2">
      <c r="A118" s="89"/>
      <c r="B118" s="79" t="s">
        <v>29</v>
      </c>
      <c r="C118" s="79" t="s">
        <v>30</v>
      </c>
      <c r="D118" s="79" t="s">
        <v>33</v>
      </c>
      <c r="E118" s="79" t="s">
        <v>37</v>
      </c>
      <c r="F118" s="79" t="s">
        <v>39</v>
      </c>
      <c r="G118" s="56"/>
      <c r="H118" s="56"/>
      <c r="K118" s="56"/>
      <c r="L118" s="79" t="s">
        <v>43</v>
      </c>
      <c r="M118" s="79" t="s">
        <v>44</v>
      </c>
      <c r="N118" s="79" t="s">
        <v>45</v>
      </c>
      <c r="O118" s="79" t="s">
        <v>46</v>
      </c>
    </row>
    <row r="119" spans="1:26" x14ac:dyDescent="0.2">
      <c r="A119" s="90" t="s">
        <v>47</v>
      </c>
      <c r="B119" s="83">
        <f t="array" aca="1" ref="B119" ca="1">_xll.GetPrice("FP-PNL-0045","Actual","Low",_LATESTvarPubDate)</f>
        <v>265</v>
      </c>
      <c r="C119" s="83">
        <f t="array" aca="1" ref="C119" ca="1">_xll.GetPrice("FP-PNL-0046","Actual","Low",_LATESTvarPubDate)</f>
        <v>265</v>
      </c>
      <c r="D119" s="83">
        <f t="array" aca="1" ref="D119" ca="1">_xll.GetPrice("FP-PNL-0047","Actual","Low",_LATESTvarPubDate)</f>
        <v>285</v>
      </c>
      <c r="E119" s="83">
        <f t="array" aca="1" ref="E119" ca="1">_xll.GetPrice("FP-PNL-0048","Actual","Low",_LATESTvarPubDate)</f>
        <v>380</v>
      </c>
      <c r="F119" s="83">
        <f t="array" aca="1" ref="F119" ca="1">_xll.GetPrice("FP-PNL-0049","Actual","Low",_LATESTvarPubDate)</f>
        <v>480</v>
      </c>
      <c r="G119" s="56"/>
      <c r="H119" s="56"/>
      <c r="K119" s="79" t="s">
        <v>48</v>
      </c>
      <c r="L119" s="83">
        <f t="array" aca="1" ref="L119" ca="1">_xll.GetPrice("FP-PNL-0243","Actual","Low",_LATESTvarPubDate)</f>
        <v>1030</v>
      </c>
      <c r="M119" s="83">
        <f t="array" aca="1" ref="M119" ca="1">_xll.GetPrice("FP-PNL-0248","Actual","Low",_LATESTvarPubDate)</f>
        <v>970</v>
      </c>
      <c r="N119" s="83">
        <f t="array" aca="1" ref="N119" ca="1">_xll.GetPrice("FP-PNL-0253","Actual","Low",_LATESTvarPubDate)</f>
        <v>1150</v>
      </c>
      <c r="O119" s="83">
        <f t="array" aca="1" ref="O119" ca="1">_xll.GetPrice("FP-PNL-0258","Actual","Low",_LATESTvarPubDate)</f>
        <v>1185</v>
      </c>
      <c r="Z119" s="56"/>
    </row>
    <row r="120" spans="1:26" x14ac:dyDescent="0.2">
      <c r="A120" s="90" t="s">
        <v>49</v>
      </c>
      <c r="B120" s="83">
        <f t="array" aca="1" ref="B120" ca="1">_xll.GetPrice("FP-PNL-0050","Actual","Low",_LATESTvarPubDate)</f>
        <v>267</v>
      </c>
      <c r="C120" s="83">
        <f t="array" aca="1" ref="C120" ca="1">_xll.GetPrice("FP-PNL-0051","Actual","Low",_LATESTvarPubDate)</f>
        <v>267</v>
      </c>
      <c r="D120" s="83">
        <f t="array" aca="1" ref="D120" ca="1">_xll.GetPrice("FP-PNL-0052","Actual","Low",_LATESTvarPubDate)</f>
        <v>287</v>
      </c>
      <c r="E120" s="83">
        <f t="array" aca="1" ref="E120" ca="1">_xll.GetPrice("FP-PNL-0053","Actual","Low",_LATESTvarPubDate)</f>
        <v>385</v>
      </c>
      <c r="F120" s="83">
        <f t="array" aca="1" ref="F120" ca="1">_xll.GetPrice("FP-PNL-0054","Actual","Low",_LATESTvarPubDate)</f>
        <v>485</v>
      </c>
      <c r="G120" s="56"/>
      <c r="H120" s="56"/>
      <c r="K120" s="79" t="s">
        <v>50</v>
      </c>
      <c r="L120" s="83">
        <f t="array" aca="1" ref="L120" ca="1">_xll.GetPrice("FP-PNL-0244","Actual","Low",_LATESTvarPubDate)</f>
        <v>1055</v>
      </c>
      <c r="M120" s="83">
        <f t="array" aca="1" ref="M120" ca="1">_xll.GetPrice("FP-PNL-0249","Actual","Low",_LATESTvarPubDate)</f>
        <v>995</v>
      </c>
      <c r="N120" s="83">
        <f t="array" aca="1" ref="N120" ca="1">_xll.GetPrice("FP-PNL-0254","Actual","Low",_LATESTvarPubDate)</f>
        <v>1195</v>
      </c>
      <c r="O120" s="83">
        <f t="array" aca="1" ref="O120" ca="1">_xll.GetPrice("FP-PNL-0259","Actual","Low",_LATESTvarPubDate)</f>
        <v>1230</v>
      </c>
    </row>
    <row r="121" spans="1:26" x14ac:dyDescent="0.2">
      <c r="A121" s="90" t="s">
        <v>51</v>
      </c>
      <c r="B121" s="83">
        <f t="array" aca="1" ref="B121" ca="1">_xll.GetPrice("FP-PNL-0137","Actual","Low",_LATESTvarPubDate)</f>
        <v>290</v>
      </c>
      <c r="C121" s="83">
        <f t="array" aca="1" ref="C121" ca="1">_xll.GetPrice("FP-PNL-0138","Actual","Low",_LATESTvarPubDate)</f>
        <v>290</v>
      </c>
      <c r="D121" s="83">
        <f t="array" aca="1" ref="D121" ca="1">_xll.GetPrice("FP-PNL-0139","Actual","Low",_LATESTvarPubDate)</f>
        <v>315</v>
      </c>
      <c r="E121" s="83">
        <f t="array" aca="1" ref="E121" ca="1">_xll.GetPrice("FP-PNL-0140","Actual","Low",_LATESTvarPubDate)</f>
        <v>415</v>
      </c>
      <c r="F121" s="83">
        <f t="array" aca="1" ref="F121" ca="1">_xll.GetPrice("FP-PNL-0141","Actual","Low",_LATESTvarPubDate)</f>
        <v>460</v>
      </c>
      <c r="G121" s="56"/>
      <c r="H121" s="56"/>
      <c r="K121" s="79" t="s">
        <v>33</v>
      </c>
      <c r="L121" s="83">
        <f t="array" aca="1" ref="L121" ca="1">_xll.GetPrice("FP-PNL-0245","Actual","Low",_LATESTvarPubDate)</f>
        <v>1540</v>
      </c>
      <c r="M121" s="83">
        <f t="array" aca="1" ref="M121" ca="1">_xll.GetPrice("FP-PNL-0250","Actual","Low",_LATESTvarPubDate)</f>
        <v>1470</v>
      </c>
      <c r="N121" s="83">
        <f t="array" aca="1" ref="N121" ca="1">_xll.GetPrice("FP-PNL-0255","Actual","Low",_LATESTvarPubDate)</f>
        <v>1710</v>
      </c>
      <c r="O121" s="83">
        <f t="array" aca="1" ref="O121" ca="1">_xll.GetPrice("FP-PNL-0260","Actual","Low",_LATESTvarPubDate)</f>
        <v>1730</v>
      </c>
    </row>
    <row r="122" spans="1:26" x14ac:dyDescent="0.2">
      <c r="A122" s="90" t="s">
        <v>52</v>
      </c>
      <c r="B122" s="83">
        <f t="array" aca="1" ref="B122" ca="1">_xll.GetPrice("FP-PNL-0127","Actual","Low",_LATESTvarPubDate)</f>
        <v>255</v>
      </c>
      <c r="C122" s="83">
        <f t="array" aca="1" ref="C122" ca="1">_xll.GetPrice("FP-PNL-0128","Actual","Low",_LATESTvarPubDate)</f>
        <v>255</v>
      </c>
      <c r="D122" s="83">
        <f t="array" aca="1" ref="D122" ca="1">_xll.GetPrice("FP-PNL-0129","Actual","Low",_LATESTvarPubDate)</f>
        <v>275</v>
      </c>
      <c r="E122" s="83">
        <f t="array" aca="1" ref="E122" ca="1">_xll.GetPrice("FP-PNL-0130","Actual","Low",_LATESTvarPubDate)</f>
        <v>390</v>
      </c>
      <c r="F122" s="83">
        <f t="array" aca="1" ref="F122" ca="1">_xll.GetPrice("FP-PNL-0131","Actual","Low",_LATESTvarPubDate)</f>
        <v>435</v>
      </c>
      <c r="G122" s="56"/>
      <c r="H122" s="56"/>
      <c r="K122" s="79" t="s">
        <v>53</v>
      </c>
      <c r="L122" s="83">
        <f t="array" aca="1" ref="L122" ca="1">_xll.GetPrice("FP-PNL-0246","Actual","Low",_LATESTvarPubDate)</f>
        <v>1730</v>
      </c>
      <c r="M122" s="83">
        <f t="array" aca="1" ref="M122" ca="1">_xll.GetPrice("FP-PNL-0251","Actual","Low",_LATESTvarPubDate)</f>
        <v>1620</v>
      </c>
      <c r="N122" s="83">
        <f t="array" aca="1" ref="N122" ca="1">_xll.GetPrice("FP-PNL-0256","Actual","Low",_LATESTvarPubDate)</f>
        <v>1910</v>
      </c>
      <c r="O122" s="83">
        <f t="array" aca="1" ref="O122" ca="1">_xll.GetPrice("FP-PNL-0261","Actual","Low",_LATESTvarPubDate)</f>
        <v>1935</v>
      </c>
    </row>
    <row r="123" spans="1:26" x14ac:dyDescent="0.2">
      <c r="A123" s="90" t="s">
        <v>54</v>
      </c>
      <c r="B123" s="83">
        <f t="array" aca="1" ref="B123" ca="1">_xll.GetPrice("FP-PNL-0142","Actual","Low",_LATESTvarPubDate)</f>
        <v>290</v>
      </c>
      <c r="C123" s="83">
        <f t="array" aca="1" ref="C123" ca="1">_xll.GetPrice("FP-PNL-0143","Actual","Low",_LATESTvarPubDate)</f>
        <v>290</v>
      </c>
      <c r="D123" s="83">
        <f t="array" aca="1" ref="D123" ca="1">_xll.GetPrice("FP-PNL-0144","Actual","Low",_LATESTvarPubDate)</f>
        <v>310</v>
      </c>
      <c r="E123" s="83">
        <f t="array" aca="1" ref="E123" ca="1">_xll.GetPrice("FP-PNL-0145","Actual","Low",_LATESTvarPubDate)</f>
        <v>435</v>
      </c>
      <c r="F123" s="83">
        <f t="array" aca="1" ref="F123" ca="1">_xll.GetPrice("FP-PNL-0146","Actual","Low",_LATESTvarPubDate)</f>
        <v>490</v>
      </c>
      <c r="G123" s="56"/>
      <c r="H123" s="56"/>
      <c r="K123" s="79" t="s">
        <v>55</v>
      </c>
      <c r="L123" s="83">
        <f t="array" aca="1" ref="L123" ca="1">_xll.GetPrice("FP-PNL-0247","Actual","Low",_LATESTvarPubDate)</f>
        <v>1890</v>
      </c>
      <c r="M123" s="83">
        <f t="array" aca="1" ref="M123" ca="1">_xll.GetPrice("FP-PNL-0252","Actual","Low",_LATESTvarPubDate)</f>
        <v>1810</v>
      </c>
      <c r="N123" s="83">
        <f t="array" aca="1" ref="N123" ca="1">_xll.GetPrice("FP-PNL-0257","Actual","Low",_LATESTvarPubDate)</f>
        <v>2145</v>
      </c>
      <c r="O123" s="83">
        <f t="array" aca="1" ref="O123" ca="1">_xll.GetPrice("FP-PNL-0262","Actual","Low",_LATESTvarPubDate)</f>
        <v>2165</v>
      </c>
    </row>
    <row r="124" spans="1:26" x14ac:dyDescent="0.2">
      <c r="A124" s="90" t="s">
        <v>56</v>
      </c>
      <c r="B124" s="83">
        <f t="array" aca="1" ref="B124" ca="1">_xll.GetPrice("FP-PNL-0147","Actual","Low",_LATESTvarPubDate)</f>
        <v>290</v>
      </c>
      <c r="C124" s="83">
        <f t="array" aca="1" ref="C124" ca="1">_xll.GetPrice("FP-PNL-0148","Actual","Low",_LATESTvarPubDate)</f>
        <v>290</v>
      </c>
      <c r="D124" s="83">
        <f t="array" aca="1" ref="D124" ca="1">_xll.GetPrice("FP-PNL-0149","Actual","Low",_LATESTvarPubDate)</f>
        <v>310</v>
      </c>
      <c r="E124" s="83">
        <f t="array" aca="1" ref="E124" ca="1">_xll.GetPrice("FP-PNL-0150","Actual","Low",_LATESTvarPubDate)</f>
        <v>435</v>
      </c>
      <c r="F124" s="83">
        <f t="array" aca="1" ref="F124" ca="1">_xll.GetPrice("FP-PNL-0151","Actual","Low",_LATESTvarPubDate)</f>
        <v>490</v>
      </c>
      <c r="G124" s="56"/>
      <c r="H124" s="56"/>
      <c r="I124" s="56"/>
      <c r="J124" s="56"/>
      <c r="K124" s="86"/>
      <c r="V124" s="56"/>
    </row>
    <row r="125" spans="1:26" x14ac:dyDescent="0.2">
      <c r="A125" s="90" t="s">
        <v>57</v>
      </c>
      <c r="B125" s="83">
        <f t="array" aca="1" ref="B125" ca="1">_xll.GetPrice("FP-PNL-0132","Actual","Low",_LATESTvarPubDate)</f>
        <v>255</v>
      </c>
      <c r="C125" s="83">
        <f t="array" aca="1" ref="C125" ca="1">_xll.GetPrice("FP-PNL-0133","Actual","Low",_LATESTvarPubDate)</f>
        <v>255</v>
      </c>
      <c r="D125" s="83">
        <f t="array" aca="1" ref="D125" ca="1">_xll.GetPrice("FP-PNL-0134","Actual","Low",_LATESTvarPubDate)</f>
        <v>275</v>
      </c>
      <c r="E125" s="83">
        <f t="array" aca="1" ref="E125" ca="1">_xll.GetPrice("FP-PNL-0135","Actual","Low",_LATESTvarPubDate)</f>
        <v>390</v>
      </c>
      <c r="F125" s="83">
        <f t="array" aca="1" ref="F125" ca="1">_xll.GetPrice("FP-PNL-0136","Actual","Low",_LATESTvarPubDate)</f>
        <v>435</v>
      </c>
      <c r="G125" s="56"/>
      <c r="H125" s="56"/>
      <c r="I125" s="56"/>
      <c r="J125" s="56"/>
      <c r="K125" s="88" t="s">
        <v>58</v>
      </c>
      <c r="N125" s="88" t="s">
        <v>59</v>
      </c>
      <c r="O125" s="56"/>
      <c r="P125" s="56"/>
      <c r="Q125" s="56"/>
    </row>
    <row r="126" spans="1:26" x14ac:dyDescent="0.2">
      <c r="A126" s="86" t="s">
        <v>60</v>
      </c>
      <c r="C126" s="83">
        <f t="array" aca="1" ref="C126" ca="1">_xll.GetPrice("FP-PNL-0152","Actual","Low",_LATESTvarPubDate)</f>
        <v>10</v>
      </c>
      <c r="D126" s="83">
        <f t="array" aca="1" ref="D126" ca="1">_xll.GetPrice("FP-PNL-0152","Actual","High",_LATESTvarPubDate)</f>
        <v>20</v>
      </c>
      <c r="G126" s="56"/>
      <c r="H126" s="56"/>
      <c r="I126" s="56"/>
      <c r="J126" s="82"/>
      <c r="K126" s="76" t="s">
        <v>61</v>
      </c>
      <c r="L126" s="79"/>
      <c r="N126" s="82"/>
      <c r="O126" s="79" t="s">
        <v>62</v>
      </c>
      <c r="P126" s="79" t="s">
        <v>63</v>
      </c>
      <c r="Q126" s="79" t="s">
        <v>64</v>
      </c>
    </row>
    <row r="127" spans="1:26" x14ac:dyDescent="0.2">
      <c r="G127" s="56"/>
      <c r="H127" s="56"/>
      <c r="I127" s="56"/>
      <c r="J127" s="56"/>
      <c r="K127" s="79" t="s">
        <v>53</v>
      </c>
      <c r="L127" s="83">
        <f t="array" aca="1" ref="L127" ca="1">_xll.GetPrice("FP-PNL-0263","Actual","Low",_LATESTvarPubDate)</f>
        <v>845</v>
      </c>
      <c r="N127" s="79" t="s">
        <v>65</v>
      </c>
      <c r="O127" s="83">
        <f t="array" aca="1" ref="O127" ca="1">_xll.GetPrice("FP-PNL-0268","Actual","Low",_LATESTvarPubDate)</f>
        <v>1310</v>
      </c>
      <c r="P127" s="83">
        <f t="array" aca="1" ref="P127" ca="1">_xll.GetPrice("FP-PNL-0274","Actual","Low",_LATESTvarPubDate)</f>
        <v>1805</v>
      </c>
      <c r="Q127" s="83">
        <f t="array" aca="1" ref="Q127" ca="1">_xll.GetPrice("FP-PNL-0280","Actual","Low",_LATESTvarPubDate)</f>
        <v>1815</v>
      </c>
    </row>
    <row r="128" spans="1:26" x14ac:dyDescent="0.2">
      <c r="I128" s="56"/>
      <c r="J128" s="56"/>
      <c r="K128" s="79" t="s">
        <v>55</v>
      </c>
      <c r="L128" s="83">
        <f t="array" aca="1" ref="L128" ca="1">_xll.GetPrice("FP-PNL-0264","Actual","Low",_LATESTvarPubDate)</f>
        <v>870</v>
      </c>
      <c r="N128" s="79" t="s">
        <v>53</v>
      </c>
      <c r="O128" s="83">
        <f t="array" aca="1" ref="O128" ca="1">_xll.GetPrice("FP-PNL-0269","Actual","Low",_LATESTvarPubDate)</f>
        <v>1885</v>
      </c>
      <c r="P128" s="83">
        <f t="array" aca="1" ref="P128" ca="1">_xll.GetPrice("FP-PNL-0275","Actual","Low",_LATESTvarPubDate)</f>
        <v>2385</v>
      </c>
      <c r="Q128" s="83">
        <f t="array" aca="1" ref="Q128" ca="1">_xll.GetPrice("FP-PNL-0281","Actual","Low",_LATESTvarPubDate)</f>
        <v>2415</v>
      </c>
    </row>
    <row r="129" spans="1:26" x14ac:dyDescent="0.2">
      <c r="A129" s="74" t="s">
        <v>66</v>
      </c>
      <c r="B129" s="56"/>
      <c r="C129" s="56"/>
      <c r="D129" s="56"/>
      <c r="E129" s="56"/>
      <c r="F129" s="56"/>
      <c r="G129" s="56"/>
      <c r="H129" s="56"/>
      <c r="I129" s="56"/>
      <c r="J129" s="56"/>
      <c r="K129" s="79" t="s">
        <v>67</v>
      </c>
      <c r="L129" s="83">
        <f t="array" aca="1" ref="L129" ca="1">_xll.GetPrice("FP-PNL-0265","Actual","Low",_LATESTvarPubDate)</f>
        <v>1320</v>
      </c>
      <c r="N129" s="79" t="s">
        <v>68</v>
      </c>
      <c r="O129" s="83">
        <f t="array" aca="1" ref="O129" ca="1">_xll.GetPrice("FP-PNL-0270","Actual","Low",_LATESTvarPubDate)</f>
        <v>1935</v>
      </c>
      <c r="P129" s="83">
        <f t="array" aca="1" ref="P129" ca="1">_xll.GetPrice("FP-PNL-0276","Actual","Low",_LATESTvarPubDate)</f>
        <v>2425</v>
      </c>
      <c r="Q129" s="83">
        <f t="array" aca="1" ref="Q129" ca="1">_xll.GetPrice("FP-PNL-0282","Actual","Low",_LATESTvarPubDate)</f>
        <v>2455</v>
      </c>
    </row>
    <row r="130" spans="1:26" x14ac:dyDescent="0.2">
      <c r="A130" s="76" t="s">
        <v>11</v>
      </c>
      <c r="B130" s="56"/>
      <c r="C130" s="56"/>
      <c r="D130" s="56"/>
      <c r="E130" s="56"/>
      <c r="F130" s="56"/>
      <c r="G130" s="56"/>
      <c r="H130" s="56"/>
      <c r="I130" s="56"/>
      <c r="J130" s="56"/>
      <c r="K130" s="88" t="s">
        <v>69</v>
      </c>
      <c r="L130" s="56"/>
      <c r="N130" s="79" t="s">
        <v>70</v>
      </c>
      <c r="O130" s="83">
        <f t="array" aca="1" ref="O130" ca="1">_xll.GetPrice("FP-PNL-0271","Actual","Low",_LATESTvarPubDate)</f>
        <v>1230</v>
      </c>
      <c r="P130" s="83">
        <f t="array" aca="1" ref="P130" ca="1">_xll.GetPrice("FP-PNL-0277","Actual","Low",_LATESTvarPubDate)</f>
        <v>1590</v>
      </c>
      <c r="Q130" s="83">
        <f t="array" aca="1" ref="Q130" ca="1">_xll.GetPrice("FP-PNL-0283","Actual","Low",_LATESTvarPubDate)</f>
        <v>1625</v>
      </c>
      <c r="U130" s="56"/>
      <c r="V130" s="56"/>
      <c r="W130" s="56"/>
      <c r="X130" s="56"/>
      <c r="Y130" s="56"/>
      <c r="Z130" s="56"/>
    </row>
    <row r="131" spans="1:26" x14ac:dyDescent="0.2">
      <c r="A131" s="56"/>
      <c r="B131" s="76" t="s">
        <v>71</v>
      </c>
      <c r="C131" s="79"/>
      <c r="D131" s="79"/>
      <c r="E131" s="76" t="s">
        <v>72</v>
      </c>
      <c r="F131" s="56"/>
      <c r="G131" s="56"/>
      <c r="H131" s="56"/>
      <c r="I131" s="56"/>
      <c r="J131" s="56"/>
      <c r="K131" s="79" t="s">
        <v>73</v>
      </c>
      <c r="L131" s="83">
        <f t="array" aca="1" ref="L131" ca="1">_xll.GetPrice("FP-PNL-0266","Actual","Low",_LATESTvarPubDate)</f>
        <v>1740</v>
      </c>
      <c r="N131" s="79" t="s">
        <v>53</v>
      </c>
      <c r="O131" s="83">
        <f t="array" aca="1" ref="O131" ca="1">_xll.GetPrice("FP-PNL-0272","Actual","Low",_LATESTvarPubDate)</f>
        <v>1830</v>
      </c>
      <c r="P131" s="83">
        <f t="array" aca="1" ref="P131" ca="1">_xll.GetPrice("FP-PNL-0278","Actual","Low",_LATESTvarPubDate)</f>
        <v>2220</v>
      </c>
      <c r="Q131" s="83">
        <f t="array" aca="1" ref="Q131" ca="1">_xll.GetPrice("FP-PNL-0284","Actual","Low",_LATESTvarPubDate)</f>
        <v>2235</v>
      </c>
      <c r="U131" s="56"/>
      <c r="V131" s="56"/>
      <c r="W131" s="56"/>
      <c r="X131" s="56"/>
      <c r="Y131" s="56"/>
      <c r="Z131" s="56"/>
    </row>
    <row r="132" spans="1:26" x14ac:dyDescent="0.2">
      <c r="A132" s="79" t="s">
        <v>74</v>
      </c>
      <c r="B132" s="79" t="s">
        <v>22</v>
      </c>
      <c r="C132" s="79" t="s">
        <v>20</v>
      </c>
      <c r="D132" s="79" t="s">
        <v>23</v>
      </c>
      <c r="E132" s="79" t="s">
        <v>22</v>
      </c>
      <c r="F132" s="79" t="s">
        <v>20</v>
      </c>
      <c r="G132" s="79" t="s">
        <v>23</v>
      </c>
      <c r="H132" s="56"/>
      <c r="I132" s="56"/>
      <c r="J132" s="77" t="s">
        <v>75</v>
      </c>
      <c r="K132" s="79" t="s">
        <v>76</v>
      </c>
      <c r="L132" s="83">
        <f t="array" aca="1" ref="L132" ca="1">_xll.GetPrice("FP-PNL-0267","Actual","Low",_LATESTvarPubDate)</f>
        <v>1800</v>
      </c>
      <c r="N132" s="79" t="s">
        <v>68</v>
      </c>
      <c r="O132" s="83">
        <f t="array" aca="1" ref="O132" ca="1">_xll.GetPrice("FP-PNL-0273","Actual","Low",_LATESTvarPubDate)</f>
        <v>1885</v>
      </c>
      <c r="P132" s="83">
        <f t="array" aca="1" ref="P132" ca="1">_xll.GetPrice("FP-PNL-0279","Actual","Low",_LATESTvarPubDate)</f>
        <v>2240</v>
      </c>
      <c r="Q132" s="83">
        <f t="array" aca="1" ref="Q132" ca="1">_xll.GetPrice("FP-PNL-0285","Actual","Low",_LATESTvarPubDate)</f>
        <v>2270</v>
      </c>
      <c r="U132" s="56"/>
      <c r="V132" s="56"/>
      <c r="W132" s="56"/>
      <c r="X132" s="56"/>
      <c r="Y132" s="56"/>
      <c r="Z132" s="56"/>
    </row>
    <row r="133" spans="1:26" x14ac:dyDescent="0.2">
      <c r="A133" s="79" t="s">
        <v>29</v>
      </c>
      <c r="B133" s="83">
        <f t="array" aca="1" ref="B133" ca="1">_xll.GetPrice("FP-PNL-0153","Actual","Low",_LATESTvarPubDate)</f>
        <v>345</v>
      </c>
      <c r="C133" s="83">
        <f t="array" aca="1" ref="C133" ca="1">_xll.GetPrice("FP-PNL-0158","Actual","Low",_LATESTvarPubDate)</f>
        <v>361</v>
      </c>
      <c r="D133" s="83">
        <f t="array" aca="1" ref="D133" ca="1">_xll.GetPrice("FP-PNL-0163","Actual","Low",_LATESTvarPubDate)</f>
        <v>410</v>
      </c>
      <c r="E133" s="83">
        <f t="array" aca="1" ref="E133" ca="1">_xll.GetPrice("FP-PNL-0168","Actual","Low",_LATESTvarPubDate)</f>
        <v>335</v>
      </c>
      <c r="F133" s="83">
        <f t="array" aca="1" ref="F133" ca="1">_xll.GetPrice("FP-PNL-0173","Actual","Low",_LATESTvarPubDate)</f>
        <v>340</v>
      </c>
      <c r="G133" s="83">
        <f t="array" aca="1" ref="G133" ca="1">_xll.GetPrice("FP-PNL-0178","Actual","Low",_LATESTvarPubDate)</f>
        <v>305</v>
      </c>
      <c r="H133" s="56"/>
      <c r="I133" s="56"/>
      <c r="J133" s="56"/>
      <c r="U133" s="56"/>
      <c r="V133" s="56"/>
      <c r="W133" s="56"/>
      <c r="X133" s="56"/>
      <c r="Y133" s="56"/>
      <c r="Z133" s="56"/>
    </row>
    <row r="134" spans="1:26" x14ac:dyDescent="0.2">
      <c r="A134" s="79" t="s">
        <v>77</v>
      </c>
      <c r="B134" s="83">
        <f t="array" aca="1" ref="B134" ca="1">_xll.GetPrice("FP-PNL-0154","Actual","Low",_LATESTvarPubDate)</f>
        <v>416</v>
      </c>
      <c r="C134" s="83">
        <f t="array" aca="1" ref="C134" ca="1">_xll.GetPrice("FP-PNL-0159","Actual","Low",_LATESTvarPubDate)</f>
        <v>433</v>
      </c>
      <c r="D134" s="83">
        <f t="array" aca="1" ref="D134" ca="1">_xll.GetPrice("FP-PNL-0164","Actual","Low",_LATESTvarPubDate)</f>
        <v>455</v>
      </c>
      <c r="E134" s="83">
        <f t="array" aca="1" ref="E134" ca="1">_xll.GetPrice("FP-PNL-0169","Actual","Low",_LATESTvarPubDate)</f>
        <v>361</v>
      </c>
      <c r="F134" s="83">
        <f t="array" aca="1" ref="F134" ca="1">_xll.GetPrice("FP-PNL-0174","Actual","Low",_LATESTvarPubDate)</f>
        <v>365</v>
      </c>
      <c r="G134" s="83">
        <f t="array" aca="1" ref="G134" ca="1">_xll.GetPrice("FP-PNL-0179","Actual","Low",_LATESTvarPubDate)</f>
        <v>335</v>
      </c>
      <c r="I134" s="56"/>
      <c r="J134" s="56"/>
      <c r="T134" s="56"/>
      <c r="U134" s="56"/>
      <c r="V134" s="56"/>
      <c r="W134" s="56"/>
      <c r="X134" s="56"/>
      <c r="Y134" s="56"/>
      <c r="Z134" s="56"/>
    </row>
    <row r="135" spans="1:26" x14ac:dyDescent="0.2">
      <c r="A135" s="79" t="s">
        <v>78</v>
      </c>
      <c r="B135" s="83">
        <f t="array" aca="1" ref="B135" ca="1">_xll.GetPrice("FP-PNL-0155","Actual","Low",_LATESTvarPubDate)</f>
        <v>421</v>
      </c>
      <c r="C135" s="83">
        <f t="array" aca="1" ref="C135" ca="1">_xll.GetPrice("FP-PNL-0160","Actual","Low",_LATESTvarPubDate)</f>
        <v>436</v>
      </c>
      <c r="D135" s="83">
        <f t="array" aca="1" ref="D135" ca="1">_xll.GetPrice("FP-PNL-0165","Actual","Low",_LATESTvarPubDate)</f>
        <v>483</v>
      </c>
      <c r="E135" s="83">
        <f t="array" aca="1" ref="E135" ca="1">_xll.GetPrice("FP-PNL-0170","Actual","Low",_LATESTvarPubDate)</f>
        <v>368</v>
      </c>
      <c r="F135" s="83">
        <f t="array" aca="1" ref="F135" ca="1">_xll.GetPrice("FP-PNL-0175","Actual","Low",_LATESTvarPubDate)</f>
        <v>369</v>
      </c>
      <c r="G135" s="83">
        <f t="array" aca="1" ref="G135" ca="1">_xll.GetPrice("FP-PNL-0180","Actual","Low",_LATESTvarPubDate)</f>
        <v>350</v>
      </c>
      <c r="J135" s="56"/>
      <c r="K135" s="73" t="s">
        <v>79</v>
      </c>
      <c r="L135" s="56"/>
      <c r="M135" s="56"/>
      <c r="N135" s="56"/>
      <c r="O135" s="56"/>
      <c r="P135" s="56"/>
      <c r="Q135" s="56"/>
      <c r="R135" s="56"/>
      <c r="T135" s="56"/>
      <c r="U135" s="56"/>
      <c r="V135" s="56"/>
      <c r="W135" s="56"/>
      <c r="X135" s="56"/>
      <c r="Y135" s="56"/>
      <c r="Z135" s="56"/>
    </row>
    <row r="136" spans="1:26" x14ac:dyDescent="0.2">
      <c r="A136" s="79" t="s">
        <v>80</v>
      </c>
      <c r="B136" s="83">
        <f t="array" aca="1" ref="B136" ca="1">_xll.GetPrice("FP-PNL-0156","Actual","Low",_LATESTvarPubDate)</f>
        <v>476</v>
      </c>
      <c r="C136" s="83">
        <f t="array" aca="1" ref="C136" ca="1">_xll.GetPrice("FP-PNL-0161","Actual","Low",_LATESTvarPubDate)</f>
        <v>479</v>
      </c>
      <c r="D136" s="83">
        <f t="array" aca="1" ref="D136" ca="1">_xll.GetPrice("FP-PNL-0166","Actual","Low",_LATESTvarPubDate)</f>
        <v>491</v>
      </c>
      <c r="E136" s="83">
        <f t="array" aca="1" ref="E136" ca="1">_xll.GetPrice("FP-PNL-0171","Actual","Low",_LATESTvarPubDate)</f>
        <v>371</v>
      </c>
      <c r="F136" s="83">
        <f t="array" aca="1" ref="F136" ca="1">_xll.GetPrice("FP-PNL-0176","Actual","Low",_LATESTvarPubDate)</f>
        <v>372</v>
      </c>
      <c r="G136" s="83">
        <f t="array" aca="1" ref="G136" ca="1">_xll.GetPrice("FP-PNL-0181","Actual","Low",_LATESTvarPubDate)</f>
        <v>355</v>
      </c>
      <c r="J136" s="56"/>
      <c r="K136" s="89" t="s">
        <v>81</v>
      </c>
      <c r="L136" s="79" t="s">
        <v>82</v>
      </c>
      <c r="M136" s="79" t="s">
        <v>83</v>
      </c>
      <c r="N136" s="79" t="s">
        <v>84</v>
      </c>
      <c r="O136" s="79" t="s">
        <v>85</v>
      </c>
      <c r="P136" s="79" t="s">
        <v>86</v>
      </c>
      <c r="Q136" s="82"/>
      <c r="R136" s="56"/>
      <c r="X136" s="56"/>
      <c r="Y136" s="56"/>
      <c r="Z136" s="56"/>
    </row>
    <row r="137" spans="1:26" x14ac:dyDescent="0.2">
      <c r="A137" s="79" t="s">
        <v>55</v>
      </c>
      <c r="B137" s="83">
        <f t="array" aca="1" ref="B137" ca="1">_xll.GetPrice("FP-PNL-0157","Actual","Low",_LATESTvarPubDate)</f>
        <v>655</v>
      </c>
      <c r="C137" s="83">
        <f t="array" aca="1" ref="C137" ca="1">_xll.GetPrice("FP-PNL-0162","Actual","Low",_LATESTvarPubDate)</f>
        <v>649</v>
      </c>
      <c r="D137" s="83">
        <f t="array" aca="1" ref="D137" ca="1">_xll.GetPrice("FP-PNL-0167","Actual","Low",_LATESTvarPubDate)</f>
        <v>692</v>
      </c>
      <c r="E137" s="83">
        <f t="array" aca="1" ref="E137" ca="1">_xll.GetPrice("FP-PNL-0172","Actual","Low",_LATESTvarPubDate)</f>
        <v>535</v>
      </c>
      <c r="F137" s="83">
        <f t="array" aca="1" ref="F137" ca="1">_xll.GetPrice("FP-PNL-0177","Actual","Low",_LATESTvarPubDate)</f>
        <v>525</v>
      </c>
      <c r="G137" s="83">
        <f t="array" aca="1" ref="G137" ca="1">_xll.GetPrice("FP-PNL-0182","Actual","Low",_LATESTvarPubDate)</f>
        <v>502</v>
      </c>
      <c r="J137" s="56"/>
      <c r="K137" s="91" t="s">
        <v>87</v>
      </c>
      <c r="L137" s="92">
        <f t="array" aca="1" ref="L137" ca="1">_xll.GetPrice("FP-PNL-0288","Actual","Low",_LATESTvarPubDate)</f>
        <v>91</v>
      </c>
      <c r="M137" s="92">
        <f t="array" aca="1" ref="M137" ca="1">_xll.GetPrice("FP-PNL-0291","Actual","Low",_LATESTvarPubDate)</f>
        <v>44.5</v>
      </c>
      <c r="N137" s="92">
        <f t="array" aca="1" ref="N137" ca="1">_xll.GetPrice("FP-PNL-0294","Actual","Low",_LATESTvarPubDate)</f>
        <v>11.5</v>
      </c>
      <c r="O137" s="92">
        <f t="array" aca="1" ref="O137" ca="1">_xll.GetPrice("FP-PNL-0297","Actual","Low",_LATESTvarPubDate)</f>
        <v>13.5</v>
      </c>
      <c r="P137" s="92">
        <f t="array" aca="1" ref="P137" ca="1">_xll.GetPrice("FP-PNL-0505","Actual","Low",_LATESTvarPubDate)</f>
        <v>74.5</v>
      </c>
      <c r="Q137" s="56"/>
      <c r="R137" s="56"/>
      <c r="X137" s="56"/>
      <c r="Y137" s="56"/>
      <c r="Z137" s="56"/>
    </row>
    <row r="138" spans="1:26" x14ac:dyDescent="0.2">
      <c r="J138" s="56"/>
      <c r="K138" s="91" t="s">
        <v>89</v>
      </c>
      <c r="L138" s="92">
        <f t="array" aca="1" ref="L138" ca="1">_xll.GetPrice("FP-PNL-0289","Actual","Low",_LATESTvarPubDate)</f>
        <v>94.5</v>
      </c>
      <c r="M138" s="92">
        <f t="array" aca="1" ref="M138" ca="1">_xll.GetPrice("FP-PNL-0292","Actual","Low",_LATESTvarPubDate)</f>
        <v>65.25</v>
      </c>
      <c r="N138" s="92">
        <f t="array" aca="1" ref="N138" ca="1">_xll.GetPrice("FP-PNL-0295","Actual","Low",_LATESTvarPubDate)</f>
        <v>25.75</v>
      </c>
      <c r="O138" s="92">
        <f t="array" aca="1" ref="O138" ca="1">_xll.GetPrice("FP-PNL-0298","Actual","Low",_LATESTvarPubDate)</f>
        <v>24.5</v>
      </c>
      <c r="P138" s="93" t="s">
        <v>32</v>
      </c>
      <c r="X138" s="56"/>
      <c r="Y138" s="56"/>
      <c r="Z138" s="56"/>
    </row>
    <row r="139" spans="1:26" x14ac:dyDescent="0.2">
      <c r="A139" s="88" t="s">
        <v>42</v>
      </c>
      <c r="B139" s="56"/>
      <c r="C139" s="56"/>
      <c r="D139" s="56"/>
      <c r="E139" s="56"/>
      <c r="F139" s="88" t="s">
        <v>88</v>
      </c>
      <c r="G139" s="56"/>
      <c r="H139" s="56"/>
      <c r="I139" s="56"/>
      <c r="J139" s="56"/>
      <c r="Q139" s="56"/>
      <c r="R139" s="56"/>
      <c r="X139" s="56"/>
      <c r="Y139" s="56"/>
      <c r="Z139" s="56"/>
    </row>
    <row r="140" spans="1:26" x14ac:dyDescent="0.2">
      <c r="A140" s="56"/>
      <c r="B140" s="89" t="s">
        <v>43</v>
      </c>
      <c r="C140" s="56"/>
      <c r="D140" s="89" t="s">
        <v>44</v>
      </c>
      <c r="E140" s="56"/>
      <c r="F140" s="94" t="s">
        <v>90</v>
      </c>
      <c r="G140" s="56"/>
      <c r="H140" s="56"/>
      <c r="I140" s="56"/>
      <c r="J140" s="56"/>
      <c r="X140" s="56"/>
      <c r="Y140" s="56"/>
      <c r="Z140" s="56"/>
    </row>
    <row r="141" spans="1:26" x14ac:dyDescent="0.2">
      <c r="A141" s="79" t="s">
        <v>74</v>
      </c>
      <c r="B141" s="79" t="s">
        <v>22</v>
      </c>
      <c r="C141" s="79" t="s">
        <v>23</v>
      </c>
      <c r="D141" s="79" t="s">
        <v>22</v>
      </c>
      <c r="E141" s="79" t="s">
        <v>23</v>
      </c>
      <c r="F141" s="82"/>
      <c r="G141" s="79" t="s">
        <v>22</v>
      </c>
      <c r="H141" s="79" t="s">
        <v>20</v>
      </c>
      <c r="I141" s="79" t="s">
        <v>23</v>
      </c>
      <c r="J141" s="56"/>
      <c r="U141" s="56"/>
      <c r="V141" s="56"/>
      <c r="W141" s="56"/>
      <c r="X141" s="56"/>
      <c r="Y141" s="56"/>
      <c r="Z141" s="56"/>
    </row>
    <row r="142" spans="1:26" x14ac:dyDescent="0.2">
      <c r="A142" s="79" t="s">
        <v>48</v>
      </c>
      <c r="B142" s="83">
        <f t="array" aca="1" ref="B142" ca="1">_xll.GetPrice("FP-PNL-0183","Actual","Low",_LATESTvarPubDate)</f>
        <v>528</v>
      </c>
      <c r="C142" s="83">
        <f t="array" aca="1" ref="C142" ca="1">_xll.GetPrice("FP-PNL-0188","Actual","Low",_LATESTvarPubDate)</f>
        <v>560</v>
      </c>
      <c r="D142" s="83">
        <f t="array" aca="1" ref="D142" ca="1">_xll.GetPrice("FP-PNL-0193","Actual","Low",_LATESTvarPubDate)</f>
        <v>510</v>
      </c>
      <c r="E142" s="83">
        <f t="array" aca="1" ref="E142" ca="1">_xll.GetPrice("FP-PNL-0198","Actual","Low",_LATESTvarPubDate)</f>
        <v>530</v>
      </c>
      <c r="F142" s="95" t="s">
        <v>53</v>
      </c>
      <c r="G142" s="83">
        <f t="array" aca="1" ref="G142" ca="1">_xll.GetPrice("FP-PNL-0203","Actual","Low",_LATESTvarPubDate)</f>
        <v>829</v>
      </c>
      <c r="H142" s="83">
        <f t="array" aca="1" ref="H142" ca="1">_xll.GetPrice("FP-PNL-0205","Actual","Low",_LATESTvarPubDate)</f>
        <v>860</v>
      </c>
      <c r="I142" s="83">
        <f t="array" aca="1" ref="I142" ca="1">_xll.GetPrice("FP-PNL-0207","Actual","Low",_LATESTvarPubDate)</f>
        <v>762</v>
      </c>
      <c r="J142" s="56"/>
      <c r="K142" s="89"/>
      <c r="L142" s="56"/>
      <c r="M142" s="56"/>
      <c r="N142" s="88"/>
      <c r="O142" s="56"/>
      <c r="Q142" s="88"/>
      <c r="R142" s="56"/>
      <c r="U142" s="56"/>
      <c r="V142" s="56"/>
      <c r="W142" s="56"/>
      <c r="X142" s="56"/>
      <c r="Y142" s="56"/>
      <c r="Z142" s="56"/>
    </row>
    <row r="143" spans="1:26" x14ac:dyDescent="0.2">
      <c r="A143" s="79" t="s">
        <v>50</v>
      </c>
      <c r="B143" s="83">
        <f t="array" aca="1" ref="B143" ca="1">_xll.GetPrice("FP-PNL-0184","Actual","Low",_LATESTvarPubDate)</f>
        <v>608</v>
      </c>
      <c r="C143" s="83">
        <f t="array" aca="1" ref="C143" ca="1">_xll.GetPrice("FP-PNL-0189","Actual","Low",_LATESTvarPubDate)</f>
        <v>550</v>
      </c>
      <c r="D143" s="83">
        <f t="array" aca="1" ref="D143" ca="1">_xll.GetPrice("FP-PNL-0194","Actual","Low",_LATESTvarPubDate)</f>
        <v>560</v>
      </c>
      <c r="E143" s="83">
        <f t="array" aca="1" ref="E143" ca="1">_xll.GetPrice("FP-PNL-0199","Actual","Low",_LATESTvarPubDate)</f>
        <v>510</v>
      </c>
      <c r="F143" s="79" t="s">
        <v>55</v>
      </c>
      <c r="G143" s="83">
        <f t="array" aca="1" ref="G143" ca="1">_xll.GetPrice("FP-PNL-0204","Actual","Low",_LATESTvarPubDate)</f>
        <v>858</v>
      </c>
      <c r="H143" s="83">
        <f t="array" aca="1" ref="H143" ca="1">_xll.GetPrice("FP-PNL-0206","Actual","Low",_LATESTvarPubDate)</f>
        <v>890</v>
      </c>
      <c r="I143" s="83">
        <f t="array" aca="1" ref="I143" ca="1">_xll.GetPrice("FP-PNL-0208","Actual","Low",_LATESTvarPubDate)</f>
        <v>901</v>
      </c>
      <c r="J143" s="56"/>
      <c r="K143" s="79"/>
      <c r="L143" s="79"/>
      <c r="M143" s="79"/>
      <c r="N143" s="79"/>
      <c r="O143" s="79"/>
      <c r="Q143" s="79"/>
      <c r="R143" s="79"/>
      <c r="U143" s="56"/>
      <c r="V143" s="56"/>
      <c r="W143" s="56"/>
      <c r="X143" s="56"/>
      <c r="Y143" s="56"/>
      <c r="Z143" s="56"/>
    </row>
    <row r="144" spans="1:26" x14ac:dyDescent="0.2">
      <c r="A144" s="79" t="s">
        <v>33</v>
      </c>
      <c r="B144" s="83">
        <f t="array" aca="1" ref="B144" ca="1">_xll.GetPrice("FP-PNL-0185","Actual","Low",_LATESTvarPubDate)</f>
        <v>848</v>
      </c>
      <c r="C144" s="83">
        <f t="array" aca="1" ref="C144" ca="1">_xll.GetPrice("FP-PNL-0190","Actual","Low",_LATESTvarPubDate)</f>
        <v>805</v>
      </c>
      <c r="D144" s="83">
        <f t="array" aca="1" ref="D144" ca="1">_xll.GetPrice("FP-PNL-0195","Actual","Low",_LATESTvarPubDate)</f>
        <v>805</v>
      </c>
      <c r="E144" s="83">
        <f t="array" aca="1" ref="E144" ca="1">_xll.GetPrice("FP-PNL-0200","Actual","Low",_LATESTvarPubDate)</f>
        <v>760</v>
      </c>
      <c r="F144" s="88" t="s">
        <v>91</v>
      </c>
      <c r="G144" s="56"/>
      <c r="H144" s="56"/>
      <c r="I144" s="56"/>
      <c r="J144" s="56"/>
      <c r="K144" s="79"/>
      <c r="L144" s="92"/>
      <c r="M144" s="92"/>
      <c r="N144" s="96"/>
      <c r="O144" s="96"/>
      <c r="S144" s="56"/>
    </row>
    <row r="145" spans="1:26" x14ac:dyDescent="0.2">
      <c r="A145" s="79" t="s">
        <v>53</v>
      </c>
      <c r="B145" s="83">
        <f t="array" aca="1" ref="B145" ca="1">_xll.GetPrice("FP-PNL-0186","Actual","Low",_LATESTvarPubDate)</f>
        <v>888</v>
      </c>
      <c r="C145" s="83">
        <f t="array" aca="1" ref="C145" ca="1">_xll.GetPrice("FP-PNL-0191","Actual","Low",_LATESTvarPubDate)</f>
        <v>810</v>
      </c>
      <c r="D145" s="83">
        <f t="array" aca="1" ref="D145" ca="1">_xll.GetPrice("FP-PNL-0196","Actual","Low",_LATESTvarPubDate)</f>
        <v>855</v>
      </c>
      <c r="E145" s="83">
        <f t="array" aca="1" ref="E145" ca="1">_xll.GetPrice("FP-PNL-0201","Actual","Low",_LATESTvarPubDate)</f>
        <v>770</v>
      </c>
      <c r="F145" s="79" t="s">
        <v>53</v>
      </c>
      <c r="G145" s="83">
        <f t="array" aca="1" ref="G145" ca="1">_xll.GetPrice("FP-PNL-0209","Actual","Low",_LATESTvarPubDate)</f>
        <v>1243</v>
      </c>
      <c r="H145" s="97" t="s">
        <v>32</v>
      </c>
      <c r="I145" s="83">
        <f t="array" aca="1" ref="I145" ca="1">_xll.GetPrice("FP-PNL-0211","Actual","Low",_LATESTvarPubDate)</f>
        <v>1229</v>
      </c>
      <c r="J145" s="56"/>
      <c r="N145" s="96"/>
      <c r="O145" s="96"/>
      <c r="S145" s="56"/>
    </row>
    <row r="146" spans="1:26" x14ac:dyDescent="0.2">
      <c r="A146" s="79" t="s">
        <v>55</v>
      </c>
      <c r="B146" s="83">
        <f t="array" aca="1" ref="B146" ca="1">_xll.GetPrice("FP-PNL-0187","Actual","Low",_LATESTvarPubDate)</f>
        <v>1003</v>
      </c>
      <c r="C146" s="83">
        <f t="array" aca="1" ref="C146" ca="1">_xll.GetPrice("FP-PNL-0192","Actual","Low",_LATESTvarPubDate)</f>
        <v>975</v>
      </c>
      <c r="D146" s="83">
        <f t="array" aca="1" ref="D146" ca="1">_xll.GetPrice("FP-PNL-0197","Actual","Low",_LATESTvarPubDate)</f>
        <v>960</v>
      </c>
      <c r="E146" s="83">
        <f t="array" aca="1" ref="E146" ca="1">_xll.GetPrice("FP-PNL-0202","Actual","Low",_LATESTvarPubDate)</f>
        <v>915</v>
      </c>
      <c r="F146" s="79" t="s">
        <v>55</v>
      </c>
      <c r="G146" s="83">
        <f t="array" aca="1" ref="G146" ca="1">_xll.GetPrice("FP-PNL-0210","Actual","Low",_LATESTvarPubDate)</f>
        <v>1259</v>
      </c>
      <c r="H146" s="85" t="s">
        <v>32</v>
      </c>
      <c r="I146" s="83">
        <f t="array" aca="1" ref="I146" ca="1">_xll.GetPrice("FP-PNL-0212","Actual","Low",_LATESTvarPubDate)</f>
        <v>1312</v>
      </c>
      <c r="J146" s="56"/>
      <c r="S146" s="56"/>
    </row>
    <row r="147" spans="1:26" x14ac:dyDescent="0.2">
      <c r="J147" s="56"/>
      <c r="S147" s="56"/>
    </row>
    <row r="148" spans="1:26" x14ac:dyDescent="0.2">
      <c r="A148" s="88" t="s">
        <v>92</v>
      </c>
      <c r="B148" s="56"/>
      <c r="C148" s="56"/>
      <c r="D148" s="56"/>
      <c r="I148" s="56"/>
      <c r="J148" s="56"/>
      <c r="K148" s="73" t="s">
        <v>93</v>
      </c>
      <c r="L148" s="56"/>
      <c r="M148" s="56"/>
      <c r="N148" s="56"/>
      <c r="O148" s="56"/>
      <c r="Q148" s="56"/>
      <c r="S148" s="56"/>
    </row>
    <row r="149" spans="1:26" x14ac:dyDescent="0.2">
      <c r="A149" s="79" t="s">
        <v>74</v>
      </c>
      <c r="B149" s="79" t="s">
        <v>22</v>
      </c>
      <c r="C149" s="79" t="s">
        <v>23</v>
      </c>
      <c r="D149" s="56"/>
      <c r="I149" s="56"/>
      <c r="J149" s="56"/>
      <c r="K149" s="76" t="s">
        <v>94</v>
      </c>
      <c r="L149" s="56"/>
      <c r="M149" s="56"/>
      <c r="N149" s="56"/>
      <c r="O149" s="87"/>
      <c r="P149" s="76" t="s">
        <v>95</v>
      </c>
      <c r="Q149" s="98" t="s">
        <v>96</v>
      </c>
      <c r="R149" s="99"/>
      <c r="S149" s="56"/>
    </row>
    <row r="150" spans="1:26" x14ac:dyDescent="0.2">
      <c r="A150" s="79" t="s">
        <v>50</v>
      </c>
      <c r="B150" s="83">
        <f t="array" aca="1" ref="B150" ca="1">_xll.GetPrice("FP-PNL-0213","Actual","Low",_LATESTvarPubDate)</f>
        <v>925</v>
      </c>
      <c r="C150" s="83">
        <f t="array" aca="1" ref="C150" ca="1">_xll.GetPrice("FP-PNL-0216","Actual","Low",_LATESTvarPubDate)</f>
        <v>945</v>
      </c>
      <c r="D150" s="56"/>
      <c r="I150" s="56"/>
      <c r="J150" s="56"/>
      <c r="K150" s="56"/>
      <c r="L150" s="76" t="s">
        <v>13</v>
      </c>
      <c r="M150" s="82"/>
      <c r="N150" s="76" t="s">
        <v>97</v>
      </c>
      <c r="O150" s="100"/>
      <c r="P150" s="76" t="s">
        <v>98</v>
      </c>
      <c r="Q150" s="76" t="s">
        <v>22</v>
      </c>
      <c r="R150" s="76" t="s">
        <v>23</v>
      </c>
      <c r="S150" s="56"/>
    </row>
    <row r="151" spans="1:26" x14ac:dyDescent="0.2">
      <c r="A151" s="79" t="s">
        <v>99</v>
      </c>
      <c r="B151" s="83">
        <f t="array" aca="1" ref="B151" ca="1">_xll.GetPrice("FP-PNL-0214","Actual","Low",_LATESTvarPubDate)</f>
        <v>1245</v>
      </c>
      <c r="C151" s="83">
        <f t="array" aca="1" ref="C151" ca="1">_xll.GetPrice("FP-PNL-0217","Actual","Low",_LATESTvarPubDate)</f>
        <v>1220</v>
      </c>
      <c r="D151" s="56"/>
      <c r="I151" s="56"/>
      <c r="J151" s="56"/>
      <c r="K151" s="56"/>
      <c r="L151" s="79" t="s">
        <v>100</v>
      </c>
      <c r="M151" s="79" t="s">
        <v>101</v>
      </c>
      <c r="N151" s="79" t="s">
        <v>20</v>
      </c>
      <c r="O151" s="79" t="s">
        <v>23</v>
      </c>
      <c r="P151" s="76" t="s">
        <v>13</v>
      </c>
      <c r="Q151" s="79"/>
      <c r="R151" s="79"/>
      <c r="S151" s="56"/>
    </row>
    <row r="152" spans="1:26" x14ac:dyDescent="0.2">
      <c r="A152" s="79" t="s">
        <v>68</v>
      </c>
      <c r="B152" s="83">
        <f t="array" aca="1" ref="B152" ca="1">_xll.GetPrice("FP-PNL-0215","Actual","Low",_LATESTvarPubDate)</f>
        <v>1265</v>
      </c>
      <c r="C152" s="83">
        <f t="array" aca="1" ref="C152" ca="1">_xll.GetPrice("FP-PNL-0218","Actual","Low",_LATESTvarPubDate)</f>
        <v>1245</v>
      </c>
      <c r="D152" s="56"/>
      <c r="J152" s="56"/>
      <c r="K152" s="79" t="s">
        <v>29</v>
      </c>
      <c r="L152" s="83">
        <f t="array" aca="1" ref="L152" ca="1">_xll.GetPrice("FP-PNL-0301","Actual","Low",_LATESTvarPubDate)</f>
        <v>455</v>
      </c>
      <c r="M152" s="83">
        <f t="array" aca="1" ref="M152" ca="1">_xll.GetPrice("FP-PNL-0305","Actual","Low",_LATESTvarPubDate)</f>
        <v>460</v>
      </c>
      <c r="N152" s="83">
        <f t="array" aca="1" ref="N152" ca="1">_xll.GetPrice("FP-PNL-0309","Actual","Low",_LATESTvarPubDate)</f>
        <v>335</v>
      </c>
      <c r="O152" s="83">
        <f t="array" aca="1" ref="O152" ca="1">_xll.GetPrice("FP-PNL-0315","Actual","Low",_LATESTvarPubDate)</f>
        <v>385</v>
      </c>
      <c r="P152" s="83">
        <f t="array" aca="1" ref="P152" ca="1">_xll.GetPrice("FP-PNL-0321","Actual","Low",_LATESTvarPubDate)</f>
        <v>460</v>
      </c>
      <c r="Q152" s="84" t="s">
        <v>32</v>
      </c>
      <c r="R152" s="84" t="s">
        <v>32</v>
      </c>
      <c r="S152" s="56"/>
    </row>
    <row r="153" spans="1:26" x14ac:dyDescent="0.2">
      <c r="J153" s="56"/>
      <c r="K153" s="79" t="s">
        <v>35</v>
      </c>
      <c r="L153" s="83">
        <f t="array" aca="1" ref="L153" ca="1">_xll.GetPrice("FP-PNL-0302","Actual","Low",_LATESTvarPubDate)</f>
        <v>485</v>
      </c>
      <c r="M153" s="83">
        <f t="array" aca="1" ref="M153" ca="1">_xll.GetPrice("FP-PNL-0306","Actual","Low",_LATESTvarPubDate)</f>
        <v>485</v>
      </c>
      <c r="N153" s="83">
        <f t="array" aca="1" ref="N153" ca="1">_xll.GetPrice("FP-PNL-0310","Actual","Low",_LATESTvarPubDate)</f>
        <v>360</v>
      </c>
      <c r="O153" s="83">
        <f t="array" aca="1" ref="O153" ca="1">_xll.GetPrice("FP-PNL-0316","Actual","Low",_LATESTvarPubDate)</f>
        <v>410</v>
      </c>
      <c r="P153" s="83">
        <f t="array" aca="1" ref="P153" ca="1">_xll.GetPrice("FP-PNL-0322","Actual","Low",_LATESTvarPubDate)</f>
        <v>480</v>
      </c>
      <c r="Q153" s="84" t="s">
        <v>32</v>
      </c>
      <c r="R153" s="84" t="s">
        <v>32</v>
      </c>
    </row>
    <row r="154" spans="1:26" x14ac:dyDescent="0.2">
      <c r="J154" s="56"/>
      <c r="K154" s="79" t="s">
        <v>73</v>
      </c>
      <c r="L154" s="83">
        <f t="array" aca="1" ref="L154" ca="1">_xll.GetPrice("FP-PNL-0303","Actual","Low",_LATESTvarPubDate)</f>
        <v>530</v>
      </c>
      <c r="M154" s="83">
        <f t="array" aca="1" ref="M154" ca="1">_xll.GetPrice("FP-PNL-0307","Actual","Low",_LATESTvarPubDate)</f>
        <v>535</v>
      </c>
      <c r="N154" s="83">
        <f t="array" aca="1" ref="N154" ca="1">_xll.GetPrice("FP-PNL-0311","Actual","Low",_LATESTvarPubDate)</f>
        <v>425</v>
      </c>
      <c r="O154" s="83">
        <f t="array" aca="1" ref="O154" ca="1">_xll.GetPrice("FP-PNL-0317","Actual","Low",_LATESTvarPubDate)</f>
        <v>475</v>
      </c>
      <c r="P154" s="83">
        <f t="array" aca="1" ref="P154" ca="1">_xll.GetPrice("FP-PNL-0323","Actual","Low",_LATESTvarPubDate)</f>
        <v>530</v>
      </c>
      <c r="Q154" s="83">
        <f t="array" aca="1" ref="Q154" ca="1">_xll.GetPrice("FP-PNL-0325","Actual","Low",_LATESTvarPubDate)</f>
        <v>865</v>
      </c>
      <c r="R154" s="83">
        <f t="array" aca="1" ref="R154" ca="1">_xll.GetPrice("FP-PNL-0327","Actual","Low",_LATESTvarPubDate)</f>
        <v>810</v>
      </c>
      <c r="T154" s="56"/>
      <c r="U154" s="56"/>
      <c r="V154" s="56"/>
      <c r="W154" s="56"/>
      <c r="X154" s="56"/>
      <c r="Y154" s="56"/>
      <c r="Z154" s="56"/>
    </row>
    <row r="155" spans="1:26" x14ac:dyDescent="0.2">
      <c r="J155" s="56"/>
      <c r="K155" s="79" t="s">
        <v>102</v>
      </c>
      <c r="L155" s="85" t="s">
        <v>32</v>
      </c>
      <c r="M155" s="85" t="s">
        <v>32</v>
      </c>
      <c r="N155" s="83">
        <f t="array" aca="1" ref="N155" ca="1">_xll.GetPrice("FP-PNL-0312","Actual","Low",_LATESTvarPubDate)</f>
        <v>450</v>
      </c>
      <c r="O155" s="83">
        <f t="array" aca="1" ref="O155" ca="1">_xll.GetPrice("FP-PNL-0318","Actual","Low",_LATESTvarPubDate)</f>
        <v>500</v>
      </c>
      <c r="P155" s="84" t="s">
        <v>32</v>
      </c>
      <c r="Q155" s="84" t="s">
        <v>32</v>
      </c>
      <c r="R155" s="84" t="s">
        <v>32</v>
      </c>
      <c r="S155" s="56"/>
      <c r="T155" s="56"/>
      <c r="U155" s="56"/>
      <c r="V155" s="56"/>
      <c r="W155" s="56"/>
      <c r="X155" s="56"/>
      <c r="Y155" s="56"/>
      <c r="Z155" s="56"/>
    </row>
    <row r="156" spans="1:26" x14ac:dyDescent="0.2">
      <c r="K156" s="79" t="s">
        <v>103</v>
      </c>
      <c r="L156" s="83">
        <f t="array" aca="1" ref="L156" ca="1">_xll.GetPrice("FP-PNL-0304","Actual","Low",_LATESTvarPubDate)</f>
        <v>555</v>
      </c>
      <c r="M156" s="83">
        <f t="array" aca="1" ref="M156" ca="1">_xll.GetPrice("FP-PNL-0308","Actual","Low",_LATESTvarPubDate)</f>
        <v>555</v>
      </c>
      <c r="N156" s="83">
        <f t="array" aca="1" ref="N156" ca="1">_xll.GetPrice("FP-PNL-0313","Actual","Low",_LATESTvarPubDate)</f>
        <v>475</v>
      </c>
      <c r="O156" s="83">
        <f t="array" aca="1" ref="O156" ca="1">_xll.GetPrice("FP-PNL-0319","Actual","Low",_LATESTvarPubDate)</f>
        <v>520</v>
      </c>
      <c r="P156" s="83">
        <f t="array" aca="1" ref="P156" ca="1">_xll.GetPrice("FP-PNL-0324","Actual","Low",_LATESTvarPubDate)</f>
        <v>570</v>
      </c>
      <c r="Q156" s="83">
        <f t="array" aca="1" ref="Q156" ca="1">_xll.GetPrice("FP-PNL-0326","Actual","Low",_LATESTvarPubDate)</f>
        <v>895</v>
      </c>
      <c r="R156" s="83">
        <f t="array" aca="1" ref="R156" ca="1">_xll.GetPrice("FP-PNL-0328","Actual","Low",_LATESTvarPubDate)</f>
        <v>835</v>
      </c>
      <c r="T156" s="56"/>
      <c r="U156" s="56"/>
      <c r="V156" s="56"/>
      <c r="W156" s="56"/>
      <c r="X156" s="56"/>
      <c r="Y156" s="56"/>
      <c r="Z156" s="56"/>
    </row>
    <row r="157" spans="1:26" x14ac:dyDescent="0.2">
      <c r="K157" s="79" t="s">
        <v>67</v>
      </c>
      <c r="L157" s="85" t="s">
        <v>32</v>
      </c>
      <c r="M157" s="85" t="s">
        <v>32</v>
      </c>
      <c r="N157" s="83">
        <f t="array" aca="1" ref="N157" ca="1">_xll.GetPrice("FP-PNL-0314","Actual","Low",_LATESTvarPubDate)</f>
        <v>685</v>
      </c>
      <c r="O157" s="83">
        <f t="array" aca="1" ref="O157" ca="1">_xll.GetPrice("FP-PNL-0320","Actual","Low",_LATESTvarPubDate)</f>
        <v>730</v>
      </c>
      <c r="P157" s="85" t="s">
        <v>32</v>
      </c>
      <c r="Q157" s="85" t="s">
        <v>32</v>
      </c>
      <c r="R157" s="85" t="s">
        <v>32</v>
      </c>
      <c r="T157" s="56"/>
      <c r="U157" s="56"/>
      <c r="V157" s="56"/>
      <c r="W157" s="56"/>
      <c r="X157" s="56"/>
      <c r="Y157" s="56"/>
      <c r="Z157" s="56"/>
    </row>
    <row r="158" spans="1:26" x14ac:dyDescent="0.2">
      <c r="A158" s="56"/>
      <c r="B158" s="56"/>
      <c r="C158" s="56"/>
      <c r="D158" s="56"/>
      <c r="E158" s="56"/>
      <c r="F158" s="56"/>
      <c r="G158" s="56"/>
      <c r="H158" s="56"/>
      <c r="I158" s="56"/>
      <c r="J158" s="56"/>
      <c r="T158" s="56"/>
      <c r="U158" s="56"/>
      <c r="V158" s="56"/>
      <c r="W158" s="56"/>
      <c r="X158" s="56"/>
      <c r="Y158" s="56"/>
      <c r="Z158" s="56"/>
    </row>
    <row r="159" spans="1:26" x14ac:dyDescent="0.2">
      <c r="A159" s="56"/>
      <c r="B159" s="56"/>
      <c r="C159" s="56"/>
      <c r="D159" s="56"/>
      <c r="E159" s="56"/>
      <c r="F159" s="56"/>
      <c r="G159" s="56"/>
      <c r="H159" s="56"/>
      <c r="I159" s="56"/>
      <c r="J159" s="56"/>
      <c r="S159" s="56"/>
    </row>
    <row r="160" spans="1:26" x14ac:dyDescent="0.2">
      <c r="K160" s="76" t="s">
        <v>104</v>
      </c>
    </row>
    <row r="161" spans="1:18" x14ac:dyDescent="0.2">
      <c r="L161" s="79" t="s">
        <v>29</v>
      </c>
      <c r="M161" s="79" t="s">
        <v>35</v>
      </c>
      <c r="N161" s="79" t="s">
        <v>73</v>
      </c>
      <c r="O161" s="79" t="s">
        <v>103</v>
      </c>
      <c r="Q161" s="56"/>
      <c r="R161" s="56"/>
    </row>
    <row r="162" spans="1:18" x14ac:dyDescent="0.2">
      <c r="K162" s="79" t="s">
        <v>22</v>
      </c>
      <c r="L162" s="83">
        <f t="array" aca="1" ref="L162" ca="1">_xll.GetPrice("FP-PNL-0329","Actual","Low",_LATESTvarPubDate)</f>
        <v>700</v>
      </c>
      <c r="M162" s="83">
        <f t="array" aca="1" ref="M162" ca="1">_xll.GetPrice("FP-PNL-0330","Actual","Low",_LATESTvarPubDate)</f>
        <v>755</v>
      </c>
      <c r="N162" s="83">
        <f t="array" aca="1" ref="N162" ca="1">_xll.GetPrice("FP-PNL-0331","Actual","Low",_LATESTvarPubDate)</f>
        <v>845</v>
      </c>
      <c r="O162" s="83">
        <f t="array" aca="1" ref="O162" ca="1">_xll.GetPrice("FP-PNL-0332","Actual","Low",_LATESTvarPubDate)</f>
        <v>915</v>
      </c>
      <c r="P162" s="56"/>
    </row>
    <row r="163" spans="1:18" x14ac:dyDescent="0.2">
      <c r="K163" s="79" t="s">
        <v>23</v>
      </c>
      <c r="L163" s="83">
        <f t="array" aca="1" ref="L163" ca="1">_xll.GetPrice("FP-PNL-0333","Actual","Low",_LATESTvarPubDate)</f>
        <v>665</v>
      </c>
      <c r="M163" s="83">
        <f t="array" aca="1" ref="M163" ca="1">_xll.GetPrice("FP-PNL-0334","Actual","Low",_LATESTvarPubDate)</f>
        <v>720</v>
      </c>
      <c r="N163" s="83">
        <f t="array" aca="1" ref="N163" ca="1">_xll.GetPrice("FP-PNL-0335","Actual","Low",_LATESTvarPubDate)</f>
        <v>825</v>
      </c>
      <c r="O163" s="83">
        <f t="array" aca="1" ref="O163" ca="1">_xll.GetPrice("FP-PNL-0336","Actual","Low",_LATESTvarPubDate)</f>
        <v>875</v>
      </c>
    </row>
    <row r="167" spans="1:18" x14ac:dyDescent="0.2">
      <c r="A167" s="56"/>
      <c r="B167" s="56"/>
      <c r="C167" s="56"/>
      <c r="D167" s="56"/>
      <c r="E167" s="56"/>
      <c r="F167" s="56"/>
      <c r="G167" s="56"/>
      <c r="H167" s="56"/>
      <c r="I167" s="56"/>
      <c r="J167" s="56"/>
    </row>
    <row r="177" spans="21:26" x14ac:dyDescent="0.2">
      <c r="U177" s="56"/>
      <c r="V177" s="56"/>
      <c r="W177" s="56"/>
      <c r="X177" s="56"/>
      <c r="Y177" s="56"/>
      <c r="Z177" s="56"/>
    </row>
    <row r="178" spans="21:26" x14ac:dyDescent="0.2">
      <c r="U178" s="56"/>
      <c r="V178" s="56"/>
      <c r="W178" s="56"/>
      <c r="X178" s="56"/>
      <c r="Y178" s="56"/>
      <c r="Z178" s="56"/>
    </row>
    <row r="179" spans="21:26" x14ac:dyDescent="0.2">
      <c r="U179" s="56"/>
      <c r="V179" s="56"/>
      <c r="W179" s="56"/>
      <c r="X179" s="56"/>
      <c r="Y179" s="56"/>
      <c r="Z179" s="56"/>
    </row>
    <row r="180" spans="21:26" x14ac:dyDescent="0.2">
      <c r="U180" s="56"/>
      <c r="V180" s="56"/>
      <c r="W180" s="56"/>
      <c r="X180" s="56"/>
      <c r="Y180" s="56"/>
      <c r="Z180" s="56"/>
    </row>
    <row r="181" spans="21:26" x14ac:dyDescent="0.2">
      <c r="U181" s="56"/>
      <c r="V181" s="56"/>
      <c r="W181" s="56"/>
      <c r="X181" s="56"/>
      <c r="Y181" s="56"/>
      <c r="Z181" s="56"/>
    </row>
    <row r="182" spans="21:26" x14ac:dyDescent="0.2">
      <c r="U182" s="56"/>
      <c r="V182" s="56"/>
      <c r="W182" s="56"/>
      <c r="X182" s="56"/>
      <c r="Y182" s="56"/>
      <c r="Z182" s="56"/>
    </row>
    <row r="183" spans="21:26" x14ac:dyDescent="0.2">
      <c r="U183" s="56"/>
      <c r="V183" s="56"/>
      <c r="W183" s="56"/>
      <c r="X183" s="56"/>
      <c r="Y183" s="56"/>
      <c r="Z183" s="56"/>
    </row>
    <row r="184" spans="21:26" x14ac:dyDescent="0.2">
      <c r="U184" s="56"/>
      <c r="V184" s="56"/>
      <c r="W184" s="56"/>
      <c r="X184" s="56"/>
      <c r="Y184" s="56"/>
      <c r="Z184" s="56"/>
    </row>
    <row r="185" spans="21:26" x14ac:dyDescent="0.2">
      <c r="U185" s="56"/>
      <c r="V185" s="56"/>
      <c r="W185" s="56"/>
      <c r="X185" s="56"/>
      <c r="Y185" s="56"/>
      <c r="Z185" s="56"/>
    </row>
    <row r="186" spans="21:26" x14ac:dyDescent="0.2">
      <c r="U186" s="56"/>
      <c r="V186" s="56"/>
      <c r="W186" s="56"/>
      <c r="X186" s="56"/>
      <c r="Y186" s="56"/>
      <c r="Z186" s="56"/>
    </row>
    <row r="187" spans="21:26" x14ac:dyDescent="0.2">
      <c r="U187" s="56"/>
      <c r="V187" s="56"/>
      <c r="W187" s="56"/>
      <c r="X187" s="56"/>
      <c r="Y187" s="56"/>
      <c r="Z187" s="56"/>
    </row>
    <row r="188" spans="21:26" x14ac:dyDescent="0.2">
      <c r="U188" s="56"/>
      <c r="V188" s="56"/>
      <c r="W188" s="56"/>
      <c r="X188" s="56"/>
      <c r="Y188" s="56"/>
      <c r="Z188" s="56"/>
    </row>
    <row r="189" spans="21:26" x14ac:dyDescent="0.2">
      <c r="U189" s="56"/>
      <c r="V189" s="56"/>
      <c r="W189" s="56"/>
      <c r="X189" s="56"/>
      <c r="Y189" s="56"/>
      <c r="Z189" s="56"/>
    </row>
    <row r="190" spans="21:26" x14ac:dyDescent="0.2">
      <c r="U190" s="56"/>
      <c r="V190" s="56"/>
      <c r="W190" s="56"/>
      <c r="X190" s="56"/>
      <c r="Y190" s="56"/>
      <c r="Z190" s="56"/>
    </row>
    <row r="191" spans="21:26" x14ac:dyDescent="0.2">
      <c r="U191" s="56"/>
      <c r="V191" s="56"/>
      <c r="W191" s="56"/>
      <c r="X191" s="56"/>
      <c r="Y191" s="56"/>
      <c r="Z191" s="56"/>
    </row>
    <row r="192" spans="21:26" x14ac:dyDescent="0.2">
      <c r="U192" s="56"/>
      <c r="V192" s="56"/>
      <c r="W192" s="56"/>
      <c r="X192" s="56"/>
      <c r="Y192" s="56"/>
      <c r="Z192" s="56"/>
    </row>
    <row r="193" spans="1:26" x14ac:dyDescent="0.2">
      <c r="U193" s="56"/>
      <c r="V193" s="56"/>
      <c r="W193" s="56"/>
      <c r="X193" s="56"/>
      <c r="Y193" s="56"/>
      <c r="Z193" s="56"/>
    </row>
    <row r="194" spans="1:26" x14ac:dyDescent="0.2">
      <c r="U194" s="56"/>
      <c r="V194" s="56"/>
      <c r="W194" s="56"/>
      <c r="X194" s="56"/>
      <c r="Y194" s="56"/>
      <c r="Z194" s="56"/>
    </row>
    <row r="195" spans="1:26" x14ac:dyDescent="0.2">
      <c r="U195" s="56"/>
      <c r="V195" s="56"/>
      <c r="W195" s="56"/>
      <c r="X195" s="56"/>
      <c r="Y195" s="56"/>
      <c r="Z195" s="56"/>
    </row>
    <row r="196" spans="1:26" x14ac:dyDescent="0.2">
      <c r="U196" s="56"/>
      <c r="V196" s="56"/>
      <c r="W196" s="56"/>
      <c r="X196" s="56"/>
      <c r="Y196" s="56"/>
      <c r="Z196" s="56"/>
    </row>
    <row r="197" spans="1:26" x14ac:dyDescent="0.2">
      <c r="U197" s="56"/>
      <c r="V197" s="56"/>
      <c r="W197" s="56"/>
      <c r="X197" s="56"/>
      <c r="Y197" s="56"/>
      <c r="Z197" s="56"/>
    </row>
    <row r="198" spans="1:26" x14ac:dyDescent="0.2">
      <c r="U198" s="56"/>
      <c r="V198" s="56"/>
      <c r="W198" s="56"/>
      <c r="X198" s="56"/>
      <c r="Y198" s="56"/>
      <c r="Z198" s="56"/>
    </row>
    <row r="201" spans="1:26" ht="15" x14ac:dyDescent="0.2">
      <c r="A201" s="69">
        <f ca="1">_LATESTvarPubDate</f>
        <v>45849.444976851853</v>
      </c>
      <c r="B201" s="70" t="str">
        <f>$A$1</f>
        <v>RANDOM LENGTHS PANEL REPORT</v>
      </c>
      <c r="C201" s="71"/>
      <c r="D201" s="71"/>
      <c r="E201" s="71"/>
      <c r="F201" s="71"/>
      <c r="G201" s="71"/>
      <c r="H201" s="72" t="s">
        <v>105</v>
      </c>
    </row>
    <row r="205" spans="1:26" x14ac:dyDescent="0.2">
      <c r="A205" s="73" t="s">
        <v>106</v>
      </c>
      <c r="K205" s="73" t="s">
        <v>107</v>
      </c>
      <c r="L205" s="73"/>
      <c r="M205" s="73"/>
    </row>
    <row r="206" spans="1:26" x14ac:dyDescent="0.2">
      <c r="A206" s="76" t="s">
        <v>41</v>
      </c>
      <c r="K206" s="76" t="s">
        <v>108</v>
      </c>
      <c r="L206" s="76"/>
      <c r="M206" s="76"/>
    </row>
    <row r="207" spans="1:26" x14ac:dyDescent="0.2">
      <c r="F207" s="99" t="s">
        <v>109</v>
      </c>
      <c r="G207" s="99"/>
    </row>
    <row r="208" spans="1:26" x14ac:dyDescent="0.2">
      <c r="B208" s="79" t="s">
        <v>29</v>
      </c>
      <c r="C208" s="79" t="s">
        <v>30</v>
      </c>
      <c r="D208" s="79" t="s">
        <v>33</v>
      </c>
      <c r="E208" s="79" t="s">
        <v>35</v>
      </c>
      <c r="F208" s="79" t="s">
        <v>110</v>
      </c>
      <c r="G208" s="79" t="s">
        <v>111</v>
      </c>
      <c r="L208" s="79" t="s">
        <v>112</v>
      </c>
      <c r="M208" s="79" t="s">
        <v>113</v>
      </c>
      <c r="N208" s="79" t="s">
        <v>114</v>
      </c>
      <c r="O208" s="79" t="s">
        <v>115</v>
      </c>
      <c r="P208" s="79" t="s">
        <v>116</v>
      </c>
      <c r="Q208" s="79" t="s">
        <v>117</v>
      </c>
      <c r="R208" s="79" t="s">
        <v>118</v>
      </c>
      <c r="S208" s="79" t="s">
        <v>119</v>
      </c>
    </row>
    <row r="209" spans="1:19" x14ac:dyDescent="0.2">
      <c r="A209" s="90" t="s">
        <v>120</v>
      </c>
      <c r="B209" s="83">
        <f t="array" aca="1" ref="B209" ca="1">_xll.GetPrice("FP-PNL-0055","Actual","Low",_LATESTvarPubDate)</f>
        <v>340</v>
      </c>
      <c r="C209" s="83">
        <f t="array" aca="1" ref="C209" ca="1">_xll.GetPrice("FP-PNL-0056","Actual","Low",_LATESTvarPubDate)</f>
        <v>340</v>
      </c>
      <c r="D209" s="83">
        <f t="array" aca="1" ref="D209" ca="1">_xll.GetPrice("FP-PNL-0057","Actual","Low",_LATESTvarPubDate)</f>
        <v>370</v>
      </c>
      <c r="E209" s="83">
        <f t="array" aca="1" ref="E209" ca="1">_xll.GetPrice("FP-PNL-0058","Actual","Low",_LATESTvarPubDate)</f>
        <v>390</v>
      </c>
      <c r="F209" s="83">
        <f t="array" aca="1" ref="F209" ca="1">_xll.GetPrice("FP-PNL-0059","Actual","Low",_LATESTvarPubDate)</f>
        <v>510</v>
      </c>
      <c r="G209" s="83">
        <f t="array" aca="1" ref="G209" ca="1">_xll.GetPrice("FP-PNL-0060","Actual","Low",_LATESTvarPubDate)</f>
        <v>625</v>
      </c>
      <c r="K209" s="79" t="s">
        <v>121</v>
      </c>
      <c r="L209" s="83">
        <f t="array" aca="1" ref="L209" ca="1">_xll.GetPrice("FP-PNL-0421","Actual","Low",_LATESTvarPubDate)</f>
        <v>618</v>
      </c>
      <c r="M209" s="83">
        <f t="array" aca="1" ref="M209" ca="1">_xll.GetPrice("FP-PNL-0426","Actual","Low",_LATESTvarPubDate)</f>
        <v>633</v>
      </c>
      <c r="N209" s="83">
        <f t="array" aca="1" ref="N209" ca="1">_xll.GetPrice("FP-PNL-0431","Actual","Low",_LATESTvarPubDate)</f>
        <v>648</v>
      </c>
      <c r="O209" s="83">
        <f t="array" aca="1" ref="O209" ca="1">_xll.GetPrice("FP-PNL-0436","Actual","Low",_LATESTvarPubDate)</f>
        <v>658</v>
      </c>
      <c r="P209" s="83">
        <f t="array" aca="1" ref="P209" ca="1">_xll.GetPrice("FP-PNL-0337","Actual","Low",_LATESTvarPubDate)</f>
        <v>651</v>
      </c>
      <c r="Q209" s="83">
        <f t="array" aca="1" ref="Q209" ca="1">_xll.GetPrice("FP-PNL-0445","Actual","Low",_LATESTvarPubDate)</f>
        <v>661</v>
      </c>
      <c r="R209" s="83">
        <f t="array" aca="1" ref="R209" ca="1">_xll.GetPrice("FP-PNL-0450","Actual","Low",_LATESTvarPubDate)</f>
        <v>686</v>
      </c>
      <c r="S209" s="83">
        <f t="array" aca="1" ref="S209" ca="1">_xll.GetPrice("FP-PNL-0455","Actual","Low",_LATESTvarPubDate)</f>
        <v>696</v>
      </c>
    </row>
    <row r="210" spans="1:19" x14ac:dyDescent="0.2">
      <c r="A210" s="90" t="s">
        <v>122</v>
      </c>
      <c r="B210" s="83">
        <f t="array" aca="1" ref="B210" ca="1">_xll.GetPrice("FP-PNL-0061","Actual","Low",_LATESTvarPubDate)</f>
        <v>330</v>
      </c>
      <c r="C210" s="83">
        <f t="array" aca="1" ref="C210" ca="1">_xll.GetPrice("FP-PNL-0062","Actual","Low",_LATESTvarPubDate)</f>
        <v>330</v>
      </c>
      <c r="D210" s="83">
        <f t="array" aca="1" ref="D210" ca="1">_xll.GetPrice("FP-PNL-0063","Actual","Low",_LATESTvarPubDate)</f>
        <v>360</v>
      </c>
      <c r="E210" s="83">
        <f t="array" aca="1" ref="E210" ca="1">_xll.GetPrice("FP-PNL-0064","Actual","Low",_LATESTvarPubDate)</f>
        <v>380</v>
      </c>
      <c r="F210" s="83">
        <f t="array" aca="1" ref="F210" ca="1">_xll.GetPrice("FP-PNL-0065","Actual","Low",_LATESTvarPubDate)</f>
        <v>505</v>
      </c>
      <c r="G210" s="83">
        <f t="array" aca="1" ref="G210" ca="1">_xll.GetPrice("FP-PNL-0066","Actual","Low",_LATESTvarPubDate)</f>
        <v>620</v>
      </c>
      <c r="K210" s="79" t="s">
        <v>123</v>
      </c>
      <c r="L210" s="83">
        <f t="array" aca="1" ref="L210" ca="1">_xll.GetPrice("FP-PNL-0422","Actual","Low",_LATESTvarPubDate)</f>
        <v>824</v>
      </c>
      <c r="M210" s="83">
        <f t="array" aca="1" ref="M210" ca="1">_xll.GetPrice("FP-PNL-0427","Actual","Low",_LATESTvarPubDate)</f>
        <v>844</v>
      </c>
      <c r="N210" s="83">
        <f t="array" aca="1" ref="N210" ca="1">_xll.GetPrice("FP-PNL-0432","Actual","Low",_LATESTvarPubDate)</f>
        <v>864</v>
      </c>
      <c r="O210" s="83">
        <f t="array" aca="1" ref="O210" ca="1">_xll.GetPrice("FP-PNL-0437","Actual","Low",_LATESTvarPubDate)</f>
        <v>877</v>
      </c>
      <c r="P210" s="83">
        <f t="array" aca="1" ref="P210" ca="1">_xll.GetPrice("FP-PNL-0441","Actual","Low",_LATESTvarPubDate)</f>
        <v>868</v>
      </c>
      <c r="Q210" s="83">
        <f t="array" aca="1" ref="Q210" ca="1">_xll.GetPrice("FP-PNL-0446","Actual","Low",_LATESTvarPubDate)</f>
        <v>881</v>
      </c>
      <c r="R210" s="83">
        <f t="array" aca="1" ref="R210" ca="1">_xll.GetPrice("FP-PNL-0451","Actual","Low",_LATESTvarPubDate)</f>
        <v>915</v>
      </c>
      <c r="S210" s="83">
        <f t="array" aca="1" ref="S210" ca="1">_xll.GetPrice("FP-PNL-0456","Actual","Low",_LATESTvarPubDate)</f>
        <v>928</v>
      </c>
    </row>
    <row r="211" spans="1:19" x14ac:dyDescent="0.2">
      <c r="A211" s="90" t="s">
        <v>124</v>
      </c>
      <c r="B211" s="83">
        <f t="array" aca="1" ref="B211" ca="1">_xll.GetPrice("FP-PNL-0067","Actual","Low",_LATESTvarPubDate)</f>
        <v>340</v>
      </c>
      <c r="C211" s="83">
        <f t="array" aca="1" ref="C211" ca="1">_xll.GetPrice("FP-PNL-0068","Actual","Low",_LATESTvarPubDate)</f>
        <v>340</v>
      </c>
      <c r="D211" s="83">
        <f t="array" aca="1" ref="D211" ca="1">_xll.GetPrice("FP-PNL-0069","Actual","Low",_LATESTvarPubDate)</f>
        <v>370</v>
      </c>
      <c r="E211" s="83">
        <f t="array" aca="1" ref="E211" ca="1">_xll.GetPrice("FP-PNL-0070","Actual","Low",_LATESTvarPubDate)</f>
        <v>390</v>
      </c>
      <c r="F211" s="83">
        <f t="array" aca="1" ref="F211" ca="1">_xll.GetPrice("FP-PNL-0071","Actual","Low",_LATESTvarPubDate)</f>
        <v>510</v>
      </c>
      <c r="G211" s="83">
        <f t="array" aca="1" ref="G211" ca="1">_xll.GetPrice("FP-PNL-0072","Actual","Low",_LATESTvarPubDate)</f>
        <v>630</v>
      </c>
      <c r="K211" s="79" t="s">
        <v>125</v>
      </c>
      <c r="L211" s="83">
        <f t="array" aca="1" ref="L211" ca="1">_xll.GetPrice("FP-PNL-0423","Actual","Low",_LATESTvarPubDate)</f>
        <v>1030</v>
      </c>
      <c r="M211" s="83">
        <f t="array" aca="1" ref="M211" ca="1">_xll.GetPrice("FP-PNL-0428","Actual","Low",_LATESTvarPubDate)</f>
        <v>1055</v>
      </c>
      <c r="N211" s="83">
        <f t="array" aca="1" ref="N211" ca="1">_xll.GetPrice("FP-PNL-0433","Actual","Low",_LATESTvarPubDate)</f>
        <v>1080</v>
      </c>
      <c r="O211" s="83">
        <f t="array" aca="1" ref="O211" ca="1">_xll.GetPrice("FP-PNL-0438","Actual","Low",_LATESTvarPubDate)</f>
        <v>1097</v>
      </c>
      <c r="P211" s="83">
        <f t="array" aca="1" ref="P211" ca="1">_xll.GetPrice("FP-PNL-0442","Actual","Low",_LATESTvarPubDate)</f>
        <v>1085</v>
      </c>
      <c r="Q211" s="83">
        <f t="array" aca="1" ref="Q211" ca="1">_xll.GetPrice("FP-PNL-0447","Actual","Low",_LATESTvarPubDate)</f>
        <v>1102</v>
      </c>
      <c r="R211" s="83">
        <f t="array" aca="1" ref="R211" ca="1">_xll.GetPrice("FP-PNL-0452","Actual","Low",_LATESTvarPubDate)</f>
        <v>1143</v>
      </c>
      <c r="S211" s="83">
        <f t="array" aca="1" ref="S211" ca="1">_xll.GetPrice("FP-PNL-0457","Actual","Low",_LATESTvarPubDate)</f>
        <v>1160</v>
      </c>
    </row>
    <row r="212" spans="1:19" x14ac:dyDescent="0.2">
      <c r="A212" s="90" t="s">
        <v>126</v>
      </c>
      <c r="B212" s="83">
        <f t="array" aca="1" ref="B212" ca="1">_xll.GetPrice("FP-PNL-0073","Actual","Low",_LATESTvarPubDate)</f>
        <v>315</v>
      </c>
      <c r="C212" s="83">
        <f t="array" aca="1" ref="C212" ca="1">_xll.GetPrice("FP-PNL-0074","Actual","Low",_LATESTvarPubDate)</f>
        <v>315</v>
      </c>
      <c r="D212" s="83">
        <f t="array" aca="1" ref="D212" ca="1">_xll.GetPrice("FP-PNL-0075","Actual","Low",_LATESTvarPubDate)</f>
        <v>345</v>
      </c>
      <c r="E212" s="83">
        <f t="array" aca="1" ref="E212" ca="1">_xll.GetPrice("FP-PNL-0076","Actual","Low",_LATESTvarPubDate)</f>
        <v>365</v>
      </c>
      <c r="F212" s="83">
        <f t="array" aca="1" ref="F212" ca="1">_xll.GetPrice("FP-PNL-0077","Actual","Low",_LATESTvarPubDate)</f>
        <v>495</v>
      </c>
      <c r="G212" s="83">
        <f t="array" aca="1" ref="G212" ca="1">_xll.GetPrice("FP-PNL-0078","Actual","Low",_LATESTvarPubDate)</f>
        <v>615</v>
      </c>
      <c r="K212" s="79" t="s">
        <v>127</v>
      </c>
      <c r="L212" s="83">
        <f t="array" aca="1" ref="L212" ca="1">_xll.GetPrice("FP-PNL-0424","Actual","Low",_LATESTvarPubDate)</f>
        <v>1236</v>
      </c>
      <c r="M212" s="83">
        <f t="array" aca="1" ref="M212" ca="1">_xll.GetPrice("FP-PNL-0429","Actual","Low",_LATESTvarPubDate)</f>
        <v>1266</v>
      </c>
      <c r="N212" s="83">
        <f t="array" aca="1" ref="N212" ca="1">_xll.GetPrice("FP-PNL-0434","Actual","Low",_LATESTvarPubDate)</f>
        <v>1296</v>
      </c>
      <c r="O212" s="83">
        <f t="array" aca="1" ref="O212" ca="1">_xll.GetPrice("FP-PNL-0439","Actual","Low",_LATESTvarPubDate)</f>
        <v>1316</v>
      </c>
      <c r="P212" s="83">
        <f t="array" aca="1" ref="P212" ca="1">_xll.GetPrice("FP-PNL-0443","Actual","Low",_LATESTvarPubDate)</f>
        <v>1302</v>
      </c>
      <c r="Q212" s="83">
        <f t="array" aca="1" ref="Q212" ca="1">_xll.GetPrice("FP-PNL-0448","Actual","Low",_LATESTvarPubDate)</f>
        <v>1322</v>
      </c>
      <c r="R212" s="83">
        <f t="array" aca="1" ref="R212" ca="1">_xll.GetPrice("FP-PNL-0453","Actual","Low",_LATESTvarPubDate)</f>
        <v>1372</v>
      </c>
      <c r="S212" s="83">
        <f t="array" aca="1" ref="S212" ca="1">_xll.GetPrice("FP-PNL-0458","Actual","Low",_LATESTvarPubDate)</f>
        <v>1392</v>
      </c>
    </row>
    <row r="213" spans="1:19" x14ac:dyDescent="0.2">
      <c r="A213" s="90" t="s">
        <v>128</v>
      </c>
      <c r="B213" s="83">
        <f t="array" aca="1" ref="B213" ca="1">_xll.GetPrice("FP-PNL-0079","Actual","Low",_LATESTvarPubDate)</f>
        <v>325</v>
      </c>
      <c r="C213" s="83">
        <f t="array" aca="1" ref="C213" ca="1">_xll.GetPrice("FP-PNL-0080","Actual","Low",_LATESTvarPubDate)</f>
        <v>325</v>
      </c>
      <c r="D213" s="83">
        <f t="array" aca="1" ref="D213" ca="1">_xll.GetPrice("FP-PNL-0081","Actual","Low",_LATESTvarPubDate)</f>
        <v>355</v>
      </c>
      <c r="E213" s="83">
        <f t="array" aca="1" ref="E213" ca="1">_xll.GetPrice("FP-PNL-0082","Actual","Low",_LATESTvarPubDate)</f>
        <v>375</v>
      </c>
      <c r="F213" s="83">
        <f t="array" aca="1" ref="F213" ca="1">_xll.GetPrice("FP-PNL-0083","Actual","Low",_LATESTvarPubDate)</f>
        <v>500</v>
      </c>
      <c r="G213" s="83">
        <f t="array" aca="1" ref="G213" ca="1">_xll.GetPrice("FP-PNL-0084","Actual","Low",_LATESTvarPubDate)</f>
        <v>620</v>
      </c>
      <c r="K213" s="79" t="s">
        <v>129</v>
      </c>
      <c r="L213" s="83">
        <f t="array" aca="1" ref="L213" ca="1">_xll.GetPrice("FP-PNL-0425","Actual","Low",_LATESTvarPubDate)</f>
        <v>1870</v>
      </c>
      <c r="M213" s="83">
        <f t="array" aca="1" ref="M213" ca="1">_xll.GetPrice("FP-PNL-0430","Actual","Low",_LATESTvarPubDate)</f>
        <v>1911</v>
      </c>
      <c r="N213" s="83">
        <f t="array" aca="1" ref="N213" ca="1">_xll.GetPrice("FP-PNL-0435","Actual","Low",_LATESTvarPubDate)</f>
        <v>1951</v>
      </c>
      <c r="O213" s="83">
        <f t="array" aca="1" ref="O213" ca="1">_xll.GetPrice("FP-PNL-0440","Actual","Low",_LATESTvarPubDate)</f>
        <v>1977</v>
      </c>
      <c r="P213" s="83">
        <f t="array" aca="1" ref="P213" ca="1">_xll.GetPrice("FP-PNL-0444","Actual","Low",_LATESTvarPubDate)</f>
        <v>1953</v>
      </c>
      <c r="Q213" s="83">
        <f t="array" aca="1" ref="Q213" ca="1">_xll.GetPrice("FP-PNL-0449","Actual","Low",_LATESTvarPubDate)</f>
        <v>1980</v>
      </c>
      <c r="R213" s="83">
        <f t="array" aca="1" ref="R213" ca="1">_xll.GetPrice("FP-PNL-0454","Actual","Low",_LATESTvarPubDate)</f>
        <v>2046</v>
      </c>
      <c r="S213" s="83">
        <f t="array" aca="1" ref="S213" ca="1">_xll.GetPrice("FP-PNL-0459","Actual","Low",_LATESTvarPubDate)</f>
        <v>2073</v>
      </c>
    </row>
    <row r="214" spans="1:19" x14ac:dyDescent="0.2">
      <c r="A214" s="90" t="s">
        <v>130</v>
      </c>
      <c r="B214" s="83">
        <f t="array" aca="1" ref="B214" ca="1">_xll.GetPrice("FP-PNL-0085","Actual","Low",_LATESTvarPubDate)</f>
        <v>330</v>
      </c>
      <c r="C214" s="83">
        <f t="array" aca="1" ref="C214" ca="1">_xll.GetPrice("FP-PNL-0086","Actual","Low",_LATESTvarPubDate)</f>
        <v>335</v>
      </c>
      <c r="D214" s="83">
        <f t="array" aca="1" ref="D214" ca="1">_xll.GetPrice("FP-PNL-0087","Actual","Low",_LATESTvarPubDate)</f>
        <v>355</v>
      </c>
      <c r="E214" s="83">
        <f t="array" aca="1" ref="E214" ca="1">_xll.GetPrice("FP-PNL-0088","Actual","Low",_LATESTvarPubDate)</f>
        <v>375</v>
      </c>
      <c r="F214" s="83">
        <f t="array" aca="1" ref="F214" ca="1">_xll.GetPrice("FP-PNL-0089","Actual","Low",_LATESTvarPubDate)</f>
        <v>510</v>
      </c>
      <c r="G214" s="83">
        <f t="array" aca="1" ref="G214" ca="1">_xll.GetPrice("FP-PNL-0090","Actual","Low",_LATESTvarPubDate)</f>
        <v>620</v>
      </c>
      <c r="K214" s="86" t="s">
        <v>131</v>
      </c>
      <c r="M214" s="83">
        <f t="array" aca="1" ref="M214" ca="1">_xll.GetPrice("FP-PNL-0339","Actual","Low",_LATESTvarPubDate)</f>
        <v>60</v>
      </c>
    </row>
    <row r="215" spans="1:19" x14ac:dyDescent="0.2">
      <c r="A215" s="90" t="s">
        <v>132</v>
      </c>
      <c r="B215" s="83">
        <f t="array" aca="1" ref="B215" ca="1">_xll.GetPrice("FP-PNL-0091","Actual","Low",_LATESTvarPubDate)</f>
        <v>360</v>
      </c>
      <c r="C215" s="83">
        <f t="array" aca="1" ref="C215" ca="1">_xll.GetPrice("FP-PNL-0092","Actual","Low",_LATESTvarPubDate)</f>
        <v>360</v>
      </c>
      <c r="D215" s="83">
        <f t="array" aca="1" ref="D215" ca="1">_xll.GetPrice("FP-PNL-0093","Actual","Low",_LATESTvarPubDate)</f>
        <v>380</v>
      </c>
      <c r="E215" s="83">
        <f t="array" aca="1" ref="E215" ca="1">_xll.GetPrice("FP-PNL-0094","Actual","Low",_LATESTvarPubDate)</f>
        <v>400</v>
      </c>
      <c r="F215" s="83">
        <f t="array" aca="1" ref="F215" ca="1">_xll.GetPrice("FP-PNL-0095","Actual","Low",_LATESTvarPubDate)</f>
        <v>555</v>
      </c>
      <c r="G215" s="83">
        <f t="array" aca="1" ref="G215" ca="1">_xll.GetPrice("FP-PNL-0096","Actual","Low",_LATESTvarPubDate)</f>
        <v>660</v>
      </c>
      <c r="K215" s="86" t="s">
        <v>133</v>
      </c>
      <c r="M215" s="83">
        <f t="array" aca="1" ref="M215" ca="1">_xll.GetPrice("FP-PNL-0340","Actual","Low",_LATESTvarPubDate)</f>
        <v>20</v>
      </c>
    </row>
    <row r="216" spans="1:19" x14ac:dyDescent="0.2">
      <c r="A216" s="90" t="s">
        <v>134</v>
      </c>
      <c r="B216" s="83">
        <f t="array" aca="1" ref="B216" ca="1">_xll.GetPrice("FP-PNL-0097","Actual","Low",_LATESTvarPubDate)</f>
        <v>377</v>
      </c>
      <c r="C216" s="83">
        <f t="array" aca="1" ref="C216" ca="1">_xll.GetPrice("FP-PNL-0098","Actual","Low",_LATESTvarPubDate)</f>
        <v>377</v>
      </c>
      <c r="D216" s="83">
        <f t="array" aca="1" ref="D216" ca="1">_xll.GetPrice("FP-PNL-0099","Actual","Low",_LATESTvarPubDate)</f>
        <v>402</v>
      </c>
      <c r="E216" s="83">
        <f t="array" aca="1" ref="E216" ca="1">_xll.GetPrice("FP-PNL-0100","Actual","Low",_LATESTvarPubDate)</f>
        <v>422</v>
      </c>
      <c r="F216" s="83">
        <f t="array" aca="1" ref="F216" ca="1">_xll.GetPrice("FP-PNL-0101","Actual","Low",_LATESTvarPubDate)</f>
        <v>574</v>
      </c>
      <c r="G216" s="83">
        <f t="array" aca="1" ref="G216" ca="1">_xll.GetPrice("FP-PNL-0102","Actual","Low",_LATESTvarPubDate)</f>
        <v>679</v>
      </c>
    </row>
    <row r="217" spans="1:19" x14ac:dyDescent="0.2">
      <c r="A217" s="90" t="s">
        <v>135</v>
      </c>
      <c r="B217" s="83">
        <f t="array" aca="1" ref="B217" ca="1">_xll.GetPrice("FP-PNL-0103","Actual","Low",_LATESTvarPubDate)</f>
        <v>382</v>
      </c>
      <c r="C217" s="83">
        <f t="array" aca="1" ref="C217" ca="1">_xll.GetPrice("FP-PNL-0104","Actual","Low",_LATESTvarPubDate)</f>
        <v>382</v>
      </c>
      <c r="D217" s="83">
        <f t="array" aca="1" ref="D217" ca="1">_xll.GetPrice("FP-PNL-0105","Actual","Low",_LATESTvarPubDate)</f>
        <v>407</v>
      </c>
      <c r="E217" s="83">
        <f t="array" aca="1" ref="E217" ca="1">_xll.GetPrice("FP-PNL-0106","Actual","Low",_LATESTvarPubDate)</f>
        <v>427</v>
      </c>
      <c r="F217" s="83">
        <f t="array" aca="1" ref="F217" ca="1">_xll.GetPrice("FP-PNL-0107","Actual","Low",_LATESTvarPubDate)</f>
        <v>579</v>
      </c>
      <c r="G217" s="83">
        <f t="array" aca="1" ref="G217" ca="1">_xll.GetPrice("FP-PNL-0108","Actual","Low",_LATESTvarPubDate)</f>
        <v>684</v>
      </c>
    </row>
    <row r="218" spans="1:19" x14ac:dyDescent="0.2">
      <c r="K218" s="76" t="s">
        <v>136</v>
      </c>
      <c r="L218" s="76"/>
      <c r="M218" s="76"/>
    </row>
    <row r="219" spans="1:19" x14ac:dyDescent="0.2">
      <c r="L219" s="79" t="s">
        <v>112</v>
      </c>
      <c r="M219" s="79" t="s">
        <v>113</v>
      </c>
      <c r="N219" s="79" t="s">
        <v>114</v>
      </c>
      <c r="O219" s="79" t="s">
        <v>115</v>
      </c>
      <c r="P219" s="79" t="s">
        <v>116</v>
      </c>
      <c r="Q219" s="79" t="s">
        <v>117</v>
      </c>
      <c r="R219" s="79" t="s">
        <v>118</v>
      </c>
      <c r="S219" s="79" t="s">
        <v>119</v>
      </c>
    </row>
    <row r="220" spans="1:19" x14ac:dyDescent="0.2">
      <c r="K220" s="79" t="s">
        <v>121</v>
      </c>
      <c r="L220" s="83">
        <f t="array" aca="1" ref="L220" ca="1">_xll.GetPrice("FP-PNL-0460","Actual","Low",_LATESTvarPubDate)</f>
        <v>618</v>
      </c>
      <c r="M220" s="83">
        <f t="array" aca="1" ref="M220" ca="1">_xll.GetPrice("FP-PNL-0465","Actual","Low",_LATESTvarPubDate)</f>
        <v>633</v>
      </c>
      <c r="N220" s="83">
        <f t="array" aca="1" ref="N220" ca="1">_xll.GetPrice("FP-PNL-0470","Actual","Low",_LATESTvarPubDate)</f>
        <v>648</v>
      </c>
      <c r="O220" s="83">
        <f t="array" aca="1" ref="O220" ca="1">_xll.GetPrice("FP-PNL-0475","Actual","Low",_LATESTvarPubDate)</f>
        <v>658</v>
      </c>
      <c r="P220" s="83">
        <f t="array" aca="1" ref="P220" ca="1">_xll.GetPrice("FP-PNL-0338","Actual","Low",_LATESTvarPubDate)</f>
        <v>651</v>
      </c>
      <c r="Q220" s="83">
        <f t="array" aca="1" ref="Q220" ca="1">_xll.GetPrice("FP-PNL-0484","Actual","Low",_LATESTvarPubDate)</f>
        <v>661</v>
      </c>
      <c r="R220" s="83">
        <f t="array" aca="1" ref="R220" ca="1">_xll.GetPrice("FP-PNL-0489","Actual","Low",_LATESTvarPubDate)</f>
        <v>686</v>
      </c>
      <c r="S220" s="83">
        <f t="array" aca="1" ref="S220" ca="1">_xll.GetPrice("FP-PNL-0494","Actual","Low",_LATESTvarPubDate)</f>
        <v>696</v>
      </c>
    </row>
    <row r="221" spans="1:19" x14ac:dyDescent="0.2">
      <c r="K221" s="79" t="s">
        <v>123</v>
      </c>
      <c r="L221" s="83">
        <f t="array" aca="1" ref="L221" ca="1">_xll.GetPrice("FP-PNL-0461","Actual","Low",_LATESTvarPubDate)</f>
        <v>824</v>
      </c>
      <c r="M221" s="83">
        <f t="array" aca="1" ref="M221" ca="1">_xll.GetPrice("FP-PNL-0466","Actual","Low",_LATESTvarPubDate)</f>
        <v>844</v>
      </c>
      <c r="N221" s="83">
        <f t="array" aca="1" ref="N221" ca="1">_xll.GetPrice("FP-PNL-0471","Actual","Low",_LATESTvarPubDate)</f>
        <v>864</v>
      </c>
      <c r="O221" s="83">
        <f t="array" aca="1" ref="O221" ca="1">_xll.GetPrice("FP-PNL-0476","Actual","Low",_LATESTvarPubDate)</f>
        <v>877</v>
      </c>
      <c r="P221" s="83">
        <f t="array" aca="1" ref="P221" ca="1">_xll.GetPrice("FP-PNL-0480","Actual","Low",_LATESTvarPubDate)</f>
        <v>868</v>
      </c>
      <c r="Q221" s="83">
        <f t="array" aca="1" ref="Q221" ca="1">_xll.GetPrice("FP-PNL-0485","Actual","Low",_LATESTvarPubDate)</f>
        <v>881</v>
      </c>
      <c r="R221" s="83">
        <f t="array" aca="1" ref="R221" ca="1">_xll.GetPrice("FP-PNL-0490","Actual","Low",_LATESTvarPubDate)</f>
        <v>915</v>
      </c>
      <c r="S221" s="83">
        <f t="array" aca="1" ref="S221" ca="1">_xll.GetPrice("FP-PNL-0495","Actual","Low",_LATESTvarPubDate)</f>
        <v>928</v>
      </c>
    </row>
    <row r="222" spans="1:19" x14ac:dyDescent="0.2">
      <c r="K222" s="79" t="s">
        <v>125</v>
      </c>
      <c r="L222" s="83">
        <f t="array" aca="1" ref="L222" ca="1">_xll.GetPrice("FP-PNL-0462","Actual","Low",_LATESTvarPubDate)</f>
        <v>1030</v>
      </c>
      <c r="M222" s="83">
        <f t="array" aca="1" ref="M222" ca="1">_xll.GetPrice("FP-PNL-0467","Actual","Low",_LATESTvarPubDate)</f>
        <v>1055</v>
      </c>
      <c r="N222" s="83">
        <f t="array" aca="1" ref="N222" ca="1">_xll.GetPrice("FP-PNL-0472","Actual","Low",_LATESTvarPubDate)</f>
        <v>1080</v>
      </c>
      <c r="O222" s="83">
        <f t="array" aca="1" ref="O222" ca="1">_xll.GetPrice("FP-PNL-0477","Actual","Low",_LATESTvarPubDate)</f>
        <v>1097</v>
      </c>
      <c r="P222" s="83">
        <f t="array" aca="1" ref="P222" ca="1">_xll.GetPrice("FP-PNL-0481","Actual","Low",_LATESTvarPubDate)</f>
        <v>1085</v>
      </c>
      <c r="Q222" s="83">
        <f t="array" aca="1" ref="Q222" ca="1">_xll.GetPrice("FP-PNL-0486","Actual","Low",_LATESTvarPubDate)</f>
        <v>1102</v>
      </c>
      <c r="R222" s="83">
        <f t="array" aca="1" ref="R222" ca="1">_xll.GetPrice("FP-PNL-0491","Actual","Low",_LATESTvarPubDate)</f>
        <v>1143</v>
      </c>
      <c r="S222" s="83">
        <f t="array" aca="1" ref="S222" ca="1">_xll.GetPrice("FP-PNL-0496","Actual","Low",_LATESTvarPubDate)</f>
        <v>1160</v>
      </c>
    </row>
    <row r="223" spans="1:19" x14ac:dyDescent="0.2">
      <c r="K223" s="79" t="s">
        <v>127</v>
      </c>
      <c r="L223" s="83">
        <f t="array" aca="1" ref="L223" ca="1">_xll.GetPrice("FP-PNL-0463","Actual","Low",_LATESTvarPubDate)</f>
        <v>1236</v>
      </c>
      <c r="M223" s="83">
        <f t="array" aca="1" ref="M223" ca="1">_xll.GetPrice("FP-PNL-0468","Actual","Low",_LATESTvarPubDate)</f>
        <v>1266</v>
      </c>
      <c r="N223" s="83">
        <f t="array" aca="1" ref="N223" ca="1">_xll.GetPrice("FP-PNL-0473","Actual","Low",_LATESTvarPubDate)</f>
        <v>1296</v>
      </c>
      <c r="O223" s="83">
        <f t="array" aca="1" ref="O223" ca="1">_xll.GetPrice("FP-PNL-0478","Actual","Low",_LATESTvarPubDate)</f>
        <v>1316</v>
      </c>
      <c r="P223" s="83">
        <f t="array" aca="1" ref="P223" ca="1">_xll.GetPrice("FP-PNL-0482","Actual","Low",_LATESTvarPubDate)</f>
        <v>1302</v>
      </c>
      <c r="Q223" s="83">
        <f t="array" aca="1" ref="Q223" ca="1">_xll.GetPrice("FP-PNL-0487","Actual","Low",_LATESTvarPubDate)</f>
        <v>1322</v>
      </c>
      <c r="R223" s="83">
        <f t="array" aca="1" ref="R223" ca="1">_xll.GetPrice("FP-PNL-0492","Actual","Low",_LATESTvarPubDate)</f>
        <v>1372</v>
      </c>
      <c r="S223" s="83">
        <f t="array" aca="1" ref="S223" ca="1">_xll.GetPrice("FP-PNL-0497","Actual","Low",_LATESTvarPubDate)</f>
        <v>1392</v>
      </c>
    </row>
    <row r="224" spans="1:19" x14ac:dyDescent="0.2">
      <c r="K224" s="79" t="s">
        <v>137</v>
      </c>
      <c r="L224" s="83">
        <f t="array" aca="1" ref="L224" ca="1">_xll.GetPrice("FP-PNL-0464","Actual","Low",_LATESTvarPubDate)</f>
        <v>1870</v>
      </c>
      <c r="M224" s="83">
        <f t="array" aca="1" ref="M224" ca="1">_xll.GetPrice("FP-PNL-0469","Actual","Low",_LATESTvarPubDate)</f>
        <v>1911</v>
      </c>
      <c r="N224" s="83">
        <f t="array" aca="1" ref="N224" ca="1">_xll.GetPrice("FP-PNL-0474","Actual","Low",_LATESTvarPubDate)</f>
        <v>1951</v>
      </c>
      <c r="O224" s="83">
        <f t="array" aca="1" ref="O224" ca="1">_xll.GetPrice("FP-PNL-0479","Actual","Low",_LATESTvarPubDate)</f>
        <v>1977</v>
      </c>
      <c r="P224" s="83">
        <f t="array" aca="1" ref="P224" ca="1">_xll.GetPrice("FP-PNL-0483","Actual","Low",_LATESTvarPubDate)</f>
        <v>1953</v>
      </c>
      <c r="Q224" s="83">
        <f t="array" aca="1" ref="Q224" ca="1">_xll.GetPrice("FP-PNL-0488","Actual","Low",_LATESTvarPubDate)</f>
        <v>1980</v>
      </c>
      <c r="R224" s="83">
        <f t="array" aca="1" ref="R224" ca="1">_xll.GetPrice("FP-PNL-0493","Actual","Low",_LATESTvarPubDate)</f>
        <v>2046</v>
      </c>
      <c r="S224" s="83">
        <f t="array" aca="1" ref="S224" ca="1">_xll.GetPrice("FP-PNL-0498","Actual","Low",_LATESTvarPubDate)</f>
        <v>2073</v>
      </c>
    </row>
    <row r="225" spans="11:13" x14ac:dyDescent="0.2">
      <c r="K225" s="86" t="s">
        <v>138</v>
      </c>
      <c r="L225" s="86"/>
      <c r="M225" s="83">
        <f t="array" aca="1" ref="M225" ca="1">_xll.GetPrice("FP-PNL-0341","Actual","Low",_LATESTvarPubDate)</f>
        <v>60</v>
      </c>
    </row>
    <row r="226" spans="11:13" x14ac:dyDescent="0.2">
      <c r="K226" s="86" t="s">
        <v>133</v>
      </c>
      <c r="L226" s="86"/>
      <c r="M226" s="83">
        <f t="array" aca="1" ref="M226" ca="1">_xll.GetPrice("FP-PNL-0342","Actual","Low",_LATESTvarPubDate)</f>
        <v>20</v>
      </c>
    </row>
    <row r="301" spans="1:14" ht="15" x14ac:dyDescent="0.2">
      <c r="A301" s="69">
        <f ca="1">_LATESTvarPubDate</f>
        <v>45849.444976851853</v>
      </c>
      <c r="B301" s="70" t="s">
        <v>0</v>
      </c>
      <c r="C301" s="71"/>
      <c r="D301" s="71"/>
      <c r="E301" s="71"/>
      <c r="F301" s="71"/>
      <c r="G301" s="71"/>
      <c r="H301" s="72" t="s">
        <v>139</v>
      </c>
      <c r="L301" s="57"/>
      <c r="N301" s="57"/>
    </row>
    <row r="302" spans="1:14" x14ac:dyDescent="0.2">
      <c r="L302" s="57"/>
      <c r="M302" s="56"/>
      <c r="N302" s="57"/>
    </row>
    <row r="303" spans="1:14" x14ac:dyDescent="0.2">
      <c r="F303" s="101" t="s">
        <v>140</v>
      </c>
      <c r="G303" s="101" t="s">
        <v>141</v>
      </c>
      <c r="H303" s="101" t="s">
        <v>142</v>
      </c>
      <c r="L303" s="62"/>
      <c r="N303" s="62"/>
    </row>
    <row r="304" spans="1:14" x14ac:dyDescent="0.2">
      <c r="A304" s="102" t="s">
        <v>143</v>
      </c>
      <c r="F304" s="83">
        <f t="array" aca="1" ref="F304" ca="1">_xll.GetPrice("FP-PNL-0499","Actual","Low",_LATESTvarPubDate)</f>
        <v>444</v>
      </c>
      <c r="G304" s="83">
        <f t="array" aca="1" ref="G304" ca="1">_xll.GetPrice("FP-PNL-0499","Actual","Low",_LATESTvarPrvWk)</f>
        <v>450</v>
      </c>
      <c r="H304" s="83">
        <f t="array" aca="1" ref="H304" ca="1">_xll.GetPrice("FP-PNL-0499","Actual","Low",_LATESTvarPrvYr)</f>
        <v>514</v>
      </c>
    </row>
    <row r="305" spans="1:8" x14ac:dyDescent="0.2">
      <c r="A305" s="103" t="s">
        <v>144</v>
      </c>
      <c r="F305" s="83">
        <f t="array" aca="1" ref="F305" ca="1">_xll.GetPrice("FP-PNL-0500","Actual","Low",_LATESTvarPubDate)</f>
        <v>260</v>
      </c>
      <c r="G305" s="83">
        <f t="array" aca="1" ref="G305" ca="1">_xll.GetPrice("FP-PNL-0500","Actual","Low",_LATESTvarPrvWk)</f>
        <v>261</v>
      </c>
      <c r="H305" s="83">
        <f t="array" aca="1" ref="H305" ca="1">_xll.GetPrice("FP-PNL-0500","Actual","Low",_LATESTvarPrvYr)</f>
        <v>352</v>
      </c>
    </row>
    <row r="306" spans="1:8" x14ac:dyDescent="0.2">
      <c r="A306" s="103" t="s">
        <v>145</v>
      </c>
      <c r="F306" s="83">
        <f t="array" aca="1" ref="F306" ca="1">_xll.GetPrice("FP-PNL-0501","Actual","Low",_LATESTvarPubDate)</f>
        <v>679</v>
      </c>
      <c r="G306" s="83">
        <f t="array" aca="1" ref="G306" ca="1">_xll.GetPrice("FP-PNL-0501","Actual","Low",_LATESTvarPrvWk)</f>
        <v>689</v>
      </c>
      <c r="H306" s="83">
        <f t="array" aca="1" ref="H306" ca="1">_xll.GetPrice("FP-PNL-0501","Actual","Low",_LATESTvarPrvYr)</f>
        <v>677</v>
      </c>
    </row>
    <row r="307" spans="1:8" x14ac:dyDescent="0.2">
      <c r="A307" s="103" t="s">
        <v>146</v>
      </c>
      <c r="F307" s="83">
        <f t="array" aca="1" ref="F307" ca="1">_xll.GetPrice("FP-PNL-0502","Actual","Low",_LATESTvarPubDate)</f>
        <v>949</v>
      </c>
      <c r="G307" s="83">
        <f t="array" aca="1" ref="G307" ca="1">_xll.GetPrice("FP-PNL-0502","Actual","Low",_LATESTvarPrvWk)</f>
        <v>955</v>
      </c>
      <c r="H307" s="83">
        <f t="array" aca="1" ref="H307" ca="1">_xll.GetPrice("FP-PNL-0502","Actual","Low",_LATESTvarPrvYr)</f>
        <v>996</v>
      </c>
    </row>
    <row r="308" spans="1:8" x14ac:dyDescent="0.2">
      <c r="A308" s="103" t="s">
        <v>147</v>
      </c>
      <c r="F308" s="83">
        <f t="array" aca="1" ref="F308" ca="1">_xll.GetPrice("FP-PNL-0503","Actual","Low",_LATESTvarPubDate)</f>
        <v>676</v>
      </c>
      <c r="G308" s="83">
        <f t="array" aca="1" ref="G308" ca="1">_xll.GetPrice("FP-PNL-0503","Actual","Low",_LATESTvarPrvWk)</f>
        <v>676</v>
      </c>
      <c r="H308" s="83">
        <f t="array" aca="1" ref="H308" ca="1">_xll.GetPrice("FP-PNL-0503","Actual","Low",_LATESTvarPrvYr)</f>
        <v>677</v>
      </c>
    </row>
    <row r="484" s="54" customFormat="1" ht="12.75" customHeight="1" x14ac:dyDescent="0.2"/>
    <row r="485" s="54" customFormat="1" ht="15" customHeight="1" x14ac:dyDescent="0.2"/>
    <row r="486" s="54" customFormat="1" ht="15" customHeight="1" x14ac:dyDescent="0.2"/>
    <row r="487" s="54" customFormat="1" ht="15" customHeight="1" x14ac:dyDescent="0.2"/>
    <row r="488" s="54" customFormat="1" ht="12.75" customHeight="1" x14ac:dyDescent="0.2"/>
    <row r="490" s="54" customFormat="1" ht="12.75" customHeight="1" x14ac:dyDescent="0.2"/>
    <row r="491" s="54" customFormat="1" ht="13.5" customHeight="1" x14ac:dyDescent="0.2"/>
    <row r="493" s="54" customFormat="1" ht="12.75" customHeight="1" x14ac:dyDescent="0.2"/>
    <row r="500" s="54" customFormat="1" ht="13.5" customHeight="1" x14ac:dyDescent="0.2"/>
    <row r="1561" s="54" customFormat="1" ht="12" customHeight="1" x14ac:dyDescent="0.2"/>
  </sheetData>
  <sheetProtection algorithmName="SHA-512" hashValue="c556DzMiXqFLA4dMdyuHZ8188NsFIxnDTdT8rnVGCjjrMTEnPZxDHxX2eL+zKApmsyvwqHa5r0hs0FAsTpH5kA==" saltValue="6GW3Cq9lXVneXglTbHZzWg==" spinCount="100000" sheet="1" objects="1" scenarios="1"/>
  <printOptions horizontalCentered="1" verticalCentered="1" headings="1" gridLines="1"/>
  <pageMargins left="0.5" right="0.5" top="0.5" bottom="0.5" header="0" footer="0"/>
  <pageSetup scale="1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BZ1561"/>
  <sheetViews>
    <sheetView zoomScaleNormal="100" workbookViewId="0">
      <selection activeCell="B22" sqref="B22"/>
    </sheetView>
  </sheetViews>
  <sheetFormatPr defaultRowHeight="12.75" x14ac:dyDescent="0.2"/>
  <cols>
    <col min="1" max="1" width="11.28515625" customWidth="1"/>
    <col min="2" max="2" width="14.28515625" customWidth="1"/>
    <col min="7" max="7" width="14.140625" customWidth="1"/>
    <col min="8" max="8" width="10.7109375" customWidth="1"/>
    <col min="9" max="9" width="16.28515625" customWidth="1"/>
    <col min="12" max="12" width="12.5703125" customWidth="1"/>
    <col min="13" max="13" width="10.42578125" customWidth="1"/>
  </cols>
  <sheetData>
    <row r="1" spans="1:78" s="1" customFormat="1" ht="20.25" x14ac:dyDescent="0.3">
      <c r="A1" s="30" t="s">
        <v>0</v>
      </c>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s="24"/>
      <c r="BB1"/>
      <c r="BC1"/>
      <c r="BD1"/>
      <c r="BE1"/>
      <c r="BF1"/>
      <c r="BG1"/>
      <c r="BH1"/>
      <c r="BI1"/>
      <c r="BJ1"/>
      <c r="BK1"/>
      <c r="BL1"/>
      <c r="BM1"/>
      <c r="BN1"/>
      <c r="BO1"/>
      <c r="BP1"/>
      <c r="BQ1"/>
      <c r="BR1"/>
      <c r="BS1"/>
      <c r="BT1"/>
      <c r="BU1"/>
      <c r="BV1"/>
      <c r="BW1"/>
      <c r="BX1"/>
      <c r="BY1"/>
      <c r="BZ1"/>
    </row>
    <row r="2" spans="1:78" s="1" customFormat="1" x14ac:dyDescent="0.2">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row>
    <row r="3" spans="1:78" s="1" customFormat="1" x14ac:dyDescent="0.2">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row>
    <row r="4" spans="1:78" s="1" customFormat="1" x14ac:dyDescent="0.2">
      <c r="A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row>
    <row r="5" spans="1:78" s="1" customFormat="1" x14ac:dyDescent="0.2">
      <c r="A5"/>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row>
    <row r="6" spans="1:78" s="1" customFormat="1" x14ac:dyDescent="0.2">
      <c r="A6"/>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row>
    <row r="7" spans="1:78" s="1" customFormat="1" x14ac:dyDescent="0.2">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row>
    <row r="8" spans="1:78" s="1" customFormat="1" x14ac:dyDescent="0.2">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row>
    <row r="9" spans="1:78" s="1" customFormat="1" x14ac:dyDescent="0.2">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row>
    <row r="10" spans="1:78" s="1" customFormat="1" ht="12.75" customHeight="1" x14ac:dyDescent="0.2">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row>
    <row r="11" spans="1:78" s="1" customFormat="1" x14ac:dyDescent="0.2">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row>
    <row r="12" spans="1:78" s="1" customFormat="1" x14ac:dyDescent="0.2">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row>
    <row r="13" spans="1:78" s="1" customFormat="1" x14ac:dyDescent="0.2">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row>
    <row r="14" spans="1:78" s="1" customFormat="1" x14ac:dyDescent="0.2">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row>
    <row r="15" spans="1:78" s="1" customForma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row>
    <row r="16" spans="1:78" s="1" customForma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row>
    <row r="17" spans="1:78" s="1" customFormat="1" x14ac:dyDescent="0.2">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row>
    <row r="18" spans="1:78" s="1" customForma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row>
    <row r="19" spans="1:78" s="1" customForma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row>
    <row r="20" spans="1:78" s="1" customFormat="1" x14ac:dyDescent="0.2">
      <c r="A20"/>
      <c r="B20"/>
      <c r="C20"/>
      <c r="D20"/>
      <c r="E20"/>
      <c r="F20"/>
      <c r="G20" s="44" t="s">
        <v>1</v>
      </c>
      <c r="H20"/>
      <c r="I20" s="44" t="s">
        <v>2</v>
      </c>
      <c r="J20"/>
      <c r="K20" s="44"/>
      <c r="L20" s="44"/>
      <c r="M20" s="44"/>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row>
    <row r="21" spans="1:78" s="1" customFormat="1" x14ac:dyDescent="0.2">
      <c r="A21"/>
      <c r="B21" s="44" t="s">
        <v>3</v>
      </c>
      <c r="C21" s="44" t="s">
        <v>4</v>
      </c>
      <c r="D21" s="44" t="s">
        <v>5</v>
      </c>
      <c r="E21" s="44"/>
      <c r="F21" s="44"/>
      <c r="G21" s="44" t="s">
        <v>6</v>
      </c>
      <c r="I21" s="44" t="s">
        <v>6</v>
      </c>
      <c r="J21"/>
      <c r="K21" s="44"/>
      <c r="L21" s="50"/>
      <c r="M21" s="44"/>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row>
    <row r="22" spans="1:78" s="1" customFormat="1" x14ac:dyDescent="0.2">
      <c r="A22"/>
      <c r="B22" s="51">
        <v>45849</v>
      </c>
      <c r="C22" s="20">
        <f>YEAR(_SPECIFICvarPubDate)</f>
        <v>2025</v>
      </c>
      <c r="D22" s="46">
        <f>MONTH(_SPECIFICvarPubDate)</f>
        <v>7</v>
      </c>
      <c r="E22" s="46"/>
      <c r="F22" s="46"/>
      <c r="G22" s="52">
        <f>_xll.GetPrice("FP-PNL-0499","Actual","AssessmentDate",_SPECIFICvarPubDate-5)</f>
        <v>45841.442997685182</v>
      </c>
      <c r="I22" s="52" cm="1">
        <f t="array" ref="I22">_xll.GetPrice("FP-PNL-0499","Actual","AssessmentDate",IF(_xll.GetPrice("FP-PNL-0499","Actual","PreliminaryPrice",EDATE(_SPECIFICvarPubDate,-12)),_xll.GetPrice("FP-PNL-0499","Actual","AssessmentDate",EDATE(_SPECIFICvarPubDate,-12))-1,_xll.GetPrice("FP-PNL-0499","Actual","AssessmentDate",EDATE(_SPECIFICvarPubDate,-12))))</f>
        <v>45476.441979166666</v>
      </c>
      <c r="J22"/>
      <c r="K22" s="45"/>
      <c r="L22" s="45"/>
      <c r="M22" s="48"/>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row>
    <row r="23" spans="1:78" s="1" customFormat="1" x14ac:dyDescent="0.2">
      <c r="A23"/>
      <c r="B23" s="42"/>
      <c r="C23" s="20"/>
      <c r="D23" s="20"/>
      <c r="E23" s="20"/>
      <c r="F23" s="20"/>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row>
    <row r="24" spans="1:78" s="1" customFormat="1" x14ac:dyDescent="0.2">
      <c r="A24"/>
      <c r="B24" s="43"/>
      <c r="C24"/>
      <c r="D24"/>
      <c r="E24"/>
      <c r="F24"/>
      <c r="G24"/>
      <c r="H24"/>
      <c r="I24"/>
      <c r="J24"/>
      <c r="K24"/>
      <c r="L24" s="49"/>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row>
    <row r="25" spans="1:78" s="1" customFormat="1" x14ac:dyDescent="0.2">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row>
    <row r="26" spans="1:78" s="1" customFormat="1" x14ac:dyDescent="0.2">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row>
    <row r="27" spans="1:78" s="1" customFormat="1" x14ac:dyDescent="0.2">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row>
    <row r="28" spans="1:78" s="1" customFormat="1" x14ac:dyDescent="0.2">
      <c r="A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row>
    <row r="29" spans="1:78" s="1" customFormat="1" ht="15" x14ac:dyDescent="0.25">
      <c r="A29"/>
      <c r="B29" s="106" t="s">
        <v>148</v>
      </c>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row>
    <row r="30" spans="1:78" s="1" customFormat="1" x14ac:dyDescent="0.2">
      <c r="A30" s="22"/>
      <c r="B30" s="22"/>
      <c r="C30" s="22"/>
      <c r="D30" s="22"/>
      <c r="E30" s="22"/>
      <c r="F30" s="22"/>
      <c r="G30" s="22"/>
      <c r="H30" s="22"/>
      <c r="I30" s="22"/>
      <c r="J30" s="22"/>
      <c r="K30" s="22"/>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row>
    <row r="31" spans="1:78" s="1" customFormat="1" x14ac:dyDescent="0.2">
      <c r="A31" s="22"/>
      <c r="B31" s="22"/>
      <c r="C31" s="22"/>
      <c r="D31" s="22"/>
      <c r="E31" s="22"/>
      <c r="F31" s="22"/>
      <c r="G31" s="22"/>
      <c r="H31" s="22"/>
      <c r="I31" s="22"/>
      <c r="J31" s="22"/>
      <c r="K31" s="22"/>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row>
    <row r="32" spans="1:78" s="1" customFormat="1" x14ac:dyDescent="0.2">
      <c r="A32" s="22"/>
      <c r="B32" s="22"/>
      <c r="C32" s="22"/>
      <c r="D32" s="22"/>
      <c r="E32" s="22"/>
      <c r="F32" s="22"/>
      <c r="G32" s="22"/>
      <c r="H32" s="22"/>
      <c r="I32" s="22"/>
      <c r="J32" s="22"/>
      <c r="K32" s="2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row>
    <row r="33" spans="1:78" s="1" customFormat="1" x14ac:dyDescent="0.2">
      <c r="A33" s="22"/>
      <c r="B33" s="22"/>
      <c r="C33" s="22"/>
      <c r="D33" s="22"/>
      <c r="E33" s="22"/>
      <c r="F33" s="22"/>
      <c r="G33" s="22"/>
      <c r="H33" s="22"/>
      <c r="I33" s="22"/>
      <c r="J33" s="22"/>
      <c r="K33" s="22"/>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row>
    <row r="34" spans="1:78" s="1" customFormat="1" x14ac:dyDescent="0.2">
      <c r="A34" s="22"/>
      <c r="B34" s="22"/>
      <c r="C34" s="22"/>
      <c r="D34" s="22"/>
      <c r="E34" s="22"/>
      <c r="F34" s="22"/>
      <c r="G34" s="22"/>
      <c r="H34" s="22"/>
      <c r="I34" s="22"/>
      <c r="J34" s="22"/>
      <c r="K34" s="22"/>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row>
    <row r="35" spans="1:78" s="1" customFormat="1" x14ac:dyDescent="0.2">
      <c r="A35" s="22"/>
      <c r="B35" s="22"/>
      <c r="C35" s="22"/>
      <c r="D35" s="22"/>
      <c r="E35" s="22"/>
      <c r="F35" s="22"/>
      <c r="G35" s="22"/>
      <c r="H35" s="22"/>
      <c r="I35" s="22"/>
      <c r="J35" s="22"/>
      <c r="K35" s="22"/>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row>
    <row r="36" spans="1:78" s="1" customFormat="1" x14ac:dyDescent="0.2">
      <c r="A36" s="22"/>
      <c r="B36" s="22"/>
      <c r="C36" s="22"/>
      <c r="D36" s="22"/>
      <c r="E36" s="22"/>
      <c r="F36" s="22"/>
      <c r="G36" s="22"/>
      <c r="H36" s="22"/>
      <c r="I36" s="22"/>
      <c r="J36" s="22"/>
      <c r="K36" s="22"/>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row>
    <row r="37" spans="1:78" s="1" customFormat="1" x14ac:dyDescent="0.2">
      <c r="A37" s="22"/>
      <c r="B37" s="22"/>
      <c r="C37" s="22"/>
      <c r="D37" s="22"/>
      <c r="E37" s="22"/>
      <c r="F37" s="22"/>
      <c r="G37" s="22"/>
      <c r="H37" s="22"/>
      <c r="I37" s="22"/>
      <c r="J37" s="22"/>
      <c r="K37" s="22"/>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row>
    <row r="38" spans="1:78" s="1" customFormat="1" x14ac:dyDescent="0.2">
      <c r="A38" s="22"/>
      <c r="B38" s="22"/>
      <c r="C38" s="22"/>
      <c r="D38" s="22"/>
      <c r="E38" s="22"/>
      <c r="F38" s="22"/>
      <c r="G38" s="22"/>
      <c r="H38" s="22"/>
      <c r="I38" s="22"/>
      <c r="J38" s="22"/>
      <c r="K38" s="22"/>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row>
    <row r="39" spans="1:78" s="1" customFormat="1" x14ac:dyDescent="0.2">
      <c r="A39" s="22"/>
      <c r="B39" s="22"/>
      <c r="C39" s="22"/>
      <c r="D39" s="22"/>
      <c r="E39" s="22"/>
      <c r="F39" s="22"/>
      <c r="G39" s="22"/>
      <c r="H39" s="22"/>
      <c r="I39" s="22"/>
      <c r="J39" s="22"/>
      <c r="K39" s="22"/>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row>
    <row r="40" spans="1:78" s="1" customFormat="1" x14ac:dyDescent="0.2">
      <c r="A40" s="22"/>
      <c r="B40" s="22"/>
      <c r="C40" s="22"/>
      <c r="D40" s="22"/>
      <c r="E40" s="22"/>
      <c r="F40" s="22"/>
      <c r="G40" s="22"/>
      <c r="H40" s="22"/>
      <c r="I40" s="22"/>
      <c r="J40" s="22"/>
      <c r="K40" s="22"/>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row>
    <row r="41" spans="1:78" s="1" customFormat="1" x14ac:dyDescent="0.2">
      <c r="A41" s="22"/>
      <c r="B41" s="22"/>
      <c r="C41" s="22"/>
      <c r="D41" s="22"/>
      <c r="E41" s="22"/>
      <c r="F41" s="22"/>
      <c r="G41" s="22"/>
      <c r="H41" s="22"/>
      <c r="I41" s="22"/>
      <c r="J41" s="22"/>
      <c r="K41" s="22"/>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row>
    <row r="42" spans="1:78" s="1" customFormat="1" ht="14.25" x14ac:dyDescent="0.2">
      <c r="A42" s="22"/>
      <c r="B42" s="22"/>
      <c r="C42" s="25"/>
      <c r="D42" s="22"/>
      <c r="E42" s="22"/>
      <c r="F42" s="22"/>
      <c r="G42" s="22"/>
      <c r="H42" s="22"/>
      <c r="I42" s="22"/>
      <c r="J42" s="22"/>
      <c r="K42" s="2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row>
    <row r="43" spans="1:78" s="1" customFormat="1" x14ac:dyDescent="0.2">
      <c r="A43" s="22"/>
      <c r="B43" s="22"/>
      <c r="C43" s="22"/>
      <c r="D43" s="22"/>
      <c r="E43" s="22"/>
      <c r="F43" s="22"/>
      <c r="G43" s="22"/>
      <c r="H43" s="22"/>
      <c r="I43" s="22"/>
      <c r="J43" s="22"/>
      <c r="K43" s="22"/>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row>
    <row r="44" spans="1:78" s="1" customFormat="1" x14ac:dyDescent="0.2">
      <c r="A44" s="22"/>
      <c r="B44" s="22"/>
      <c r="C44" s="22"/>
      <c r="D44" s="22"/>
      <c r="E44" s="22"/>
      <c r="F44" s="22"/>
      <c r="G44" s="22"/>
      <c r="H44" s="22"/>
      <c r="I44" s="22"/>
      <c r="J44" s="22"/>
      <c r="K44" s="22"/>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row>
    <row r="45" spans="1:78" s="1" customFormat="1" x14ac:dyDescent="0.2">
      <c r="A45" s="22"/>
      <c r="B45" s="22"/>
      <c r="C45" s="22"/>
      <c r="D45" s="22"/>
      <c r="E45" s="22"/>
      <c r="F45" s="22"/>
      <c r="G45" s="22"/>
      <c r="H45" s="22"/>
      <c r="I45" s="22"/>
      <c r="J45" s="22"/>
      <c r="K45" s="22"/>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row>
    <row r="46" spans="1:78" s="1" customFormat="1" x14ac:dyDescent="0.2">
      <c r="A46" s="22"/>
      <c r="B46" s="22"/>
      <c r="C46" s="22"/>
      <c r="D46" s="22"/>
      <c r="E46" s="22"/>
      <c r="F46" s="22"/>
      <c r="G46" s="22"/>
      <c r="H46" s="22"/>
      <c r="I46" s="22"/>
      <c r="J46" s="22"/>
      <c r="K46" s="22"/>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row>
    <row r="47" spans="1:78" s="1" customFormat="1" x14ac:dyDescent="0.2">
      <c r="A47" s="22"/>
      <c r="B47" s="22"/>
      <c r="C47" s="22"/>
      <c r="D47" s="22"/>
      <c r="E47" s="22"/>
      <c r="F47" s="22"/>
      <c r="G47" s="22"/>
      <c r="H47" s="22"/>
      <c r="I47" s="22"/>
      <c r="J47" s="22"/>
      <c r="K47" s="22"/>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row>
    <row r="48" spans="1:78" s="1" customFormat="1" ht="11.25" customHeight="1" x14ac:dyDescent="0.2">
      <c r="A48" s="22"/>
      <c r="B48" s="22"/>
      <c r="C48" s="22"/>
      <c r="D48" s="22"/>
      <c r="E48" s="22"/>
      <c r="F48" s="22"/>
      <c r="G48" s="22"/>
      <c r="H48" s="22"/>
      <c r="I48" s="22"/>
      <c r="J48" s="22"/>
      <c r="K48" s="22"/>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row>
    <row r="49" spans="1:78" s="1" customFormat="1" x14ac:dyDescent="0.2">
      <c r="A49" s="22"/>
      <c r="B49" s="22"/>
      <c r="C49" s="22"/>
      <c r="D49" s="22"/>
      <c r="E49" s="22"/>
      <c r="F49" s="22"/>
      <c r="G49" s="22"/>
      <c r="H49" s="22"/>
      <c r="I49" s="22"/>
      <c r="J49" s="22"/>
      <c r="K49" s="22"/>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row>
    <row r="50" spans="1:78" s="1" customFormat="1" x14ac:dyDescent="0.2">
      <c r="A50" s="22"/>
      <c r="B50" s="22"/>
      <c r="C50" s="22"/>
      <c r="D50" s="22"/>
      <c r="E50" s="22"/>
      <c r="F50" s="22"/>
      <c r="G50" s="22"/>
      <c r="H50" s="22"/>
      <c r="I50" s="22"/>
      <c r="J50" s="22"/>
      <c r="K50" s="22"/>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row>
    <row r="51" spans="1:78" s="1" customFormat="1" x14ac:dyDescent="0.2">
      <c r="A51" s="22"/>
      <c r="B51" s="22"/>
      <c r="C51" s="22"/>
      <c r="D51" s="22"/>
      <c r="E51" s="22"/>
      <c r="F51" s="22"/>
      <c r="G51" s="22"/>
      <c r="H51" s="22"/>
      <c r="I51" s="22"/>
      <c r="J51" s="22"/>
      <c r="K51" s="22"/>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row>
    <row r="52" spans="1:78" s="1" customFormat="1" x14ac:dyDescent="0.2">
      <c r="A52" s="22"/>
      <c r="B52" s="22"/>
      <c r="C52" s="22"/>
      <c r="D52" s="22"/>
      <c r="E52" s="22"/>
      <c r="F52" s="22"/>
      <c r="G52" s="22"/>
      <c r="H52" s="22"/>
      <c r="I52" s="22"/>
      <c r="J52" s="22"/>
      <c r="K52" s="2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row>
    <row r="53" spans="1:78" s="1" customFormat="1" x14ac:dyDescent="0.2">
      <c r="A53" s="22"/>
      <c r="B53" s="22"/>
      <c r="C53" s="22"/>
      <c r="D53" s="22"/>
      <c r="E53" s="22"/>
      <c r="F53" s="22"/>
      <c r="G53" s="22"/>
      <c r="H53" s="22"/>
      <c r="I53" s="22"/>
      <c r="J53" s="22"/>
      <c r="K53" s="22"/>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row>
    <row r="54" spans="1:78" s="1" customFormat="1" x14ac:dyDescent="0.2">
      <c r="A54" s="22"/>
      <c r="B54" s="22"/>
      <c r="C54" s="22"/>
      <c r="D54" s="22"/>
      <c r="E54" s="22"/>
      <c r="F54" s="22"/>
      <c r="G54" s="22"/>
      <c r="H54" s="22"/>
      <c r="I54" s="22"/>
      <c r="J54" s="22"/>
      <c r="K54" s="22"/>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row>
    <row r="55" spans="1:78" s="1" customFormat="1" x14ac:dyDescent="0.2">
      <c r="A55" s="22"/>
      <c r="B55" s="22"/>
      <c r="C55" s="22"/>
      <c r="D55" s="22"/>
      <c r="E55" s="22"/>
      <c r="F55" s="22"/>
      <c r="G55" s="22"/>
      <c r="H55" s="22"/>
      <c r="I55" s="22"/>
      <c r="J55" s="22"/>
      <c r="K55" s="22"/>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row>
    <row r="56" spans="1:78" s="1" customFormat="1" x14ac:dyDescent="0.2">
      <c r="A56" s="22"/>
      <c r="B56" s="22"/>
      <c r="C56" s="22"/>
      <c r="D56" s="22"/>
      <c r="E56" s="22"/>
      <c r="F56" s="22"/>
      <c r="G56" s="22"/>
      <c r="H56" s="22"/>
      <c r="I56" s="22"/>
      <c r="J56" s="22"/>
      <c r="K56" s="22"/>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row>
    <row r="57" spans="1:78" s="1" customFormat="1" x14ac:dyDescent="0.2">
      <c r="A57" s="22"/>
      <c r="B57" s="22"/>
      <c r="C57" s="22"/>
      <c r="D57" s="22"/>
      <c r="E57" s="22"/>
      <c r="F57" s="22"/>
      <c r="G57" s="22"/>
      <c r="H57" s="22"/>
      <c r="I57" s="22"/>
      <c r="J57" s="22"/>
      <c r="K57" s="22"/>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row>
    <row r="58" spans="1:78" s="1" customFormat="1" x14ac:dyDescent="0.2">
      <c r="A58" s="22"/>
      <c r="B58" s="22"/>
      <c r="C58" s="22"/>
      <c r="D58" s="22"/>
      <c r="E58" s="22"/>
      <c r="F58" s="22"/>
      <c r="G58" s="22"/>
      <c r="H58" s="22"/>
      <c r="I58" s="22"/>
      <c r="J58" s="22"/>
      <c r="K58" s="22"/>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row>
    <row r="59" spans="1:78" s="1" customFormat="1" x14ac:dyDescent="0.2">
      <c r="A59" s="22"/>
      <c r="B59" s="22"/>
      <c r="C59" s="22"/>
      <c r="D59" s="22"/>
      <c r="E59" s="22"/>
      <c r="F59" s="22"/>
      <c r="G59" s="22"/>
      <c r="H59" s="22"/>
      <c r="I59" s="22"/>
      <c r="J59" s="22"/>
      <c r="K59" s="22"/>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row>
    <row r="60" spans="1:78" s="1" customFormat="1" x14ac:dyDescent="0.2">
      <c r="A60" s="22"/>
      <c r="B60" s="22"/>
      <c r="C60" s="22"/>
      <c r="D60" s="22"/>
      <c r="E60" s="22"/>
      <c r="F60" s="22"/>
      <c r="G60" s="22"/>
      <c r="H60" s="22"/>
      <c r="I60" s="22"/>
      <c r="J60" s="22"/>
      <c r="K60" s="22"/>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row>
    <row r="61" spans="1:78" s="1" customFormat="1" x14ac:dyDescent="0.2">
      <c r="A61" s="22"/>
      <c r="B61" s="22"/>
      <c r="C61" s="22"/>
      <c r="D61" s="22"/>
      <c r="E61" s="22"/>
      <c r="F61" s="22"/>
      <c r="G61" s="22"/>
      <c r="H61" s="22"/>
      <c r="I61" s="22"/>
      <c r="J61" s="22"/>
      <c r="K61" s="22"/>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row>
    <row r="62" spans="1:78" s="1" customFormat="1" x14ac:dyDescent="0.2">
      <c r="A62" s="22"/>
      <c r="B62" s="22"/>
      <c r="C62" s="22"/>
      <c r="D62" s="22"/>
      <c r="E62" s="22"/>
      <c r="F62" s="22"/>
      <c r="G62" s="22"/>
      <c r="H62" s="22"/>
      <c r="I62" s="22"/>
      <c r="J62" s="22"/>
      <c r="K62" s="2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row>
    <row r="63" spans="1:78" s="1" customFormat="1" x14ac:dyDescent="0.2">
      <c r="A63" s="22"/>
      <c r="B63" s="22"/>
      <c r="C63" s="22"/>
      <c r="D63" s="22"/>
      <c r="E63" s="22"/>
      <c r="F63" s="22"/>
      <c r="G63" s="22"/>
      <c r="H63" s="22"/>
      <c r="I63" s="22"/>
      <c r="J63" s="22"/>
      <c r="K63" s="22"/>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row>
    <row r="64" spans="1:78" s="1" customFormat="1" x14ac:dyDescent="0.2">
      <c r="A64" s="22"/>
      <c r="B64" s="22"/>
      <c r="C64" s="22"/>
      <c r="D64" s="22"/>
      <c r="E64" s="22"/>
      <c r="F64" s="22"/>
      <c r="G64" s="22"/>
      <c r="H64" s="22"/>
      <c r="I64" s="22"/>
      <c r="J64" s="22"/>
      <c r="K64" s="22"/>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row>
    <row r="65" spans="1:78" s="1" customFormat="1" x14ac:dyDescent="0.2">
      <c r="A65" s="22"/>
      <c r="B65" s="22"/>
      <c r="C65" s="22"/>
      <c r="D65" s="22"/>
      <c r="E65" s="22"/>
      <c r="F65" s="22"/>
      <c r="G65" s="22"/>
      <c r="H65" s="22"/>
      <c r="I65" s="22"/>
      <c r="J65" s="22"/>
      <c r="K65" s="22"/>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row>
    <row r="66" spans="1:78" s="1" customFormat="1" x14ac:dyDescent="0.2">
      <c r="A66" s="22"/>
      <c r="B66" s="22"/>
      <c r="C66" s="22"/>
      <c r="D66" s="22"/>
      <c r="E66" s="22"/>
      <c r="F66" s="22"/>
      <c r="G66" s="22"/>
      <c r="H66" s="22"/>
      <c r="I66" s="22"/>
      <c r="J66" s="22"/>
      <c r="K66" s="22"/>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row>
    <row r="67" spans="1:78" s="1" customFormat="1" x14ac:dyDescent="0.2">
      <c r="A67" s="22"/>
      <c r="B67" s="22"/>
      <c r="C67" s="22"/>
      <c r="D67" s="22"/>
      <c r="E67" s="22"/>
      <c r="F67" s="22"/>
      <c r="G67" s="22"/>
      <c r="H67" s="22"/>
      <c r="I67" s="22"/>
      <c r="J67" s="22"/>
      <c r="K67" s="22"/>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row>
    <row r="68" spans="1:78" s="1" customFormat="1" x14ac:dyDescent="0.2">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c r="BV68"/>
      <c r="BW68"/>
      <c r="BX68"/>
      <c r="BY68"/>
      <c r="BZ68"/>
    </row>
    <row r="69" spans="1:78" s="1" customFormat="1" x14ac:dyDescent="0.2">
      <c r="A69" s="22"/>
      <c r="B69" s="22"/>
      <c r="C69" s="22"/>
      <c r="D69" s="22"/>
      <c r="E69" s="22"/>
      <c r="F69" s="22"/>
      <c r="G69" s="22"/>
      <c r="H69" s="22"/>
      <c r="I69" s="22"/>
      <c r="J69" s="22"/>
      <c r="K69" s="22"/>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row>
    <row r="70" spans="1:78" s="1" customFormat="1" x14ac:dyDescent="0.2">
      <c r="A70" s="22"/>
      <c r="B70" s="22"/>
      <c r="C70" s="22"/>
      <c r="D70" s="22"/>
      <c r="E70" s="22"/>
      <c r="F70" s="22"/>
      <c r="G70" s="22"/>
      <c r="H70" s="22"/>
      <c r="I70" s="22"/>
      <c r="J70" s="22"/>
      <c r="K70" s="22"/>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row>
    <row r="71" spans="1:78" s="1" customFormat="1" x14ac:dyDescent="0.2">
      <c r="A71" s="22"/>
      <c r="B71" s="22"/>
      <c r="C71" s="22"/>
      <c r="D71" s="22"/>
      <c r="E71" s="22"/>
      <c r="F71" s="22"/>
      <c r="G71" s="22"/>
      <c r="H71" s="22"/>
      <c r="I71" s="22"/>
      <c r="J71" s="22"/>
      <c r="K71" s="22"/>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row>
    <row r="72" spans="1:78" s="1" customFormat="1" x14ac:dyDescent="0.2">
      <c r="A72" s="22"/>
      <c r="B72" s="22"/>
      <c r="C72" s="22"/>
      <c r="D72" s="22"/>
      <c r="E72" s="22"/>
      <c r="F72" s="22"/>
      <c r="G72" s="22"/>
      <c r="H72" s="22"/>
      <c r="I72" s="22"/>
      <c r="J72" s="22"/>
      <c r="K72" s="2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row>
    <row r="73" spans="1:78" s="1" customFormat="1" x14ac:dyDescent="0.2">
      <c r="A73" s="22"/>
      <c r="B73" s="22"/>
      <c r="C73" s="22"/>
      <c r="D73" s="22"/>
      <c r="E73" s="22"/>
      <c r="F73" s="22"/>
      <c r="G73" s="22"/>
      <c r="H73" s="22"/>
      <c r="I73" s="22"/>
      <c r="J73" s="22"/>
      <c r="K73" s="22"/>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row>
    <row r="74" spans="1:78" s="1" customFormat="1" x14ac:dyDescent="0.2">
      <c r="A74" s="22"/>
      <c r="B74" s="22"/>
      <c r="C74" s="22"/>
      <c r="D74" s="22"/>
      <c r="E74" s="22"/>
      <c r="F74" s="22"/>
      <c r="G74" s="22"/>
      <c r="H74" s="22"/>
      <c r="I74" s="22"/>
      <c r="J74" s="22"/>
      <c r="K74" s="22"/>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row>
    <row r="75" spans="1:78" x14ac:dyDescent="0.2">
      <c r="A75" s="22"/>
      <c r="B75" s="22"/>
      <c r="C75" s="22"/>
      <c r="D75" s="22"/>
      <c r="E75" s="22"/>
      <c r="F75" s="22"/>
      <c r="G75" s="22"/>
      <c r="H75" s="22"/>
      <c r="I75" s="22"/>
      <c r="J75" s="22"/>
      <c r="K75" s="22"/>
    </row>
    <row r="76" spans="1:78" x14ac:dyDescent="0.2">
      <c r="A76" s="22"/>
      <c r="B76" s="22"/>
      <c r="C76" s="22"/>
      <c r="D76" s="22"/>
      <c r="E76" s="22"/>
      <c r="F76" s="22"/>
      <c r="G76" s="22"/>
      <c r="H76" s="22"/>
      <c r="I76" s="22"/>
      <c r="J76" s="22"/>
      <c r="K76" s="22"/>
    </row>
    <row r="77" spans="1:78" x14ac:dyDescent="0.2">
      <c r="A77" s="22"/>
      <c r="B77" s="22"/>
      <c r="C77" s="22"/>
      <c r="D77" s="22"/>
      <c r="E77" s="22"/>
      <c r="F77" s="22"/>
      <c r="G77" s="22"/>
      <c r="H77" s="22"/>
      <c r="I77" s="22"/>
      <c r="J77" s="22"/>
      <c r="K77" s="22"/>
    </row>
    <row r="78" spans="1:78" x14ac:dyDescent="0.2">
      <c r="A78" s="22"/>
      <c r="B78" s="22"/>
      <c r="C78" s="22"/>
      <c r="D78" s="22"/>
      <c r="E78" s="22"/>
      <c r="F78" s="22"/>
      <c r="G78" s="22"/>
      <c r="H78" s="22"/>
      <c r="I78" s="22"/>
      <c r="J78" s="22"/>
      <c r="K78" s="22"/>
    </row>
    <row r="79" spans="1:78" x14ac:dyDescent="0.2">
      <c r="A79" s="22"/>
      <c r="B79" s="22"/>
      <c r="C79" s="22"/>
      <c r="D79" s="22"/>
      <c r="E79" s="22"/>
      <c r="F79" s="22"/>
      <c r="G79" s="22"/>
      <c r="H79" s="22"/>
      <c r="I79" s="22"/>
      <c r="J79" s="22"/>
      <c r="K79" s="22"/>
    </row>
    <row r="80" spans="1:78" x14ac:dyDescent="0.2">
      <c r="A80" s="22"/>
      <c r="B80" s="22"/>
      <c r="C80" s="22"/>
      <c r="D80" s="22"/>
      <c r="E80" s="22"/>
      <c r="F80" s="22"/>
      <c r="G80" s="22"/>
      <c r="H80" s="22"/>
      <c r="I80" s="22"/>
      <c r="J80" s="22"/>
      <c r="K80" s="22"/>
    </row>
    <row r="81" spans="1:11" x14ac:dyDescent="0.2">
      <c r="A81" s="22"/>
      <c r="B81" s="22"/>
      <c r="C81" s="22"/>
      <c r="D81" s="22"/>
      <c r="E81" s="22"/>
      <c r="F81" s="22"/>
      <c r="G81" s="22"/>
      <c r="H81" s="22"/>
      <c r="I81" s="22"/>
      <c r="J81" s="22"/>
      <c r="K81" s="22"/>
    </row>
    <row r="82" spans="1:11" x14ac:dyDescent="0.2">
      <c r="A82" s="22"/>
      <c r="B82" s="22"/>
      <c r="C82" s="22"/>
      <c r="D82" s="22"/>
      <c r="E82" s="22"/>
      <c r="F82" s="22"/>
      <c r="G82" s="22"/>
      <c r="H82" s="22"/>
      <c r="I82" s="22"/>
      <c r="J82" s="22"/>
      <c r="K82" s="22"/>
    </row>
    <row r="83" spans="1:11" x14ac:dyDescent="0.2">
      <c r="A83" s="22"/>
      <c r="B83" s="22"/>
      <c r="C83" s="22"/>
      <c r="D83" s="22"/>
      <c r="E83" s="22"/>
      <c r="F83" s="22"/>
      <c r="G83" s="22"/>
      <c r="H83" s="22"/>
      <c r="I83" s="22"/>
      <c r="J83" s="22"/>
      <c r="K83" s="22"/>
    </row>
    <row r="84" spans="1:11" x14ac:dyDescent="0.2">
      <c r="A84" s="22"/>
      <c r="B84" s="22"/>
      <c r="C84" s="22"/>
      <c r="D84" s="22"/>
      <c r="E84" s="22"/>
      <c r="F84" s="22"/>
      <c r="G84" s="22"/>
      <c r="H84" s="22"/>
      <c r="I84" s="22"/>
      <c r="J84" s="22"/>
      <c r="K84" s="22"/>
    </row>
    <row r="85" spans="1:11" x14ac:dyDescent="0.2">
      <c r="A85" s="22"/>
      <c r="B85" s="22"/>
      <c r="C85" s="22"/>
      <c r="D85" s="22"/>
      <c r="E85" s="22"/>
      <c r="F85" s="22"/>
      <c r="G85" s="22"/>
      <c r="H85" s="22"/>
      <c r="I85" s="22"/>
      <c r="J85" s="22"/>
      <c r="K85" s="22"/>
    </row>
    <row r="86" spans="1:11" x14ac:dyDescent="0.2">
      <c r="A86" s="22"/>
      <c r="B86" s="22"/>
      <c r="C86" s="22"/>
      <c r="D86" s="22"/>
      <c r="E86" s="22"/>
      <c r="F86" s="22"/>
      <c r="G86" s="22"/>
      <c r="H86" s="22"/>
      <c r="I86" s="22"/>
      <c r="J86" s="22"/>
      <c r="K86" s="22"/>
    </row>
    <row r="87" spans="1:11" x14ac:dyDescent="0.2">
      <c r="A87" s="22"/>
      <c r="B87" s="22"/>
      <c r="C87" s="22"/>
      <c r="D87" s="22"/>
      <c r="E87" s="22"/>
      <c r="F87" s="22"/>
      <c r="G87" s="22"/>
      <c r="H87" s="22"/>
      <c r="I87" s="22"/>
      <c r="J87" s="22"/>
      <c r="K87" s="22"/>
    </row>
    <row r="88" spans="1:11" x14ac:dyDescent="0.2">
      <c r="A88" s="22"/>
      <c r="B88" s="22"/>
      <c r="C88" s="22"/>
      <c r="D88" s="22"/>
      <c r="E88" s="22"/>
      <c r="F88" s="22"/>
      <c r="G88" s="22"/>
      <c r="H88" s="22"/>
      <c r="I88" s="22"/>
      <c r="J88" s="22"/>
      <c r="K88" s="22"/>
    </row>
    <row r="89" spans="1:11" x14ac:dyDescent="0.2">
      <c r="A89" s="22"/>
      <c r="B89" s="22"/>
      <c r="C89" s="22"/>
      <c r="D89" s="22"/>
      <c r="E89" s="22"/>
      <c r="F89" s="22"/>
      <c r="G89" s="22"/>
      <c r="H89" s="22"/>
      <c r="I89" s="22"/>
      <c r="J89" s="22"/>
      <c r="K89" s="22"/>
    </row>
    <row r="90" spans="1:11" x14ac:dyDescent="0.2">
      <c r="A90" s="22"/>
      <c r="B90" s="22"/>
      <c r="C90" s="22"/>
      <c r="D90" s="22"/>
      <c r="E90" s="22"/>
      <c r="F90" s="22"/>
      <c r="G90" s="22"/>
      <c r="H90" s="22"/>
      <c r="I90" s="22"/>
      <c r="J90" s="22"/>
      <c r="K90" s="22"/>
    </row>
    <row r="91" spans="1:11" x14ac:dyDescent="0.2">
      <c r="A91" s="22"/>
      <c r="B91" s="22"/>
      <c r="C91" s="22"/>
      <c r="D91" s="22"/>
      <c r="E91" s="22"/>
      <c r="F91" s="22"/>
      <c r="G91" s="22"/>
      <c r="H91" s="22"/>
      <c r="I91" s="22"/>
      <c r="J91" s="22"/>
      <c r="K91" s="22"/>
    </row>
    <row r="92" spans="1:11" x14ac:dyDescent="0.2">
      <c r="A92" s="22"/>
      <c r="B92" s="22"/>
      <c r="C92" s="22"/>
      <c r="D92" s="22"/>
      <c r="E92" s="22"/>
      <c r="F92" s="22"/>
      <c r="G92" s="22"/>
      <c r="H92" s="22"/>
      <c r="I92" s="22"/>
      <c r="J92" s="22"/>
      <c r="K92" s="22"/>
    </row>
    <row r="93" spans="1:11" x14ac:dyDescent="0.2">
      <c r="A93" s="22"/>
      <c r="B93" s="22"/>
      <c r="C93" s="22"/>
      <c r="D93" s="22"/>
      <c r="E93" s="22"/>
      <c r="F93" s="22"/>
      <c r="G93" s="22"/>
      <c r="H93" s="22"/>
      <c r="I93" s="22"/>
      <c r="J93" s="22"/>
      <c r="K93" s="22"/>
    </row>
    <row r="94" spans="1:11" x14ac:dyDescent="0.2">
      <c r="A94" s="22"/>
      <c r="B94" s="22"/>
      <c r="C94" s="22"/>
      <c r="D94" s="22"/>
      <c r="E94" s="22"/>
      <c r="F94" s="22"/>
      <c r="G94" s="22"/>
      <c r="H94" s="22"/>
      <c r="I94" s="22"/>
      <c r="J94" s="22"/>
      <c r="K94" s="22"/>
    </row>
    <row r="95" spans="1:11" x14ac:dyDescent="0.2">
      <c r="A95" s="22"/>
      <c r="B95" s="22"/>
      <c r="C95" s="22"/>
      <c r="D95" s="22"/>
      <c r="E95" s="22"/>
      <c r="F95" s="22"/>
      <c r="G95" s="22"/>
      <c r="H95" s="22"/>
      <c r="I95" s="22"/>
      <c r="J95" s="22"/>
      <c r="K95" s="22"/>
    </row>
    <row r="96" spans="1:11" x14ac:dyDescent="0.2">
      <c r="A96" s="22"/>
      <c r="B96" s="22"/>
      <c r="C96" s="22"/>
      <c r="D96" s="22"/>
      <c r="E96" s="22"/>
      <c r="F96" s="22"/>
      <c r="G96" s="22"/>
      <c r="H96" s="22"/>
      <c r="I96" s="22"/>
      <c r="J96" s="22"/>
      <c r="K96" s="22"/>
    </row>
    <row r="97" spans="1:17" x14ac:dyDescent="0.2">
      <c r="A97" s="22"/>
      <c r="B97" s="22"/>
      <c r="C97" s="22"/>
      <c r="D97" s="22"/>
      <c r="E97" s="22"/>
      <c r="F97" s="22"/>
      <c r="G97" s="22"/>
      <c r="H97" s="22"/>
      <c r="I97" s="22"/>
      <c r="J97" s="22"/>
      <c r="K97" s="22"/>
    </row>
    <row r="98" spans="1:17" x14ac:dyDescent="0.2">
      <c r="A98" s="22"/>
      <c r="B98" s="22"/>
      <c r="C98" s="22"/>
      <c r="D98" s="22"/>
      <c r="E98" s="22"/>
      <c r="F98" s="22"/>
      <c r="G98" s="22"/>
      <c r="H98" s="22"/>
      <c r="I98" s="22"/>
      <c r="J98" s="22"/>
      <c r="K98" s="22"/>
    </row>
    <row r="99" spans="1:17" x14ac:dyDescent="0.2">
      <c r="A99" s="22"/>
      <c r="B99" s="22"/>
      <c r="C99" s="22"/>
      <c r="D99" s="22"/>
      <c r="E99" s="22"/>
      <c r="F99" s="22"/>
      <c r="G99" s="22"/>
      <c r="H99" s="22"/>
      <c r="I99" s="22"/>
      <c r="J99" s="22"/>
      <c r="K99" s="22"/>
    </row>
    <row r="100" spans="1:17" x14ac:dyDescent="0.2">
      <c r="A100" s="22"/>
      <c r="B100" s="22"/>
      <c r="C100" s="22"/>
      <c r="D100" s="22"/>
      <c r="E100" s="22"/>
      <c r="F100" s="22"/>
      <c r="G100" s="22"/>
      <c r="H100" s="22"/>
      <c r="I100" s="22"/>
      <c r="J100" s="22"/>
      <c r="K100" s="22"/>
    </row>
    <row r="101" spans="1:17" ht="15" x14ac:dyDescent="0.2">
      <c r="A101" s="31">
        <f>_SPECIFICvarPubDate</f>
        <v>45849</v>
      </c>
      <c r="B101" s="21" t="str">
        <f>$A$1</f>
        <v>RANDOM LENGTHS PANEL REPORT</v>
      </c>
      <c r="C101" s="29"/>
      <c r="D101" s="29"/>
      <c r="E101" s="29"/>
      <c r="F101" s="29"/>
      <c r="G101" s="29"/>
      <c r="H101" s="2" t="s">
        <v>7</v>
      </c>
      <c r="I101" s="29"/>
      <c r="J101" s="29"/>
      <c r="K101" s="29"/>
      <c r="L101" s="29"/>
      <c r="M101" s="1"/>
      <c r="N101" s="1"/>
      <c r="O101" s="1"/>
      <c r="P101" s="1"/>
    </row>
    <row r="105" spans="1:17" x14ac:dyDescent="0.2">
      <c r="A105" s="47" t="s">
        <v>8</v>
      </c>
      <c r="B105" s="1"/>
      <c r="C105" s="1"/>
      <c r="D105" s="1"/>
      <c r="E105" s="1"/>
      <c r="F105" s="1"/>
      <c r="G105" s="1"/>
      <c r="H105" s="1"/>
      <c r="K105" s="3" t="s">
        <v>9</v>
      </c>
      <c r="L105" s="1"/>
      <c r="M105" s="1"/>
      <c r="N105" s="32"/>
      <c r="Q105" s="1"/>
    </row>
    <row r="106" spans="1:17" x14ac:dyDescent="0.2">
      <c r="A106" s="4" t="s">
        <v>10</v>
      </c>
      <c r="K106" s="4" t="s">
        <v>11</v>
      </c>
      <c r="L106" s="5"/>
      <c r="M106" s="1"/>
      <c r="N106" s="7"/>
      <c r="O106" s="7"/>
      <c r="Q106" s="7"/>
    </row>
    <row r="107" spans="1:17" x14ac:dyDescent="0.2">
      <c r="B107" s="8" t="s">
        <v>12</v>
      </c>
      <c r="C107" s="8" t="s">
        <v>13</v>
      </c>
      <c r="D107" s="8" t="s">
        <v>14</v>
      </c>
      <c r="E107" s="8" t="s">
        <v>15</v>
      </c>
      <c r="F107" s="8" t="s">
        <v>15</v>
      </c>
      <c r="G107" s="11" t="s">
        <v>16</v>
      </c>
      <c r="H107" s="10"/>
      <c r="K107" s="1"/>
      <c r="L107" s="8"/>
      <c r="M107" s="9"/>
      <c r="N107" s="8" t="s">
        <v>17</v>
      </c>
      <c r="O107" s="8" t="s">
        <v>18</v>
      </c>
      <c r="P107" s="8" t="s">
        <v>19</v>
      </c>
    </row>
    <row r="108" spans="1:17" x14ac:dyDescent="0.2">
      <c r="A108" s="1"/>
      <c r="B108" s="8" t="s">
        <v>20</v>
      </c>
      <c r="C108" s="8" t="s">
        <v>21</v>
      </c>
      <c r="D108" s="8" t="s">
        <v>21</v>
      </c>
      <c r="E108" s="8" t="s">
        <v>22</v>
      </c>
      <c r="F108" s="8" t="s">
        <v>23</v>
      </c>
      <c r="G108" s="8" t="s">
        <v>24</v>
      </c>
      <c r="K108" s="1"/>
      <c r="L108" s="8" t="s">
        <v>25</v>
      </c>
      <c r="M108" s="9"/>
      <c r="N108" s="8" t="s">
        <v>26</v>
      </c>
      <c r="O108" s="8" t="s">
        <v>27</v>
      </c>
      <c r="P108" s="8" t="s">
        <v>28</v>
      </c>
    </row>
    <row r="109" spans="1:17" x14ac:dyDescent="0.2">
      <c r="A109" s="8" t="s">
        <v>29</v>
      </c>
      <c r="B109" s="23" cm="1">
        <f t="array" ref="B109">_xll.GetPrice("FP-PNL-0027","Actual","Low",_SPECIFICvarPubDate)</f>
        <v>230</v>
      </c>
      <c r="C109" s="23">
        <f t="array" ref="C109">_xll.GetPrice("FP-PNL-0033","Actual","Low",_SPECIFICvarPubDate)</f>
        <v>190</v>
      </c>
      <c r="D109" s="23">
        <f t="array" ref="D109">_xll.GetPrice("FP-PNL-0039","Actual","Low",_SPECIFICvarPubDate)</f>
        <v>200</v>
      </c>
      <c r="E109" s="23">
        <f t="array" ref="E109">_xll.GetPrice("FP-PNL-0109","Actual","Low",_SPECIFICvarPubDate)</f>
        <v>200</v>
      </c>
      <c r="F109" s="23">
        <f t="array" ref="F109">_xll.GetPrice("FP-PNL-0115","Actual","Low",_SPECIFICvarPubDate)</f>
        <v>215</v>
      </c>
      <c r="G109" s="23">
        <f t="array" ref="G109">_xll.GetPrice("FP-PNL-0121","Actual","Low",_SPECIFICvarPubDate)</f>
        <v>220</v>
      </c>
      <c r="I109" s="49"/>
      <c r="K109" s="8" t="s">
        <v>29</v>
      </c>
      <c r="L109" s="23">
        <f t="array" ref="L109">_xll.GetPrice("FP-PNL-0219","Actual","Low",_SPECIFICvarPubDate)</f>
        <v>405</v>
      </c>
      <c r="M109" s="1"/>
      <c r="N109" s="23">
        <f t="array" ref="N109">_xll.GetPrice("FP-PNL-0227","Actual","Low",_SPECIFICvarPubDate)</f>
        <v>455</v>
      </c>
      <c r="O109" s="23">
        <f t="array" ref="O109">_xll.GetPrice("FP-PNL-0235","Actual","Low",_SPECIFICvarPubDate)</f>
        <v>1210</v>
      </c>
      <c r="P109" s="23">
        <f t="array" ref="P109">_xll.GetPrice("FP-PNL-0239","Actual","Low",_SPECIFICvarPubDate)</f>
        <v>295</v>
      </c>
    </row>
    <row r="110" spans="1:17" x14ac:dyDescent="0.2">
      <c r="A110" s="8" t="s">
        <v>30</v>
      </c>
      <c r="B110" s="23">
        <f t="array" ref="B110">_xll.GetPrice("FP-PNL-0028","Actual","Low",_SPECIFICvarPubDate)</f>
        <v>235</v>
      </c>
      <c r="C110" s="23">
        <f t="array" ref="C110">_xll.GetPrice("FP-PNL-0034","Actual","Low",_SPECIFICvarPubDate)</f>
        <v>190</v>
      </c>
      <c r="D110" s="23">
        <f t="array" ref="D110">_xll.GetPrice("FP-PNL-0040","Actual","Low",_SPECIFICvarPubDate)</f>
        <v>205</v>
      </c>
      <c r="E110" s="23">
        <f t="array" ref="E110">_xll.GetPrice("FP-PNL-0110","Actual","Low",_SPECIFICvarPubDate)</f>
        <v>200</v>
      </c>
      <c r="F110" s="23">
        <f t="array" ref="F110">_xll.GetPrice("FP-PNL-0116","Actual","Low",_SPECIFICvarPubDate)</f>
        <v>215</v>
      </c>
      <c r="G110" s="23">
        <f t="array" ref="G110">_xll.GetPrice("FP-PNL-0122","Actual","Low",_SPECIFICvarPubDate)</f>
        <v>225</v>
      </c>
      <c r="K110" s="8" t="s">
        <v>31</v>
      </c>
      <c r="L110" s="23">
        <f t="array" ref="L110">_xll.GetPrice("FP-PNL-0220","Actual","Low",_SPECIFICvarPubDate)</f>
        <v>465</v>
      </c>
      <c r="M110" s="1"/>
      <c r="N110" s="13" t="s">
        <v>32</v>
      </c>
      <c r="O110" s="6" t="s">
        <v>32</v>
      </c>
      <c r="P110" s="6" t="s">
        <v>32</v>
      </c>
    </row>
    <row r="111" spans="1:17" x14ac:dyDescent="0.2">
      <c r="A111" s="8" t="s">
        <v>33</v>
      </c>
      <c r="B111" s="23">
        <f t="array" ref="B111">_xll.GetPrice("FP-PNL-0029","Actual","Low",_SPECIFICvarPubDate)</f>
        <v>250</v>
      </c>
      <c r="C111" s="23">
        <f t="array" ref="C111">_xll.GetPrice("FP-PNL-0035","Actual","Low",_SPECIFICvarPubDate)</f>
        <v>210</v>
      </c>
      <c r="D111" s="23">
        <f t="array" ref="D111">_xll.GetPrice("FP-PNL-0041","Actual","Low",_SPECIFICvarPubDate)</f>
        <v>225</v>
      </c>
      <c r="E111" s="23">
        <f t="array" ref="E111">_xll.GetPrice("FP-PNL-0111","Actual","Low",_SPECIFICvarPubDate)</f>
        <v>220</v>
      </c>
      <c r="F111" s="23">
        <f t="array" ref="F111">_xll.GetPrice("FP-PNL-0117","Actual","Low",_SPECIFICvarPubDate)</f>
        <v>235</v>
      </c>
      <c r="G111" s="23">
        <f t="array" ref="G111">_xll.GetPrice("FP-PNL-0123","Actual","Low",_SPECIFICvarPubDate)</f>
        <v>245</v>
      </c>
      <c r="K111" s="8" t="s">
        <v>34</v>
      </c>
      <c r="L111" s="23">
        <f t="array" ref="L111">_xll.GetPrice("FP-PNL-0221","Actual","Low",_SPECIFICvarPubDate)</f>
        <v>475</v>
      </c>
      <c r="M111" s="23">
        <f t="array" ref="M111">_xll.GetPrice("FP-PNL-0222","Actual","Low",_SPECIFICvarPubDate)</f>
        <v>570</v>
      </c>
      <c r="N111" s="23">
        <f t="array" ref="N111">_xll.GetPrice("FP-PNL-0228","Actual","Low",_SPECIFICvarPubDate)</f>
        <v>600</v>
      </c>
      <c r="O111" s="23">
        <f t="array" ref="O111">_xll.GetPrice("FP-PNL-0236","Actual","Low",_SPECIFICvarPubDate)</f>
        <v>1545</v>
      </c>
      <c r="P111" s="23">
        <f t="array" ref="P111">_xll.GetPrice("FP-PNL-0240","Actual","Low",_SPECIFICvarPubDate)</f>
        <v>300</v>
      </c>
    </row>
    <row r="112" spans="1:17" x14ac:dyDescent="0.2">
      <c r="A112" s="8" t="s">
        <v>35</v>
      </c>
      <c r="B112" s="23">
        <f t="array" ref="B112">_xll.GetPrice("FP-PNL-0030","Actual","Low",_SPECIFICvarPubDate)</f>
        <v>260</v>
      </c>
      <c r="C112" s="23">
        <f t="array" ref="C112">_xll.GetPrice("FP-PNL-0036","Actual","Low",_SPECIFICvarPubDate)</f>
        <v>235</v>
      </c>
      <c r="D112" s="23">
        <f t="array" ref="D112">_xll.GetPrice("FP-PNL-0042","Actual","Low",_SPECIFICvarPubDate)</f>
        <v>235</v>
      </c>
      <c r="E112" s="23">
        <f t="array" ref="E112">_xll.GetPrice("FP-PNL-0112","Actual","Low",_SPECIFICvarPubDate)</f>
        <v>240</v>
      </c>
      <c r="F112" s="23">
        <f t="array" ref="F112">_xll.GetPrice("FP-PNL-0118","Actual","Low",_SPECIFICvarPubDate)</f>
        <v>255</v>
      </c>
      <c r="G112" s="23">
        <f t="array" ref="G112">_xll.GetPrice("FP-PNL-0124","Actual","Low",_SPECIFICvarPubDate)</f>
        <v>265</v>
      </c>
      <c r="K112" s="8" t="s">
        <v>36</v>
      </c>
      <c r="L112" s="23">
        <f t="array" ref="L112">_xll.GetPrice("FP-PNL-0223","Actual","Low",_SPECIFICvarPubDate)</f>
        <v>610</v>
      </c>
      <c r="M112" s="23">
        <f t="array" ref="M112">_xll.GetPrice("FP-PNL-0224","Actual","Low",_SPECIFICvarPubDate)</f>
        <v>630</v>
      </c>
      <c r="N112" s="23">
        <f t="array" ref="N112">_xll.GetPrice("FP-PNL-0229","Actual","Low",_SPECIFICvarPubDate)</f>
        <v>670</v>
      </c>
      <c r="O112" s="23">
        <f t="array" ref="O112">_xll.GetPrice("FP-PNL-0237","Actual","Low",_SPECIFICvarPubDate)</f>
        <v>1695</v>
      </c>
      <c r="P112" s="23">
        <f t="array" ref="P112">_xll.GetPrice("FP-PNL-0241","Actual","Low",_SPECIFICvarPubDate)</f>
        <v>380</v>
      </c>
    </row>
    <row r="113" spans="1:26" x14ac:dyDescent="0.2">
      <c r="A113" s="8" t="s">
        <v>37</v>
      </c>
      <c r="B113" s="23">
        <f t="array" ref="B113">_xll.GetPrice("FP-PNL-0031","Actual","Low",_SPECIFICvarPubDate)</f>
        <v>350</v>
      </c>
      <c r="C113" s="23">
        <f t="array" ref="C113">_xll.GetPrice("FP-PNL-0037","Actual","Low",_SPECIFICvarPubDate)</f>
        <v>300</v>
      </c>
      <c r="D113" s="23">
        <f t="array" ref="D113">_xll.GetPrice("FP-PNL-0043","Actual","Low",_SPECIFICvarPubDate)</f>
        <v>315</v>
      </c>
      <c r="E113" s="23">
        <f t="array" ref="E113">_xll.GetPrice("FP-PNL-0113","Actual","Low",_SPECIFICvarPubDate)</f>
        <v>325</v>
      </c>
      <c r="F113" s="23">
        <f t="array" ref="F113">_xll.GetPrice("FP-PNL-0119","Actual","Low",_SPECIFICvarPubDate)</f>
        <v>340</v>
      </c>
      <c r="G113" s="23">
        <f t="array" ref="G113">_xll.GetPrice("FP-PNL-0125","Actual","Low",_SPECIFICvarPubDate)</f>
        <v>345</v>
      </c>
      <c r="K113" s="8" t="s">
        <v>38</v>
      </c>
      <c r="L113" s="23">
        <f t="array" ref="L113">_xll.GetPrice("FP-PNL-0225","Actual","Low",_SPECIFICvarPubDate)</f>
        <v>770</v>
      </c>
      <c r="M113" s="23">
        <f t="array" ref="M113">_xll.GetPrice("FP-PNL-0226","Actual","Low",_SPECIFICvarPubDate)</f>
        <v>765</v>
      </c>
      <c r="N113" s="23">
        <f t="array" ref="N113">_xll.GetPrice("FP-PNL-0230","Actual","Low",_SPECIFICvarPubDate)</f>
        <v>810</v>
      </c>
      <c r="O113" s="23">
        <f t="array" ref="O113">_xll.GetPrice("FP-PNL-0238","Actual","Low",_SPECIFICvarPubDate)</f>
        <v>1785</v>
      </c>
      <c r="P113" s="23">
        <f t="array" ref="P113">_xll.GetPrice("FP-PNL-0242","Actual","Low",_SPECIFICvarPubDate)</f>
        <v>500</v>
      </c>
    </row>
    <row r="114" spans="1:26" x14ac:dyDescent="0.2">
      <c r="A114" s="8" t="s">
        <v>39</v>
      </c>
      <c r="B114" s="23">
        <f t="array" ref="B114">_xll.GetPrice("FP-PNL-0032","Actual","Low",_SPECIFICvarPubDate)</f>
        <v>415</v>
      </c>
      <c r="C114" s="23">
        <f t="array" ref="C114">_xll.GetPrice("FP-PNL-0038","Actual","Low",_SPECIFICvarPubDate)</f>
        <v>385</v>
      </c>
      <c r="D114" s="23">
        <f t="array" ref="D114">_xll.GetPrice("FP-PNL-0044","Actual","Low",_SPECIFICvarPubDate)</f>
        <v>400</v>
      </c>
      <c r="E114" s="23">
        <f t="array" ref="E114">_xll.GetPrice("FP-PNL-0114","Actual","Low",_SPECIFICvarPubDate)</f>
        <v>365</v>
      </c>
      <c r="F114" s="23">
        <f t="array" ref="F114">_xll.GetPrice("FP-PNL-0120","Actual","Low",_SPECIFICvarPubDate)</f>
        <v>385</v>
      </c>
      <c r="G114" s="23">
        <f t="array" ref="G114">_xll.GetPrice("FP-PNL-0126","Actual","Low",_SPECIFICvarPubDate)</f>
        <v>395</v>
      </c>
      <c r="I114" s="1"/>
      <c r="J114" s="1"/>
      <c r="K114" s="35" t="s">
        <v>40</v>
      </c>
      <c r="M114" s="23">
        <f t="array" ref="M114">_xll.GetPrice("FP-PNL-0286","Actual","Low",_SPECIFICvarPubDate)</f>
        <v>25</v>
      </c>
    </row>
    <row r="115" spans="1:26" x14ac:dyDescent="0.2">
      <c r="I115" s="1"/>
      <c r="J115" s="1"/>
    </row>
    <row r="116" spans="1:26" x14ac:dyDescent="0.2">
      <c r="A116" s="1"/>
      <c r="B116" s="1"/>
      <c r="C116" s="1"/>
      <c r="D116" s="1"/>
      <c r="E116" s="1"/>
      <c r="F116" s="1"/>
      <c r="G116" s="1"/>
      <c r="H116" s="1"/>
    </row>
    <row r="117" spans="1:26" x14ac:dyDescent="0.2">
      <c r="A117" s="4" t="s">
        <v>41</v>
      </c>
      <c r="B117" s="16"/>
      <c r="C117" s="1"/>
      <c r="D117" s="1"/>
      <c r="E117" s="1"/>
      <c r="F117" s="1"/>
      <c r="G117" s="1"/>
      <c r="H117" s="1"/>
      <c r="K117" s="12" t="s">
        <v>42</v>
      </c>
      <c r="L117" s="1"/>
      <c r="M117" s="1"/>
      <c r="N117" s="1"/>
      <c r="O117" s="1"/>
    </row>
    <row r="118" spans="1:26" x14ac:dyDescent="0.2">
      <c r="A118" s="14"/>
      <c r="B118" s="8" t="s">
        <v>29</v>
      </c>
      <c r="C118" s="8" t="s">
        <v>30</v>
      </c>
      <c r="D118" s="8" t="s">
        <v>33</v>
      </c>
      <c r="E118" s="8" t="s">
        <v>37</v>
      </c>
      <c r="F118" s="8" t="s">
        <v>39</v>
      </c>
      <c r="G118" s="1"/>
      <c r="H118" s="1"/>
      <c r="K118" s="1"/>
      <c r="L118" s="8" t="s">
        <v>43</v>
      </c>
      <c r="M118" s="8" t="s">
        <v>44</v>
      </c>
      <c r="N118" s="8" t="s">
        <v>45</v>
      </c>
      <c r="O118" s="8" t="s">
        <v>46</v>
      </c>
    </row>
    <row r="119" spans="1:26" x14ac:dyDescent="0.2">
      <c r="A119" s="18" t="s">
        <v>47</v>
      </c>
      <c r="B119" s="23">
        <f t="array" ref="B119">_xll.GetPrice("FP-PNL-0045","Actual","Low",_SPECIFICvarPubDate)</f>
        <v>265</v>
      </c>
      <c r="C119" s="23">
        <f t="array" ref="C119">_xll.GetPrice("FP-PNL-0046","Actual","Low",_SPECIFICvarPubDate)</f>
        <v>265</v>
      </c>
      <c r="D119" s="23">
        <f t="array" ref="D119">_xll.GetPrice("FP-PNL-0047","Actual","Low",_SPECIFICvarPubDate)</f>
        <v>285</v>
      </c>
      <c r="E119" s="23">
        <f t="array" ref="E119">_xll.GetPrice("FP-PNL-0048","Actual","Low",_SPECIFICvarPubDate)</f>
        <v>380</v>
      </c>
      <c r="F119" s="23">
        <f t="array" ref="F119">_xll.GetPrice("FP-PNL-0049","Actual","Low",_SPECIFICvarPubDate)</f>
        <v>480</v>
      </c>
      <c r="G119" s="1"/>
      <c r="H119" s="1"/>
      <c r="K119" s="8" t="s">
        <v>48</v>
      </c>
      <c r="L119" s="23">
        <f t="array" ref="L119">_xll.GetPrice("FP-PNL-0243","Actual","Low",_SPECIFICvarPubDate)</f>
        <v>1030</v>
      </c>
      <c r="M119" s="23">
        <f t="array" ref="M119">_xll.GetPrice("FP-PNL-0248","Actual","Low",_SPECIFICvarPubDate)</f>
        <v>970</v>
      </c>
      <c r="N119" s="23">
        <f t="array" ref="N119">_xll.GetPrice("FP-PNL-0253","Actual","Low",_SPECIFICvarPubDate)</f>
        <v>1150</v>
      </c>
      <c r="O119" s="23">
        <f t="array" ref="O119">_xll.GetPrice("FP-PNL-0258","Actual","Low",_SPECIFICvarPubDate)</f>
        <v>1185</v>
      </c>
      <c r="Z119" s="1"/>
    </row>
    <row r="120" spans="1:26" x14ac:dyDescent="0.2">
      <c r="A120" s="18" t="s">
        <v>49</v>
      </c>
      <c r="B120" s="23">
        <f t="array" ref="B120">_xll.GetPrice("FP-PNL-0050","Actual","Low",_SPECIFICvarPubDate)</f>
        <v>267</v>
      </c>
      <c r="C120" s="23">
        <f t="array" ref="C120">_xll.GetPrice("FP-PNL-0051","Actual","Low",_SPECIFICvarPubDate)</f>
        <v>267</v>
      </c>
      <c r="D120" s="23">
        <f t="array" ref="D120">_xll.GetPrice("FP-PNL-0052","Actual","Low",_SPECIFICvarPubDate)</f>
        <v>287</v>
      </c>
      <c r="E120" s="23">
        <f t="array" ref="E120">_xll.GetPrice("FP-PNL-0053","Actual","Low",_SPECIFICvarPubDate)</f>
        <v>385</v>
      </c>
      <c r="F120" s="23">
        <f t="array" ref="F120">_xll.GetPrice("FP-PNL-0054","Actual","Low",_SPECIFICvarPubDate)</f>
        <v>485</v>
      </c>
      <c r="G120" s="1"/>
      <c r="H120" s="1"/>
      <c r="K120" s="8" t="s">
        <v>50</v>
      </c>
      <c r="L120" s="23">
        <f t="array" ref="L120">_xll.GetPrice("FP-PNL-0244","Actual","Low",_SPECIFICvarPubDate)</f>
        <v>1055</v>
      </c>
      <c r="M120" s="23">
        <f t="array" ref="M120">_xll.GetPrice("FP-PNL-0249","Actual","Low",_SPECIFICvarPubDate)</f>
        <v>995</v>
      </c>
      <c r="N120" s="23">
        <f t="array" ref="N120">_xll.GetPrice("FP-PNL-0254","Actual","Low",_SPECIFICvarPubDate)</f>
        <v>1195</v>
      </c>
      <c r="O120" s="23">
        <f t="array" ref="O120">_xll.GetPrice("FP-PNL-0259","Actual","Low",_SPECIFICvarPubDate)</f>
        <v>1230</v>
      </c>
    </row>
    <row r="121" spans="1:26" x14ac:dyDescent="0.2">
      <c r="A121" s="18" t="s">
        <v>51</v>
      </c>
      <c r="B121" s="23">
        <f t="array" ref="B121">_xll.GetPrice("FP-PNL-0137","Actual","Low",_SPECIFICvarPubDate)</f>
        <v>290</v>
      </c>
      <c r="C121" s="23">
        <f t="array" ref="C121">_xll.GetPrice("FP-PNL-0138","Actual","Low",_SPECIFICvarPubDate)</f>
        <v>290</v>
      </c>
      <c r="D121" s="23">
        <f t="array" ref="D121">_xll.GetPrice("FP-PNL-0139","Actual","Low",_SPECIFICvarPubDate)</f>
        <v>315</v>
      </c>
      <c r="E121" s="23">
        <f t="array" ref="E121">_xll.GetPrice("FP-PNL-0140","Actual","Low",_SPECIFICvarPubDate)</f>
        <v>415</v>
      </c>
      <c r="F121" s="23">
        <f t="array" ref="F121">_xll.GetPrice("FP-PNL-0141","Actual","Low",_SPECIFICvarPubDate)</f>
        <v>460</v>
      </c>
      <c r="G121" s="1"/>
      <c r="H121" s="1"/>
      <c r="K121" s="8" t="s">
        <v>33</v>
      </c>
      <c r="L121" s="23">
        <f t="array" ref="L121">_xll.GetPrice("FP-PNL-0245","Actual","Low",_SPECIFICvarPubDate)</f>
        <v>1540</v>
      </c>
      <c r="M121" s="23">
        <f t="array" ref="M121">_xll.GetPrice("FP-PNL-0250","Actual","Low",_SPECIFICvarPubDate)</f>
        <v>1470</v>
      </c>
      <c r="N121" s="23">
        <f t="array" ref="N121">_xll.GetPrice("FP-PNL-0255","Actual","Low",_SPECIFICvarPubDate)</f>
        <v>1710</v>
      </c>
      <c r="O121" s="23">
        <f t="array" ref="O121">_xll.GetPrice("FP-PNL-0260","Actual","Low",_SPECIFICvarPubDate)</f>
        <v>1730</v>
      </c>
    </row>
    <row r="122" spans="1:26" x14ac:dyDescent="0.2">
      <c r="A122" s="18" t="s">
        <v>52</v>
      </c>
      <c r="B122" s="23">
        <f t="array" ref="B122">_xll.GetPrice("FP-PNL-0127","Actual","Low",_SPECIFICvarPubDate)</f>
        <v>255</v>
      </c>
      <c r="C122" s="23">
        <f t="array" ref="C122">_xll.GetPrice("FP-PNL-0128","Actual","Low",_SPECIFICvarPubDate)</f>
        <v>255</v>
      </c>
      <c r="D122" s="23">
        <f t="array" ref="D122">_xll.GetPrice("FP-PNL-0129","Actual","Low",_SPECIFICvarPubDate)</f>
        <v>275</v>
      </c>
      <c r="E122" s="23">
        <f t="array" ref="E122">_xll.GetPrice("FP-PNL-0130","Actual","Low",_SPECIFICvarPubDate)</f>
        <v>390</v>
      </c>
      <c r="F122" s="23">
        <f t="array" ref="F122">_xll.GetPrice("FP-PNL-0131","Actual","Low",_SPECIFICvarPubDate)</f>
        <v>435</v>
      </c>
      <c r="G122" s="1"/>
      <c r="H122" s="1"/>
      <c r="K122" s="8" t="s">
        <v>53</v>
      </c>
      <c r="L122" s="23">
        <f t="array" ref="L122">_xll.GetPrice("FP-PNL-0246","Actual","Low",_SPECIFICvarPubDate)</f>
        <v>1730</v>
      </c>
      <c r="M122" s="23">
        <f t="array" ref="M122">_xll.GetPrice("FP-PNL-0251","Actual","Low",_SPECIFICvarPubDate)</f>
        <v>1620</v>
      </c>
      <c r="N122" s="23">
        <f t="array" ref="N122">_xll.GetPrice("FP-PNL-0256","Actual","Low",_SPECIFICvarPubDate)</f>
        <v>1910</v>
      </c>
      <c r="O122" s="23">
        <f t="array" ref="O122">_xll.GetPrice("FP-PNL-0261","Actual","Low",_SPECIFICvarPubDate)</f>
        <v>1935</v>
      </c>
    </row>
    <row r="123" spans="1:26" x14ac:dyDescent="0.2">
      <c r="A123" s="18" t="s">
        <v>54</v>
      </c>
      <c r="B123" s="23">
        <f t="array" ref="B123">_xll.GetPrice("FP-PNL-0142","Actual","Low",_SPECIFICvarPubDate)</f>
        <v>290</v>
      </c>
      <c r="C123" s="23">
        <f t="array" ref="C123">_xll.GetPrice("FP-PNL-0143","Actual","Low",_SPECIFICvarPubDate)</f>
        <v>290</v>
      </c>
      <c r="D123" s="23">
        <f t="array" ref="D123">_xll.GetPrice("FP-PNL-0144","Actual","Low",_SPECIFICvarPubDate)</f>
        <v>310</v>
      </c>
      <c r="E123" s="23">
        <f t="array" ref="E123">_xll.GetPrice("FP-PNL-0145","Actual","Low",_SPECIFICvarPubDate)</f>
        <v>435</v>
      </c>
      <c r="F123" s="23">
        <f t="array" ref="F123">_xll.GetPrice("FP-PNL-0146","Actual","Low",_SPECIFICvarPubDate)</f>
        <v>490</v>
      </c>
      <c r="G123" s="1"/>
      <c r="H123" s="1"/>
      <c r="K123" s="8" t="s">
        <v>55</v>
      </c>
      <c r="L123" s="23">
        <f t="array" ref="L123">_xll.GetPrice("FP-PNL-0247","Actual","Low",_SPECIFICvarPubDate)</f>
        <v>1890</v>
      </c>
      <c r="M123" s="23">
        <f t="array" ref="M123">_xll.GetPrice("FP-PNL-0252","Actual","Low",_SPECIFICvarPubDate)</f>
        <v>1810</v>
      </c>
      <c r="N123" s="23">
        <f t="array" ref="N123">_xll.GetPrice("FP-PNL-0257","Actual","Low",_SPECIFICvarPubDate)</f>
        <v>2145</v>
      </c>
      <c r="O123" s="23">
        <f t="array" ref="O123">_xll.GetPrice("FP-PNL-0262","Actual","Low",_SPECIFICvarPubDate)</f>
        <v>2165</v>
      </c>
    </row>
    <row r="124" spans="1:26" x14ac:dyDescent="0.2">
      <c r="A124" s="18" t="s">
        <v>56</v>
      </c>
      <c r="B124" s="23">
        <f t="array" ref="B124">_xll.GetPrice("FP-PNL-0147","Actual","Low",_SPECIFICvarPubDate)</f>
        <v>290</v>
      </c>
      <c r="C124" s="23">
        <f t="array" ref="C124">_xll.GetPrice("FP-PNL-0148","Actual","Low",_SPECIFICvarPubDate)</f>
        <v>290</v>
      </c>
      <c r="D124" s="23">
        <f t="array" ref="D124">_xll.GetPrice("FP-PNL-0149","Actual","Low",_SPECIFICvarPubDate)</f>
        <v>310</v>
      </c>
      <c r="E124" s="23">
        <f t="array" ref="E124">_xll.GetPrice("FP-PNL-0150","Actual","Low",_SPECIFICvarPubDate)</f>
        <v>435</v>
      </c>
      <c r="F124" s="23">
        <f t="array" ref="F124">_xll.GetPrice("FP-PNL-0151","Actual","Low",_SPECIFICvarPubDate)</f>
        <v>490</v>
      </c>
      <c r="G124" s="1"/>
      <c r="H124" s="1"/>
      <c r="I124" s="1"/>
      <c r="J124" s="1"/>
      <c r="K124" s="35"/>
      <c r="V124" s="1"/>
    </row>
    <row r="125" spans="1:26" x14ac:dyDescent="0.2">
      <c r="A125" s="18" t="s">
        <v>57</v>
      </c>
      <c r="B125" s="23">
        <f t="array" ref="B125">_xll.GetPrice("FP-PNL-0132","Actual","Low",_SPECIFICvarPubDate)</f>
        <v>255</v>
      </c>
      <c r="C125" s="23">
        <f t="array" ref="C125">_xll.GetPrice("FP-PNL-0133","Actual","Low",_SPECIFICvarPubDate)</f>
        <v>255</v>
      </c>
      <c r="D125" s="23">
        <f t="array" ref="D125">_xll.GetPrice("FP-PNL-0134","Actual","Low",_SPECIFICvarPubDate)</f>
        <v>275</v>
      </c>
      <c r="E125" s="23">
        <f t="array" ref="E125">_xll.GetPrice("FP-PNL-0135","Actual","Low",_SPECIFICvarPubDate)</f>
        <v>390</v>
      </c>
      <c r="F125" s="23">
        <f t="array" ref="F125">_xll.GetPrice("FP-PNL-0136","Actual","Low",_SPECIFICvarPubDate)</f>
        <v>435</v>
      </c>
      <c r="G125" s="1"/>
      <c r="H125" s="1"/>
      <c r="I125" s="1"/>
      <c r="J125" s="1"/>
      <c r="K125" s="12" t="s">
        <v>58</v>
      </c>
      <c r="N125" s="12" t="s">
        <v>59</v>
      </c>
      <c r="O125" s="1"/>
      <c r="P125" s="1"/>
      <c r="Q125" s="1"/>
    </row>
    <row r="126" spans="1:26" x14ac:dyDescent="0.2">
      <c r="A126" s="35" t="s">
        <v>60</v>
      </c>
      <c r="C126" s="23">
        <f t="array" ref="C126">_xll.GetPrice("FP-PNL-0152","Actual","Low",_SPECIFICvarPubDate)</f>
        <v>10</v>
      </c>
      <c r="D126" s="23">
        <f t="array" ref="D126">_xll.GetPrice("FP-PNL-0152","Actual","High",_SPECIFICvarPubDate)</f>
        <v>20</v>
      </c>
      <c r="G126" s="1"/>
      <c r="H126" s="1"/>
      <c r="I126" s="1"/>
      <c r="J126" s="9"/>
      <c r="K126" s="4" t="s">
        <v>61</v>
      </c>
      <c r="L126" s="8"/>
      <c r="N126" s="9"/>
      <c r="O126" s="8" t="s">
        <v>62</v>
      </c>
      <c r="P126" s="8" t="s">
        <v>63</v>
      </c>
      <c r="Q126" s="8" t="s">
        <v>64</v>
      </c>
    </row>
    <row r="127" spans="1:26" x14ac:dyDescent="0.2">
      <c r="G127" s="1"/>
      <c r="H127" s="1"/>
      <c r="I127" s="1"/>
      <c r="J127" s="1"/>
      <c r="K127" s="8" t="s">
        <v>53</v>
      </c>
      <c r="L127" s="23">
        <f t="array" ref="L127">_xll.GetPrice("FP-PNL-0263","Actual","Low",_SPECIFICvarPubDate)</f>
        <v>845</v>
      </c>
      <c r="N127" s="8" t="s">
        <v>65</v>
      </c>
      <c r="O127" s="23">
        <f t="array" ref="O127">_xll.GetPrice("FP-PNL-0268","Actual","Low",_SPECIFICvarPubDate)</f>
        <v>1310</v>
      </c>
      <c r="P127" s="23">
        <f t="array" ref="P127">_xll.GetPrice("FP-PNL-0274","Actual","Low",_SPECIFICvarPubDate)</f>
        <v>1805</v>
      </c>
      <c r="Q127" s="23">
        <f t="array" ref="Q127">_xll.GetPrice("FP-PNL-0280","Actual","Low",_SPECIFICvarPubDate)</f>
        <v>1815</v>
      </c>
    </row>
    <row r="128" spans="1:26" x14ac:dyDescent="0.2">
      <c r="I128" s="1"/>
      <c r="J128" s="1"/>
      <c r="K128" s="8" t="s">
        <v>55</v>
      </c>
      <c r="L128" s="23">
        <f t="array" ref="L128">_xll.GetPrice("FP-PNL-0264","Actual","Low",_SPECIFICvarPubDate)</f>
        <v>870</v>
      </c>
      <c r="N128" s="8" t="s">
        <v>53</v>
      </c>
      <c r="O128" s="23">
        <f t="array" ref="O128">_xll.GetPrice("FP-PNL-0269","Actual","Low",_SPECIFICvarPubDate)</f>
        <v>1885</v>
      </c>
      <c r="P128" s="23">
        <f t="array" ref="P128">_xll.GetPrice("FP-PNL-0275","Actual","Low",_SPECIFICvarPubDate)</f>
        <v>2385</v>
      </c>
      <c r="Q128" s="23">
        <f t="array" ref="Q128">_xll.GetPrice("FP-PNL-0281","Actual","Low",_SPECIFICvarPubDate)</f>
        <v>2415</v>
      </c>
    </row>
    <row r="129" spans="1:26" x14ac:dyDescent="0.2">
      <c r="A129" s="3" t="s">
        <v>66</v>
      </c>
      <c r="B129" s="1"/>
      <c r="C129" s="1"/>
      <c r="D129" s="1"/>
      <c r="E129" s="1"/>
      <c r="F129" s="1"/>
      <c r="G129" s="1"/>
      <c r="H129" s="1"/>
      <c r="I129" s="1"/>
      <c r="J129" s="1"/>
      <c r="K129" s="8" t="s">
        <v>67</v>
      </c>
      <c r="L129" s="23">
        <f t="array" ref="L129">_xll.GetPrice("FP-PNL-0265","Actual","Low",_SPECIFICvarPubDate)</f>
        <v>1320</v>
      </c>
      <c r="N129" s="8" t="s">
        <v>68</v>
      </c>
      <c r="O129" s="23">
        <f t="array" ref="O129">_xll.GetPrice("FP-PNL-0270","Actual","Low",_SPECIFICvarPubDate)</f>
        <v>1935</v>
      </c>
      <c r="P129" s="23">
        <f t="array" ref="P129">_xll.GetPrice("FP-PNL-0276","Actual","Low",_SPECIFICvarPubDate)</f>
        <v>2425</v>
      </c>
      <c r="Q129" s="23">
        <f t="array" ref="Q129">_xll.GetPrice("FP-PNL-0282","Actual","Low",_SPECIFICvarPubDate)</f>
        <v>2455</v>
      </c>
    </row>
    <row r="130" spans="1:26" x14ac:dyDescent="0.2">
      <c r="A130" s="4" t="s">
        <v>11</v>
      </c>
      <c r="B130" s="1"/>
      <c r="C130" s="1"/>
      <c r="D130" s="1"/>
      <c r="E130" s="1"/>
      <c r="F130" s="1"/>
      <c r="G130" s="1"/>
      <c r="H130" s="1"/>
      <c r="I130" s="1"/>
      <c r="J130" s="1"/>
      <c r="K130" s="12" t="s">
        <v>69</v>
      </c>
      <c r="L130" s="1"/>
      <c r="N130" s="8" t="s">
        <v>70</v>
      </c>
      <c r="O130" s="23">
        <f t="array" ref="O130">_xll.GetPrice("FP-PNL-0271","Actual","Low",_SPECIFICvarPubDate)</f>
        <v>1230</v>
      </c>
      <c r="P130" s="23">
        <f t="array" ref="P130">_xll.GetPrice("FP-PNL-0277","Actual","Low",_SPECIFICvarPubDate)</f>
        <v>1590</v>
      </c>
      <c r="Q130" s="23">
        <f t="array" ref="Q130">_xll.GetPrice("FP-PNL-0283","Actual","Low",_SPECIFICvarPubDate)</f>
        <v>1625</v>
      </c>
      <c r="U130" s="1"/>
      <c r="V130" s="1"/>
      <c r="W130" s="1"/>
      <c r="X130" s="1"/>
      <c r="Y130" s="1"/>
      <c r="Z130" s="1"/>
    </row>
    <row r="131" spans="1:26" x14ac:dyDescent="0.2">
      <c r="A131" s="1"/>
      <c r="B131" s="4" t="s">
        <v>71</v>
      </c>
      <c r="C131" s="8"/>
      <c r="D131" s="8"/>
      <c r="E131" s="4" t="s">
        <v>72</v>
      </c>
      <c r="F131" s="1"/>
      <c r="G131" s="1"/>
      <c r="H131" s="1"/>
      <c r="I131" s="1"/>
      <c r="J131" s="1"/>
      <c r="K131" s="8" t="s">
        <v>73</v>
      </c>
      <c r="L131" s="23">
        <f t="array" ref="L131">_xll.GetPrice("FP-PNL-0266","Actual","Low",_SPECIFICvarPubDate)</f>
        <v>1740</v>
      </c>
      <c r="N131" s="8" t="s">
        <v>53</v>
      </c>
      <c r="O131" s="23">
        <f t="array" ref="O131">_xll.GetPrice("FP-PNL-0272","Actual","Low",_SPECIFICvarPubDate)</f>
        <v>1830</v>
      </c>
      <c r="P131" s="23">
        <f t="array" ref="P131">_xll.GetPrice("FP-PNL-0278","Actual","Low",_SPECIFICvarPubDate)</f>
        <v>2220</v>
      </c>
      <c r="Q131" s="23">
        <f t="array" ref="Q131">_xll.GetPrice("FP-PNL-0284","Actual","Low",_SPECIFICvarPubDate)</f>
        <v>2235</v>
      </c>
      <c r="U131" s="1"/>
      <c r="V131" s="1"/>
      <c r="W131" s="1"/>
      <c r="X131" s="1"/>
      <c r="Y131" s="1"/>
      <c r="Z131" s="1"/>
    </row>
    <row r="132" spans="1:26" x14ac:dyDescent="0.2">
      <c r="A132" s="8" t="s">
        <v>74</v>
      </c>
      <c r="B132" s="8" t="s">
        <v>22</v>
      </c>
      <c r="C132" s="8" t="s">
        <v>20</v>
      </c>
      <c r="D132" s="8" t="s">
        <v>23</v>
      </c>
      <c r="E132" s="8" t="s">
        <v>22</v>
      </c>
      <c r="F132" s="8" t="s">
        <v>20</v>
      </c>
      <c r="G132" s="8" t="s">
        <v>23</v>
      </c>
      <c r="H132" s="1"/>
      <c r="I132" s="1"/>
      <c r="J132" s="5" t="s">
        <v>75</v>
      </c>
      <c r="K132" s="8" t="s">
        <v>76</v>
      </c>
      <c r="L132" s="23">
        <f t="array" ref="L132">_xll.GetPrice("FP-PNL-0267","Actual","Low",_SPECIFICvarPubDate)</f>
        <v>1800</v>
      </c>
      <c r="N132" s="8" t="s">
        <v>68</v>
      </c>
      <c r="O132" s="23">
        <f t="array" ref="O132">_xll.GetPrice("FP-PNL-0273","Actual","Low",_SPECIFICvarPubDate)</f>
        <v>1885</v>
      </c>
      <c r="P132" s="23">
        <f t="array" ref="P132">_xll.GetPrice("FP-PNL-0279","Actual","Low",_SPECIFICvarPubDate)</f>
        <v>2240</v>
      </c>
      <c r="Q132" s="23">
        <f t="array" ref="Q132">_xll.GetPrice("FP-PNL-0285","Actual","Low",_SPECIFICvarPubDate)</f>
        <v>2270</v>
      </c>
      <c r="U132" s="1"/>
      <c r="V132" s="1"/>
      <c r="W132" s="1"/>
      <c r="X132" s="1"/>
      <c r="Y132" s="1"/>
      <c r="Z132" s="1"/>
    </row>
    <row r="133" spans="1:26" x14ac:dyDescent="0.2">
      <c r="A133" s="8" t="s">
        <v>29</v>
      </c>
      <c r="B133" s="23">
        <f t="array" ref="B133">_xll.GetPrice("FP-PNL-0153","Actual","Low",_SPECIFICvarPubDate)</f>
        <v>345</v>
      </c>
      <c r="C133" s="23">
        <f t="array" ref="C133">_xll.GetPrice("FP-PNL-0158","Actual","Low",_SPECIFICvarPubDate)</f>
        <v>361</v>
      </c>
      <c r="D133" s="23">
        <f t="array" ref="D133">_xll.GetPrice("FP-PNL-0163","Actual","Low",_SPECIFICvarPubDate)</f>
        <v>410</v>
      </c>
      <c r="E133" s="23">
        <f t="array" ref="E133">_xll.GetPrice("FP-PNL-0168","Actual","Low",_SPECIFICvarPubDate)</f>
        <v>335</v>
      </c>
      <c r="F133" s="23">
        <f t="array" ref="F133">_xll.GetPrice("FP-PNL-0173","Actual","Low",_SPECIFICvarPubDate)</f>
        <v>340</v>
      </c>
      <c r="G133" s="23">
        <f t="array" ref="G133">_xll.GetPrice("FP-PNL-0178","Actual","Low",_SPECIFICvarPubDate)</f>
        <v>305</v>
      </c>
      <c r="H133" s="1"/>
      <c r="I133" s="1"/>
      <c r="J133" s="1"/>
      <c r="U133" s="1"/>
      <c r="V133" s="1"/>
      <c r="W133" s="1"/>
      <c r="X133" s="1"/>
      <c r="Y133" s="1"/>
      <c r="Z133" s="1"/>
    </row>
    <row r="134" spans="1:26" x14ac:dyDescent="0.2">
      <c r="A134" s="8" t="s">
        <v>77</v>
      </c>
      <c r="B134" s="23">
        <f t="array" ref="B134">_xll.GetPrice("FP-PNL-0154","Actual","Low",_SPECIFICvarPubDate)</f>
        <v>416</v>
      </c>
      <c r="C134" s="23">
        <f t="array" ref="C134">_xll.GetPrice("FP-PNL-0159","Actual","Low",_SPECIFICvarPubDate)</f>
        <v>433</v>
      </c>
      <c r="D134" s="23">
        <f t="array" ref="D134">_xll.GetPrice("FP-PNL-0164","Actual","Low",_SPECIFICvarPubDate)</f>
        <v>455</v>
      </c>
      <c r="E134" s="23">
        <f t="array" ref="E134">_xll.GetPrice("FP-PNL-0169","Actual","Low",_SPECIFICvarPubDate)</f>
        <v>361</v>
      </c>
      <c r="F134" s="23">
        <f t="array" ref="F134">_xll.GetPrice("FP-PNL-0174","Actual","Low",_SPECIFICvarPubDate)</f>
        <v>365</v>
      </c>
      <c r="G134" s="23">
        <f t="array" ref="G134">_xll.GetPrice("FP-PNL-0179","Actual","Low",_SPECIFICvarPubDate)</f>
        <v>335</v>
      </c>
      <c r="I134" s="1"/>
      <c r="J134" s="1"/>
      <c r="T134" s="1"/>
      <c r="U134" s="1"/>
      <c r="V134" s="1"/>
      <c r="W134" s="1"/>
      <c r="X134" s="1"/>
      <c r="Y134" s="1"/>
      <c r="Z134" s="1"/>
    </row>
    <row r="135" spans="1:26" x14ac:dyDescent="0.2">
      <c r="A135" s="8" t="s">
        <v>78</v>
      </c>
      <c r="B135" s="23">
        <f t="array" ref="B135">_xll.GetPrice("FP-PNL-0155","Actual","Low",_SPECIFICvarPubDate)</f>
        <v>421</v>
      </c>
      <c r="C135" s="23">
        <f t="array" ref="C135">_xll.GetPrice("FP-PNL-0160","Actual","Low",_SPECIFICvarPubDate)</f>
        <v>436</v>
      </c>
      <c r="D135" s="23">
        <f t="array" ref="D135">_xll.GetPrice("FP-PNL-0165","Actual","Low",_SPECIFICvarPubDate)</f>
        <v>483</v>
      </c>
      <c r="E135" s="23">
        <f t="array" ref="E135">_xll.GetPrice("FP-PNL-0170","Actual","Low",_SPECIFICvarPubDate)</f>
        <v>368</v>
      </c>
      <c r="F135" s="23">
        <f t="array" ref="F135">_xll.GetPrice("FP-PNL-0175","Actual","Low",_SPECIFICvarPubDate)</f>
        <v>369</v>
      </c>
      <c r="G135" s="23">
        <f t="array" ref="G135">_xll.GetPrice("FP-PNL-0180","Actual","Low",_SPECIFICvarPubDate)</f>
        <v>350</v>
      </c>
      <c r="J135" s="1"/>
      <c r="K135" s="47" t="s">
        <v>79</v>
      </c>
      <c r="L135" s="1"/>
      <c r="M135" s="1"/>
      <c r="N135" s="1"/>
      <c r="O135" s="1"/>
      <c r="P135" s="1"/>
      <c r="Q135" s="1"/>
      <c r="R135" s="1"/>
      <c r="T135" s="1"/>
      <c r="U135" s="1"/>
      <c r="V135" s="1"/>
      <c r="W135" s="1"/>
      <c r="X135" s="1"/>
      <c r="Y135" s="1"/>
      <c r="Z135" s="1"/>
    </row>
    <row r="136" spans="1:26" x14ac:dyDescent="0.2">
      <c r="A136" s="8" t="s">
        <v>80</v>
      </c>
      <c r="B136" s="23">
        <f t="array" ref="B136">_xll.GetPrice("FP-PNL-0156","Actual","Low",_SPECIFICvarPubDate)</f>
        <v>476</v>
      </c>
      <c r="C136" s="23">
        <f t="array" ref="C136">_xll.GetPrice("FP-PNL-0161","Actual","Low",_SPECIFICvarPubDate)</f>
        <v>479</v>
      </c>
      <c r="D136" s="23">
        <f t="array" ref="D136">_xll.GetPrice("FP-PNL-0166","Actual","Low",_SPECIFICvarPubDate)</f>
        <v>491</v>
      </c>
      <c r="E136" s="23">
        <f t="array" ref="E136">_xll.GetPrice("FP-PNL-0171","Actual","Low",_SPECIFICvarPubDate)</f>
        <v>371</v>
      </c>
      <c r="F136" s="23">
        <f t="array" ref="F136">_xll.GetPrice("FP-PNL-0176","Actual","Low",_SPECIFICvarPubDate)</f>
        <v>372</v>
      </c>
      <c r="G136" s="23">
        <f t="array" ref="G136">_xll.GetPrice("FP-PNL-0181","Actual","Low",_SPECIFICvarPubDate)</f>
        <v>355</v>
      </c>
      <c r="J136" s="1"/>
      <c r="K136" s="14" t="s">
        <v>81</v>
      </c>
      <c r="L136" s="8" t="s">
        <v>82</v>
      </c>
      <c r="M136" s="8" t="s">
        <v>83</v>
      </c>
      <c r="N136" s="8" t="s">
        <v>84</v>
      </c>
      <c r="O136" s="8" t="s">
        <v>85</v>
      </c>
      <c r="P136" s="8" t="s">
        <v>86</v>
      </c>
      <c r="Q136" s="9"/>
      <c r="R136" s="1"/>
      <c r="X136" s="1"/>
      <c r="Y136" s="1"/>
      <c r="Z136" s="1"/>
    </row>
    <row r="137" spans="1:26" x14ac:dyDescent="0.2">
      <c r="A137" s="8" t="s">
        <v>55</v>
      </c>
      <c r="B137" s="23">
        <f t="array" ref="B137">_xll.GetPrice("FP-PNL-0157","Actual","Low",_SPECIFICvarPubDate)</f>
        <v>655</v>
      </c>
      <c r="C137" s="23">
        <f t="array" ref="C137">_xll.GetPrice("FP-PNL-0162","Actual","Low",_SPECIFICvarPubDate)</f>
        <v>649</v>
      </c>
      <c r="D137" s="23">
        <f t="array" ref="D137">_xll.GetPrice("FP-PNL-0167","Actual","Low",_SPECIFICvarPubDate)</f>
        <v>692</v>
      </c>
      <c r="E137" s="23">
        <f t="array" ref="E137">_xll.GetPrice("FP-PNL-0172","Actual","Low",_SPECIFICvarPubDate)</f>
        <v>535</v>
      </c>
      <c r="F137" s="23">
        <f t="array" ref="F137">_xll.GetPrice("FP-PNL-0177","Actual","Low",_SPECIFICvarPubDate)</f>
        <v>525</v>
      </c>
      <c r="G137" s="23">
        <f t="array" ref="G137">_xll.GetPrice("FP-PNL-0182","Actual","Low",_SPECIFICvarPubDate)</f>
        <v>502</v>
      </c>
      <c r="J137" s="1"/>
      <c r="K137" s="28" t="s">
        <v>87</v>
      </c>
      <c r="L137" s="34">
        <f t="array" ref="L137">_xll.GetPrice("FP-PNL-0288","Actual","Low",_SPECIFICvarPubDate)</f>
        <v>91</v>
      </c>
      <c r="M137" s="34">
        <f t="array" ref="M137">_xll.GetPrice("FP-PNL-0291","Actual","Low",_SPECIFICvarPubDate)</f>
        <v>44.5</v>
      </c>
      <c r="N137" s="34">
        <f t="array" ref="N137">_xll.GetPrice("FP-PNL-0294","Actual","Low",_SPECIFICvarPubDate)</f>
        <v>11.5</v>
      </c>
      <c r="O137" s="34">
        <f t="array" ref="O137">_xll.GetPrice("FP-PNL-0297","Actual","Low",_SPECIFICvarPubDate)</f>
        <v>13.5</v>
      </c>
      <c r="P137" s="34">
        <f t="array" ref="P137">_xll.GetPrice("FP-PNL-0505","Actual","Low",_SPECIFICvarPubDate)</f>
        <v>74.5</v>
      </c>
      <c r="Q137" s="1"/>
      <c r="R137" s="1"/>
      <c r="X137" s="1"/>
      <c r="Y137" s="1"/>
      <c r="Z137" s="1"/>
    </row>
    <row r="138" spans="1:26" x14ac:dyDescent="0.2">
      <c r="J138" s="1"/>
      <c r="K138" s="28" t="s">
        <v>89</v>
      </c>
      <c r="L138" s="34">
        <f t="array" ref="L138">_xll.GetPrice("FP-PNL-0289","Actual","Low",_SPECIFICvarPubDate)</f>
        <v>94.5</v>
      </c>
      <c r="M138" s="34">
        <f t="array" ref="M138">_xll.GetPrice("FP-PNL-0292","Actual","Low",_SPECIFICvarPubDate)</f>
        <v>65.25</v>
      </c>
      <c r="N138" s="34">
        <f t="array" ref="N138">_xll.GetPrice("FP-PNL-0295","Actual","Low",_SPECIFICvarPubDate)</f>
        <v>25.75</v>
      </c>
      <c r="O138" s="34">
        <f t="array" ref="O138">_xll.GetPrice("FP-PNL-0298","Actual","Low",_SPECIFICvarPubDate)</f>
        <v>24.5</v>
      </c>
      <c r="P138" s="19" t="s">
        <v>32</v>
      </c>
      <c r="X138" s="1"/>
      <c r="Y138" s="1"/>
      <c r="Z138" s="1"/>
    </row>
    <row r="139" spans="1:26" x14ac:dyDescent="0.2">
      <c r="A139" s="12" t="s">
        <v>42</v>
      </c>
      <c r="B139" s="1"/>
      <c r="C139" s="1"/>
      <c r="D139" s="1"/>
      <c r="E139" s="1"/>
      <c r="F139" s="12" t="s">
        <v>88</v>
      </c>
      <c r="G139" s="1"/>
      <c r="H139" s="1"/>
      <c r="I139" s="1"/>
      <c r="J139" s="1"/>
      <c r="Q139" s="1"/>
      <c r="R139" s="1"/>
      <c r="X139" s="1"/>
      <c r="Y139" s="1"/>
      <c r="Z139" s="1"/>
    </row>
    <row r="140" spans="1:26" x14ac:dyDescent="0.2">
      <c r="A140" s="1"/>
      <c r="B140" s="14" t="s">
        <v>43</v>
      </c>
      <c r="C140" s="1"/>
      <c r="D140" s="14" t="s">
        <v>44</v>
      </c>
      <c r="E140" s="1"/>
      <c r="F140" s="33" t="s">
        <v>90</v>
      </c>
      <c r="G140" s="1"/>
      <c r="H140" s="1"/>
      <c r="I140" s="1"/>
      <c r="J140" s="1"/>
      <c r="X140" s="1"/>
      <c r="Y140" s="1"/>
      <c r="Z140" s="1"/>
    </row>
    <row r="141" spans="1:26" x14ac:dyDescent="0.2">
      <c r="A141" s="8" t="s">
        <v>74</v>
      </c>
      <c r="B141" s="8" t="s">
        <v>22</v>
      </c>
      <c r="C141" s="8" t="s">
        <v>23</v>
      </c>
      <c r="D141" s="8" t="s">
        <v>22</v>
      </c>
      <c r="E141" s="8" t="s">
        <v>23</v>
      </c>
      <c r="F141" s="9"/>
      <c r="G141" s="8" t="s">
        <v>22</v>
      </c>
      <c r="H141" s="8" t="s">
        <v>20</v>
      </c>
      <c r="I141" s="8" t="s">
        <v>23</v>
      </c>
      <c r="J141" s="1"/>
      <c r="U141" s="1"/>
      <c r="V141" s="1"/>
      <c r="W141" s="1"/>
      <c r="X141" s="1"/>
      <c r="Y141" s="1"/>
      <c r="Z141" s="1"/>
    </row>
    <row r="142" spans="1:26" x14ac:dyDescent="0.2">
      <c r="A142" s="8" t="s">
        <v>48</v>
      </c>
      <c r="B142" s="23">
        <f t="array" ref="B142">_xll.GetPrice("FP-PNL-0183","Actual","Low",_SPECIFICvarPubDate)</f>
        <v>528</v>
      </c>
      <c r="C142" s="23">
        <f t="array" ref="C142">_xll.GetPrice("FP-PNL-0188","Actual","Low",_SPECIFICvarPubDate)</f>
        <v>560</v>
      </c>
      <c r="D142" s="23">
        <f t="array" ref="D142">_xll.GetPrice("FP-PNL-0193","Actual","Low",_SPECIFICvarPubDate)</f>
        <v>510</v>
      </c>
      <c r="E142" s="23">
        <f t="array" ref="E142">_xll.GetPrice("FP-PNL-0198","Actual","Low",_SPECIFICvarPubDate)</f>
        <v>530</v>
      </c>
      <c r="F142" s="27" t="s">
        <v>53</v>
      </c>
      <c r="G142" s="23">
        <f t="array" ref="G142">_xll.GetPrice("FP-PNL-0203","Actual","Low",_SPECIFICvarPubDate)</f>
        <v>829</v>
      </c>
      <c r="H142" s="23">
        <f t="array" ref="H142">_xll.GetPrice("FP-PNL-0205","Actual","Low",_SPECIFICvarPubDate)</f>
        <v>860</v>
      </c>
      <c r="I142" s="23">
        <f t="array" ref="I142">_xll.GetPrice("FP-PNL-0207","Actual","Low",_SPECIFICvarPubDate)</f>
        <v>762</v>
      </c>
      <c r="J142" s="1"/>
      <c r="O142" s="1"/>
      <c r="Q142" s="12"/>
      <c r="R142" s="1"/>
      <c r="U142" s="1"/>
      <c r="V142" s="1"/>
      <c r="W142" s="1"/>
      <c r="X142" s="1"/>
      <c r="Y142" s="1"/>
      <c r="Z142" s="1"/>
    </row>
    <row r="143" spans="1:26" x14ac:dyDescent="0.2">
      <c r="A143" s="8" t="s">
        <v>50</v>
      </c>
      <c r="B143" s="23">
        <f t="array" ref="B143">_xll.GetPrice("FP-PNL-0184","Actual","Low",_SPECIFICvarPubDate)</f>
        <v>608</v>
      </c>
      <c r="C143" s="23">
        <f t="array" ref="C143">_xll.GetPrice("FP-PNL-0189","Actual","Low",_SPECIFICvarPubDate)</f>
        <v>550</v>
      </c>
      <c r="D143" s="23">
        <f t="array" ref="D143">_xll.GetPrice("FP-PNL-0194","Actual","Low",_SPECIFICvarPubDate)</f>
        <v>560</v>
      </c>
      <c r="E143" s="23">
        <f t="array" ref="E143">_xll.GetPrice("FP-PNL-0199","Actual","Low",_SPECIFICvarPubDate)</f>
        <v>510</v>
      </c>
      <c r="F143" s="8" t="s">
        <v>55</v>
      </c>
      <c r="G143" s="23">
        <f t="array" ref="G143">_xll.GetPrice("FP-PNL-0204","Actual","Low",_SPECIFICvarPubDate)</f>
        <v>858</v>
      </c>
      <c r="H143" s="23">
        <f t="array" ref="H143">_xll.GetPrice("FP-PNL-0206","Actual","Low",_SPECIFICvarPubDate)</f>
        <v>890</v>
      </c>
      <c r="I143" s="23">
        <f t="array" ref="I143">_xll.GetPrice("FP-PNL-0208","Actual","Low",_SPECIFICvarPubDate)</f>
        <v>901</v>
      </c>
      <c r="J143" s="1"/>
      <c r="O143" s="8"/>
      <c r="Q143" s="8"/>
      <c r="R143" s="8"/>
      <c r="U143" s="1"/>
      <c r="V143" s="1"/>
      <c r="W143" s="1"/>
      <c r="X143" s="1"/>
      <c r="Y143" s="1"/>
      <c r="Z143" s="1"/>
    </row>
    <row r="144" spans="1:26" x14ac:dyDescent="0.2">
      <c r="A144" s="8" t="s">
        <v>33</v>
      </c>
      <c r="B144" s="23">
        <f t="array" ref="B144">_xll.GetPrice("FP-PNL-0185","Actual","Low",_SPECIFICvarPubDate)</f>
        <v>848</v>
      </c>
      <c r="C144" s="23">
        <f t="array" ref="C144">_xll.GetPrice("FP-PNL-0190","Actual","Low",_SPECIFICvarPubDate)</f>
        <v>805</v>
      </c>
      <c r="D144" s="23">
        <f t="array" ref="D144">_xll.GetPrice("FP-PNL-0195","Actual","Low",_SPECIFICvarPubDate)</f>
        <v>805</v>
      </c>
      <c r="E144" s="23">
        <f t="array" ref="E144">_xll.GetPrice("FP-PNL-0200","Actual","Low",_SPECIFICvarPubDate)</f>
        <v>760</v>
      </c>
      <c r="F144" s="12" t="s">
        <v>91</v>
      </c>
      <c r="G144" s="1"/>
      <c r="H144" s="1"/>
      <c r="I144" s="1"/>
      <c r="J144" s="1"/>
      <c r="O144" s="39"/>
      <c r="S144" s="1"/>
    </row>
    <row r="145" spans="1:26" x14ac:dyDescent="0.2">
      <c r="A145" s="8" t="s">
        <v>53</v>
      </c>
      <c r="B145" s="23">
        <f t="array" ref="B145">_xll.GetPrice("FP-PNL-0186","Actual","Low",_SPECIFICvarPubDate)</f>
        <v>888</v>
      </c>
      <c r="C145" s="23">
        <f t="array" ref="C145">_xll.GetPrice("FP-PNL-0191","Actual","Low",_SPECIFICvarPubDate)</f>
        <v>810</v>
      </c>
      <c r="D145" s="23">
        <f t="array" ref="D145">_xll.GetPrice("FP-PNL-0196","Actual","Low",_SPECIFICvarPubDate)</f>
        <v>855</v>
      </c>
      <c r="E145" s="23">
        <f t="array" ref="E145">_xll.GetPrice("FP-PNL-0201","Actual","Low",_SPECIFICvarPubDate)</f>
        <v>770</v>
      </c>
      <c r="F145" s="8" t="s">
        <v>53</v>
      </c>
      <c r="G145" s="23">
        <f t="array" ref="G145">_xll.GetPrice("FP-PNL-0209","Actual","Low",_SPECIFICvarPubDate)</f>
        <v>1243</v>
      </c>
      <c r="H145" s="15" t="s">
        <v>32</v>
      </c>
      <c r="I145" s="23">
        <f t="array" ref="I145">_xll.GetPrice("FP-PNL-0211","Actual","Low",_SPECIFICvarPubDate)</f>
        <v>1229</v>
      </c>
      <c r="J145" s="1"/>
      <c r="N145" s="39"/>
      <c r="O145" s="39"/>
      <c r="S145" s="1"/>
    </row>
    <row r="146" spans="1:26" x14ac:dyDescent="0.2">
      <c r="A146" s="8" t="s">
        <v>55</v>
      </c>
      <c r="B146" s="23">
        <f t="array" ref="B146">_xll.GetPrice("FP-PNL-0187","Actual","Low",_SPECIFICvarPubDate)</f>
        <v>1003</v>
      </c>
      <c r="C146" s="23">
        <f t="array" ref="C146">_xll.GetPrice("FP-PNL-0192","Actual","Low",_SPECIFICvarPubDate)</f>
        <v>975</v>
      </c>
      <c r="D146" s="23">
        <f t="array" ref="D146">_xll.GetPrice("FP-PNL-0197","Actual","Low",_SPECIFICvarPubDate)</f>
        <v>960</v>
      </c>
      <c r="E146" s="23">
        <f t="array" ref="E146">_xll.GetPrice("FP-PNL-0202","Actual","Low",_SPECIFICvarPubDate)</f>
        <v>915</v>
      </c>
      <c r="F146" s="8" t="s">
        <v>55</v>
      </c>
      <c r="G146" s="23">
        <f t="array" ref="G146">_xll.GetPrice("FP-PNL-0210","Actual","Low",_SPECIFICvarPubDate)</f>
        <v>1259</v>
      </c>
      <c r="H146" s="6" t="s">
        <v>32</v>
      </c>
      <c r="I146" s="23">
        <f t="array" ref="I146">_xll.GetPrice("FP-PNL-0212","Actual","Low",_SPECIFICvarPubDate)</f>
        <v>1312</v>
      </c>
      <c r="J146" s="1"/>
      <c r="S146" s="1"/>
    </row>
    <row r="147" spans="1:26" x14ac:dyDescent="0.2">
      <c r="J147" s="1"/>
      <c r="S147" s="1"/>
    </row>
    <row r="148" spans="1:26" x14ac:dyDescent="0.2">
      <c r="A148" s="12" t="s">
        <v>92</v>
      </c>
      <c r="B148" s="1"/>
      <c r="C148" s="1"/>
      <c r="D148" s="1"/>
      <c r="I148" s="1"/>
      <c r="J148" s="1"/>
      <c r="K148" s="47" t="s">
        <v>93</v>
      </c>
      <c r="L148" s="1"/>
      <c r="M148" s="1"/>
      <c r="N148" s="1"/>
      <c r="O148" s="1"/>
      <c r="Q148" s="1"/>
      <c r="S148" s="1"/>
    </row>
    <row r="149" spans="1:26" x14ac:dyDescent="0.2">
      <c r="A149" s="8" t="s">
        <v>74</v>
      </c>
      <c r="B149" s="8" t="s">
        <v>22</v>
      </c>
      <c r="C149" s="8" t="s">
        <v>23</v>
      </c>
      <c r="D149" s="1"/>
      <c r="I149" s="1"/>
      <c r="J149" s="1"/>
      <c r="K149" s="4" t="s">
        <v>94</v>
      </c>
      <c r="L149" s="1"/>
      <c r="M149" s="1"/>
      <c r="N149" s="1"/>
      <c r="O149" s="16"/>
      <c r="P149" s="4" t="s">
        <v>95</v>
      </c>
      <c r="Q149" s="41" t="s">
        <v>96</v>
      </c>
      <c r="R149" s="40"/>
      <c r="S149" s="1"/>
    </row>
    <row r="150" spans="1:26" x14ac:dyDescent="0.2">
      <c r="A150" s="8" t="s">
        <v>50</v>
      </c>
      <c r="B150" s="23">
        <f t="array" ref="B150">_xll.GetPrice("FP-PNL-0213","Actual","Low",_SPECIFICvarPubDate)</f>
        <v>925</v>
      </c>
      <c r="C150" s="23">
        <f t="array" ref="C150">_xll.GetPrice("FP-PNL-0216","Actual","Low",_SPECIFICvarPubDate)</f>
        <v>945</v>
      </c>
      <c r="D150" s="1"/>
      <c r="I150" s="1"/>
      <c r="J150" s="1"/>
      <c r="K150" s="1"/>
      <c r="L150" s="4" t="s">
        <v>13</v>
      </c>
      <c r="M150" s="9"/>
      <c r="N150" s="4" t="s">
        <v>97</v>
      </c>
      <c r="O150" s="17"/>
      <c r="P150" s="4" t="s">
        <v>98</v>
      </c>
      <c r="Q150" s="4" t="s">
        <v>22</v>
      </c>
      <c r="R150" s="4" t="s">
        <v>23</v>
      </c>
      <c r="S150" s="1"/>
    </row>
    <row r="151" spans="1:26" x14ac:dyDescent="0.2">
      <c r="A151" s="8" t="s">
        <v>99</v>
      </c>
      <c r="B151" s="23">
        <f t="array" ref="B151">_xll.GetPrice("FP-PNL-0214","Actual","Low",_SPECIFICvarPubDate)</f>
        <v>1245</v>
      </c>
      <c r="C151" s="23">
        <f t="array" ref="C151">_xll.GetPrice("FP-PNL-0217","Actual","Low",_SPECIFICvarPubDate)</f>
        <v>1220</v>
      </c>
      <c r="D151" s="1"/>
      <c r="I151" s="1"/>
      <c r="J151" s="1"/>
      <c r="K151" s="1"/>
      <c r="L151" s="8" t="s">
        <v>100</v>
      </c>
      <c r="M151" s="8" t="s">
        <v>101</v>
      </c>
      <c r="N151" s="8" t="s">
        <v>20</v>
      </c>
      <c r="O151" s="8" t="s">
        <v>23</v>
      </c>
      <c r="P151" s="4" t="s">
        <v>13</v>
      </c>
      <c r="Q151" s="8"/>
      <c r="R151" s="8"/>
      <c r="S151" s="1"/>
    </row>
    <row r="152" spans="1:26" x14ac:dyDescent="0.2">
      <c r="A152" s="8" t="s">
        <v>68</v>
      </c>
      <c r="B152" s="23">
        <f t="array" ref="B152">_xll.GetPrice("FP-PNL-0215","Actual","Low",_SPECIFICvarPubDate)</f>
        <v>1265</v>
      </c>
      <c r="C152" s="23">
        <f t="array" ref="C152">_xll.GetPrice("FP-PNL-0218","Actual","Low",_SPECIFICvarPubDate)</f>
        <v>1245</v>
      </c>
      <c r="D152" s="1"/>
      <c r="J152" s="1"/>
      <c r="K152" s="8" t="s">
        <v>29</v>
      </c>
      <c r="L152" s="23">
        <f t="array" ref="L152">_xll.GetPrice("FP-PNL-0301","Actual","Low",_SPECIFICvarPubDate)</f>
        <v>455</v>
      </c>
      <c r="M152" s="23">
        <f t="array" ref="M152">_xll.GetPrice("FP-PNL-0305","Actual","Low",_SPECIFICvarPubDate)</f>
        <v>460</v>
      </c>
      <c r="N152" s="23">
        <f t="array" ref="N152">_xll.GetPrice("FP-PNL-0309","Actual","Low",_SPECIFICvarPubDate)</f>
        <v>335</v>
      </c>
      <c r="O152" s="23">
        <f t="array" ref="O152">_xll.GetPrice("FP-PNL-0315","Actual","Low",_SPECIFICvarPubDate)</f>
        <v>385</v>
      </c>
      <c r="P152" s="23">
        <f t="array" ref="P152">_xll.GetPrice("FP-PNL-0321","Actual","Low",_SPECIFICvarPubDate)</f>
        <v>460</v>
      </c>
      <c r="Q152" s="13" t="s">
        <v>32</v>
      </c>
      <c r="R152" s="13" t="s">
        <v>32</v>
      </c>
      <c r="S152" s="1"/>
    </row>
    <row r="153" spans="1:26" x14ac:dyDescent="0.2">
      <c r="J153" s="1"/>
      <c r="K153" s="8" t="s">
        <v>35</v>
      </c>
      <c r="L153" s="23">
        <f t="array" ref="L153">_xll.GetPrice("FP-PNL-0302","Actual","Low",_SPECIFICvarPubDate)</f>
        <v>485</v>
      </c>
      <c r="M153" s="23">
        <f t="array" ref="M153">_xll.GetPrice("FP-PNL-0306","Actual","Low",_SPECIFICvarPubDate)</f>
        <v>485</v>
      </c>
      <c r="N153" s="23">
        <f t="array" ref="N153">_xll.GetPrice("FP-PNL-0310","Actual","Low",_SPECIFICvarPubDate)</f>
        <v>360</v>
      </c>
      <c r="O153" s="23">
        <f t="array" ref="O153">_xll.GetPrice("FP-PNL-0316","Actual","Low",_SPECIFICvarPubDate)</f>
        <v>410</v>
      </c>
      <c r="P153" s="23">
        <f t="array" ref="P153">_xll.GetPrice("FP-PNL-0322","Actual","Low",_SPECIFICvarPubDate)</f>
        <v>480</v>
      </c>
      <c r="Q153" s="13" t="s">
        <v>32</v>
      </c>
      <c r="R153" s="13" t="s">
        <v>32</v>
      </c>
    </row>
    <row r="154" spans="1:26" x14ac:dyDescent="0.2">
      <c r="J154" s="1"/>
      <c r="K154" s="8" t="s">
        <v>73</v>
      </c>
      <c r="L154" s="23">
        <f t="array" ref="L154">_xll.GetPrice("FP-PNL-0303","Actual","Low",_SPECIFICvarPubDate)</f>
        <v>530</v>
      </c>
      <c r="M154" s="23">
        <f t="array" ref="M154">_xll.GetPrice("FP-PNL-0307","Actual","Low",_SPECIFICvarPubDate)</f>
        <v>535</v>
      </c>
      <c r="N154" s="23">
        <f t="array" ref="N154">_xll.GetPrice("FP-PNL-0311","Actual","Low",_SPECIFICvarPubDate)</f>
        <v>425</v>
      </c>
      <c r="O154" s="23">
        <f t="array" ref="O154">_xll.GetPrice("FP-PNL-0317","Actual","Low",_SPECIFICvarPubDate)</f>
        <v>475</v>
      </c>
      <c r="P154" s="23">
        <f t="array" ref="P154">_xll.GetPrice("FP-PNL-0323","Actual","Low",_SPECIFICvarPubDate)</f>
        <v>530</v>
      </c>
      <c r="Q154" s="23">
        <f t="array" ref="Q154">_xll.GetPrice("FP-PNL-0325","Actual","Low",_SPECIFICvarPubDate)</f>
        <v>865</v>
      </c>
      <c r="R154" s="23">
        <f t="array" ref="R154">_xll.GetPrice("FP-PNL-0327","Actual","Low",_SPECIFICvarPubDate)</f>
        <v>810</v>
      </c>
      <c r="T154" s="1"/>
      <c r="U154" s="1"/>
      <c r="V154" s="1"/>
      <c r="W154" s="1"/>
      <c r="X154" s="1"/>
      <c r="Y154" s="1"/>
      <c r="Z154" s="1"/>
    </row>
    <row r="155" spans="1:26" x14ac:dyDescent="0.2">
      <c r="J155" s="1"/>
      <c r="K155" s="8" t="s">
        <v>102</v>
      </c>
      <c r="L155" s="6" t="s">
        <v>32</v>
      </c>
      <c r="M155" s="6" t="s">
        <v>32</v>
      </c>
      <c r="N155" s="23">
        <f t="array" ref="N155">_xll.GetPrice("FP-PNL-0312","Actual","Low",_SPECIFICvarPubDate)</f>
        <v>450</v>
      </c>
      <c r="O155" s="23">
        <f t="array" ref="O155">_xll.GetPrice("FP-PNL-0318","Actual","Low",_SPECIFICvarPubDate)</f>
        <v>500</v>
      </c>
      <c r="P155" s="13" t="s">
        <v>32</v>
      </c>
      <c r="Q155" s="13" t="s">
        <v>32</v>
      </c>
      <c r="R155" s="13" t="s">
        <v>32</v>
      </c>
      <c r="S155" s="1"/>
      <c r="T155" s="1"/>
      <c r="U155" s="1"/>
      <c r="V155" s="1"/>
      <c r="W155" s="1"/>
      <c r="X155" s="1"/>
      <c r="Y155" s="1"/>
      <c r="Z155" s="1"/>
    </row>
    <row r="156" spans="1:26" x14ac:dyDescent="0.2">
      <c r="K156" s="8" t="s">
        <v>103</v>
      </c>
      <c r="L156" s="23">
        <f t="array" ref="L156">_xll.GetPrice("FP-PNL-0304","Actual","Low",_SPECIFICvarPubDate)</f>
        <v>555</v>
      </c>
      <c r="M156" s="23">
        <f t="array" ref="M156">_xll.GetPrice("FP-PNL-0308","Actual","Low",_SPECIFICvarPubDate)</f>
        <v>555</v>
      </c>
      <c r="N156" s="23">
        <f t="array" ref="N156">_xll.GetPrice("FP-PNL-0313","Actual","Low",_SPECIFICvarPubDate)</f>
        <v>475</v>
      </c>
      <c r="O156" s="23">
        <f t="array" ref="O156">_xll.GetPrice("FP-PNL-0319","Actual","Low",_SPECIFICvarPubDate)</f>
        <v>520</v>
      </c>
      <c r="P156" s="23">
        <f t="array" ref="P156">_xll.GetPrice("FP-PNL-0324","Actual","Low",_SPECIFICvarPubDate)</f>
        <v>570</v>
      </c>
      <c r="Q156" s="23">
        <f t="array" ref="Q156">_xll.GetPrice("FP-PNL-0326","Actual","Low",_SPECIFICvarPubDate)</f>
        <v>895</v>
      </c>
      <c r="R156" s="23">
        <f t="array" ref="R156">_xll.GetPrice("FP-PNL-0328","Actual","Low",_SPECIFICvarPubDate)</f>
        <v>835</v>
      </c>
      <c r="T156" s="1"/>
      <c r="U156" s="1"/>
      <c r="V156" s="1"/>
      <c r="W156" s="1"/>
      <c r="X156" s="1"/>
      <c r="Y156" s="1"/>
      <c r="Z156" s="1"/>
    </row>
    <row r="157" spans="1:26" x14ac:dyDescent="0.2">
      <c r="K157" s="8" t="s">
        <v>67</v>
      </c>
      <c r="L157" s="6" t="s">
        <v>32</v>
      </c>
      <c r="M157" s="6" t="s">
        <v>32</v>
      </c>
      <c r="N157" s="23">
        <f t="array" ref="N157">_xll.GetPrice("FP-PNL-0314","Actual","Low",_SPECIFICvarPubDate)</f>
        <v>685</v>
      </c>
      <c r="O157" s="23">
        <f t="array" ref="O157">_xll.GetPrice("FP-PNL-0320","Actual","Low",_SPECIFICvarPubDate)</f>
        <v>730</v>
      </c>
      <c r="P157" s="6" t="s">
        <v>32</v>
      </c>
      <c r="Q157" s="6" t="s">
        <v>32</v>
      </c>
      <c r="R157" s="6" t="s">
        <v>32</v>
      </c>
      <c r="T157" s="1"/>
      <c r="U157" s="1"/>
      <c r="V157" s="1"/>
      <c r="W157" s="1"/>
      <c r="X157" s="1"/>
      <c r="Y157" s="1"/>
      <c r="Z157" s="1"/>
    </row>
    <row r="158" spans="1:26" x14ac:dyDescent="0.2">
      <c r="A158" s="1"/>
      <c r="B158" s="1"/>
      <c r="C158" s="1"/>
      <c r="D158" s="1"/>
      <c r="E158" s="1"/>
      <c r="F158" s="1"/>
      <c r="G158" s="1"/>
      <c r="H158" s="1"/>
      <c r="I158" s="1"/>
      <c r="J158" s="1"/>
      <c r="T158" s="1"/>
      <c r="U158" s="1"/>
      <c r="V158" s="1"/>
      <c r="W158" s="1"/>
      <c r="X158" s="1"/>
      <c r="Y158" s="1"/>
      <c r="Z158" s="1"/>
    </row>
    <row r="159" spans="1:26" x14ac:dyDescent="0.2">
      <c r="A159" s="1"/>
      <c r="B159" s="1"/>
      <c r="C159" s="1"/>
      <c r="D159" s="1"/>
      <c r="E159" s="1"/>
      <c r="F159" s="1"/>
      <c r="G159" s="1"/>
      <c r="H159" s="1"/>
      <c r="I159" s="1"/>
      <c r="J159" s="1"/>
      <c r="S159" s="1"/>
    </row>
    <row r="160" spans="1:26" x14ac:dyDescent="0.2">
      <c r="K160" s="4" t="s">
        <v>104</v>
      </c>
    </row>
    <row r="161" spans="1:18" x14ac:dyDescent="0.2">
      <c r="L161" s="8" t="s">
        <v>29</v>
      </c>
      <c r="M161" s="8" t="s">
        <v>35</v>
      </c>
      <c r="N161" s="8" t="s">
        <v>73</v>
      </c>
      <c r="O161" s="8" t="s">
        <v>103</v>
      </c>
      <c r="Q161" s="1"/>
      <c r="R161" s="1"/>
    </row>
    <row r="162" spans="1:18" x14ac:dyDescent="0.2">
      <c r="K162" s="8" t="s">
        <v>22</v>
      </c>
      <c r="L162" s="23">
        <f t="array" ref="L162">_xll.GetPrice("FP-PNL-0329","Actual","Low",_SPECIFICvarPubDate)</f>
        <v>700</v>
      </c>
      <c r="M162" s="23">
        <f t="array" ref="M162">_xll.GetPrice("FP-PNL-0330","Actual","Low",_SPECIFICvarPubDate)</f>
        <v>755</v>
      </c>
      <c r="N162" s="23">
        <f t="array" ref="N162">_xll.GetPrice("FP-PNL-0331","Actual","Low",_SPECIFICvarPubDate)</f>
        <v>845</v>
      </c>
      <c r="O162" s="23">
        <f t="array" ref="O162">_xll.GetPrice("FP-PNL-0332","Actual","Low",_SPECIFICvarPubDate)</f>
        <v>915</v>
      </c>
      <c r="P162" s="1"/>
    </row>
    <row r="163" spans="1:18" x14ac:dyDescent="0.2">
      <c r="K163" s="8" t="s">
        <v>23</v>
      </c>
      <c r="L163" s="23">
        <f t="array" ref="L163">_xll.GetPrice("FP-PNL-0333","Actual","Low",_SPECIFICvarPubDate)</f>
        <v>665</v>
      </c>
      <c r="M163" s="23">
        <f t="array" ref="M163">_xll.GetPrice("FP-PNL-0334","Actual","Low",_SPECIFICvarPubDate)</f>
        <v>720</v>
      </c>
      <c r="N163" s="23">
        <f t="array" ref="N163">_xll.GetPrice("FP-PNL-0335","Actual","Low",_SPECIFICvarPubDate)</f>
        <v>825</v>
      </c>
      <c r="O163" s="23">
        <f t="array" ref="O163">_xll.GetPrice("FP-PNL-0336","Actual","Low",_SPECIFICvarPubDate)</f>
        <v>875</v>
      </c>
    </row>
    <row r="167" spans="1:18" x14ac:dyDescent="0.2">
      <c r="A167" s="1"/>
      <c r="B167" s="1"/>
      <c r="C167" s="1"/>
      <c r="D167" s="1"/>
      <c r="E167" s="1"/>
      <c r="F167" s="1"/>
      <c r="G167" s="1"/>
      <c r="H167" s="1"/>
      <c r="I167" s="1"/>
      <c r="J167" s="1"/>
    </row>
    <row r="177" spans="21:26" x14ac:dyDescent="0.2">
      <c r="U177" s="1"/>
      <c r="V177" s="1"/>
      <c r="W177" s="1"/>
      <c r="X177" s="1"/>
      <c r="Y177" s="1"/>
      <c r="Z177" s="1"/>
    </row>
    <row r="178" spans="21:26" x14ac:dyDescent="0.2">
      <c r="U178" s="1"/>
      <c r="V178" s="1"/>
      <c r="W178" s="1"/>
      <c r="X178" s="1"/>
      <c r="Y178" s="1"/>
      <c r="Z178" s="1"/>
    </row>
    <row r="179" spans="21:26" x14ac:dyDescent="0.2">
      <c r="U179" s="1"/>
      <c r="V179" s="1"/>
      <c r="W179" s="1"/>
      <c r="X179" s="1"/>
      <c r="Y179" s="1"/>
      <c r="Z179" s="1"/>
    </row>
    <row r="180" spans="21:26" x14ac:dyDescent="0.2">
      <c r="U180" s="1"/>
      <c r="V180" s="1"/>
      <c r="W180" s="1"/>
      <c r="X180" s="1"/>
      <c r="Y180" s="1"/>
      <c r="Z180" s="1"/>
    </row>
    <row r="181" spans="21:26" x14ac:dyDescent="0.2">
      <c r="U181" s="1"/>
      <c r="V181" s="1"/>
      <c r="W181" s="1"/>
      <c r="X181" s="1"/>
      <c r="Y181" s="1"/>
      <c r="Z181" s="1"/>
    </row>
    <row r="182" spans="21:26" x14ac:dyDescent="0.2">
      <c r="U182" s="1"/>
      <c r="V182" s="1"/>
      <c r="W182" s="1"/>
      <c r="X182" s="1"/>
      <c r="Y182" s="1"/>
      <c r="Z182" s="1"/>
    </row>
    <row r="183" spans="21:26" x14ac:dyDescent="0.2">
      <c r="U183" s="1"/>
      <c r="V183" s="1"/>
      <c r="W183" s="1"/>
      <c r="X183" s="1"/>
      <c r="Y183" s="1"/>
      <c r="Z183" s="1"/>
    </row>
    <row r="184" spans="21:26" x14ac:dyDescent="0.2">
      <c r="U184" s="1"/>
      <c r="V184" s="1"/>
      <c r="W184" s="1"/>
      <c r="X184" s="1"/>
      <c r="Y184" s="1"/>
      <c r="Z184" s="1"/>
    </row>
    <row r="185" spans="21:26" x14ac:dyDescent="0.2">
      <c r="U185" s="1"/>
      <c r="V185" s="1"/>
      <c r="W185" s="1"/>
      <c r="X185" s="1"/>
      <c r="Y185" s="1"/>
      <c r="Z185" s="1"/>
    </row>
    <row r="186" spans="21:26" x14ac:dyDescent="0.2">
      <c r="U186" s="1"/>
      <c r="V186" s="1"/>
      <c r="W186" s="1"/>
      <c r="X186" s="1"/>
      <c r="Y186" s="1"/>
      <c r="Z186" s="1"/>
    </row>
    <row r="187" spans="21:26" x14ac:dyDescent="0.2">
      <c r="U187" s="1"/>
      <c r="V187" s="1"/>
      <c r="W187" s="1"/>
      <c r="X187" s="1"/>
      <c r="Y187" s="1"/>
      <c r="Z187" s="1"/>
    </row>
    <row r="188" spans="21:26" x14ac:dyDescent="0.2">
      <c r="U188" s="1"/>
      <c r="V188" s="1"/>
      <c r="W188" s="1"/>
      <c r="X188" s="1"/>
      <c r="Y188" s="1"/>
      <c r="Z188" s="1"/>
    </row>
    <row r="189" spans="21:26" x14ac:dyDescent="0.2">
      <c r="U189" s="1"/>
      <c r="V189" s="1"/>
      <c r="W189" s="1"/>
      <c r="X189" s="1"/>
      <c r="Y189" s="1"/>
      <c r="Z189" s="1"/>
    </row>
    <row r="190" spans="21:26" x14ac:dyDescent="0.2">
      <c r="U190" s="1"/>
      <c r="V190" s="1"/>
      <c r="W190" s="1"/>
      <c r="X190" s="1"/>
      <c r="Y190" s="1"/>
      <c r="Z190" s="1"/>
    </row>
    <row r="191" spans="21:26" x14ac:dyDescent="0.2">
      <c r="U191" s="1"/>
      <c r="V191" s="1"/>
      <c r="W191" s="1"/>
      <c r="X191" s="1"/>
      <c r="Y191" s="1"/>
      <c r="Z191" s="1"/>
    </row>
    <row r="192" spans="21:26" x14ac:dyDescent="0.2">
      <c r="U192" s="1"/>
      <c r="V192" s="1"/>
      <c r="W192" s="1"/>
      <c r="X192" s="1"/>
      <c r="Y192" s="1"/>
      <c r="Z192" s="1"/>
    </row>
    <row r="193" spans="1:26" x14ac:dyDescent="0.2">
      <c r="U193" s="1"/>
      <c r="V193" s="1"/>
      <c r="W193" s="1"/>
      <c r="X193" s="1"/>
      <c r="Y193" s="1"/>
      <c r="Z193" s="1"/>
    </row>
    <row r="194" spans="1:26" x14ac:dyDescent="0.2">
      <c r="U194" s="1"/>
      <c r="V194" s="1"/>
      <c r="W194" s="1"/>
      <c r="X194" s="1"/>
      <c r="Y194" s="1"/>
      <c r="Z194" s="1"/>
    </row>
    <row r="195" spans="1:26" x14ac:dyDescent="0.2">
      <c r="U195" s="1"/>
      <c r="V195" s="1"/>
      <c r="W195" s="1"/>
      <c r="X195" s="1"/>
      <c r="Y195" s="1"/>
      <c r="Z195" s="1"/>
    </row>
    <row r="196" spans="1:26" x14ac:dyDescent="0.2">
      <c r="U196" s="1"/>
      <c r="V196" s="1"/>
      <c r="W196" s="1"/>
      <c r="X196" s="1"/>
      <c r="Y196" s="1"/>
      <c r="Z196" s="1"/>
    </row>
    <row r="197" spans="1:26" x14ac:dyDescent="0.2">
      <c r="U197" s="1"/>
      <c r="V197" s="1"/>
      <c r="W197" s="1"/>
      <c r="X197" s="1"/>
      <c r="Y197" s="1"/>
      <c r="Z197" s="1"/>
    </row>
    <row r="198" spans="1:26" x14ac:dyDescent="0.2">
      <c r="U198" s="1"/>
      <c r="V198" s="1"/>
      <c r="W198" s="1"/>
      <c r="X198" s="1"/>
      <c r="Y198" s="1"/>
      <c r="Z198" s="1"/>
    </row>
    <row r="201" spans="1:26" ht="15" x14ac:dyDescent="0.2">
      <c r="A201" s="31">
        <f>_SPECIFICvarPubDate</f>
        <v>45849</v>
      </c>
      <c r="B201" s="21" t="str">
        <f>$A$1</f>
        <v>RANDOM LENGTHS PANEL REPORT</v>
      </c>
      <c r="C201" s="29"/>
      <c r="D201" s="29"/>
      <c r="E201" s="29"/>
      <c r="F201" s="29"/>
      <c r="G201" s="29"/>
      <c r="H201" s="2" t="s">
        <v>105</v>
      </c>
    </row>
    <row r="205" spans="1:26" x14ac:dyDescent="0.2">
      <c r="A205" s="47" t="s">
        <v>106</v>
      </c>
      <c r="K205" s="47" t="s">
        <v>107</v>
      </c>
      <c r="L205" s="47"/>
      <c r="M205" s="47"/>
    </row>
    <row r="206" spans="1:26" x14ac:dyDescent="0.2">
      <c r="A206" s="4" t="s">
        <v>41</v>
      </c>
      <c r="K206" s="4" t="s">
        <v>108</v>
      </c>
      <c r="L206" s="4"/>
      <c r="M206" s="4"/>
    </row>
    <row r="207" spans="1:26" x14ac:dyDescent="0.2">
      <c r="F207" s="40" t="s">
        <v>109</v>
      </c>
      <c r="G207" s="40"/>
    </row>
    <row r="208" spans="1:26" x14ac:dyDescent="0.2">
      <c r="B208" s="8" t="s">
        <v>29</v>
      </c>
      <c r="C208" s="8" t="s">
        <v>30</v>
      </c>
      <c r="D208" s="8" t="s">
        <v>33</v>
      </c>
      <c r="E208" s="8" t="s">
        <v>35</v>
      </c>
      <c r="F208" s="8" t="s">
        <v>110</v>
      </c>
      <c r="G208" s="8" t="s">
        <v>111</v>
      </c>
      <c r="L208" s="8" t="s">
        <v>112</v>
      </c>
      <c r="M208" s="8" t="s">
        <v>113</v>
      </c>
      <c r="N208" s="8" t="s">
        <v>114</v>
      </c>
      <c r="O208" s="8" t="s">
        <v>115</v>
      </c>
      <c r="P208" s="8" t="s">
        <v>116</v>
      </c>
      <c r="Q208" s="8" t="s">
        <v>117</v>
      </c>
      <c r="R208" s="8" t="s">
        <v>118</v>
      </c>
      <c r="S208" s="8" t="s">
        <v>119</v>
      </c>
    </row>
    <row r="209" spans="1:19" x14ac:dyDescent="0.2">
      <c r="A209" s="18" t="s">
        <v>120</v>
      </c>
      <c r="B209" s="23">
        <f t="array" ref="B209">_xll.GetPrice("FP-PNL-0055","Actual","Low",_SPECIFICvarPubDate)</f>
        <v>340</v>
      </c>
      <c r="C209" s="23">
        <f t="array" ref="C209">_xll.GetPrice("FP-PNL-0056","Actual","Low",_SPECIFICvarPubDate)</f>
        <v>340</v>
      </c>
      <c r="D209" s="23">
        <f t="array" ref="D209">_xll.GetPrice("FP-PNL-0057","Actual","Low",_SPECIFICvarPubDate)</f>
        <v>370</v>
      </c>
      <c r="E209" s="23">
        <f t="array" ref="E209">_xll.GetPrice("FP-PNL-0058","Actual","Low",_SPECIFICvarPubDate)</f>
        <v>390</v>
      </c>
      <c r="F209" s="23">
        <f t="array" ref="F209">_xll.GetPrice("FP-PNL-0059","Actual","Low",_SPECIFICvarPubDate)</f>
        <v>510</v>
      </c>
      <c r="G209" s="23">
        <f t="array" ref="G209">_xll.GetPrice("FP-PNL-0060","Actual","Low",_SPECIFICvarPubDate)</f>
        <v>625</v>
      </c>
      <c r="K209" s="8" t="s">
        <v>121</v>
      </c>
      <c r="L209" s="23">
        <f t="array" ref="L209">_xll.GetPrice("FP-PNL-0421","Actual","Low",_SPECIFICvarPubDate)</f>
        <v>618</v>
      </c>
      <c r="M209" s="23">
        <f t="array" ref="M209">_xll.GetPrice("FP-PNL-0426","Actual","Low",_SPECIFICvarPubDate)</f>
        <v>633</v>
      </c>
      <c r="N209" s="23">
        <f t="array" ref="N209">_xll.GetPrice("FP-PNL-0431","Actual","Low",_SPECIFICvarPubDate)</f>
        <v>648</v>
      </c>
      <c r="O209" s="23">
        <f t="array" ref="O209">_xll.GetPrice("FP-PNL-0436","Actual","Low",_SPECIFICvarPubDate)</f>
        <v>658</v>
      </c>
      <c r="P209" s="23">
        <f t="array" ref="P209">_xll.GetPrice("FP-PNL-0337","Actual","Low",_SPECIFICvarPubDate)</f>
        <v>651</v>
      </c>
      <c r="Q209" s="23">
        <f t="array" ref="Q209">_xll.GetPrice("FP-PNL-0445","Actual","Low",_SPECIFICvarPubDate)</f>
        <v>661</v>
      </c>
      <c r="R209" s="23">
        <f t="array" ref="R209">_xll.GetPrice("FP-PNL-0450","Actual","Low",_SPECIFICvarPubDate)</f>
        <v>686</v>
      </c>
      <c r="S209" s="23">
        <f t="array" ref="S209">_xll.GetPrice("FP-PNL-0455","Actual","Low",_SPECIFICvarPubDate)</f>
        <v>696</v>
      </c>
    </row>
    <row r="210" spans="1:19" x14ac:dyDescent="0.2">
      <c r="A210" s="18" t="s">
        <v>122</v>
      </c>
      <c r="B210" s="23">
        <f t="array" ref="B210">_xll.GetPrice("FP-PNL-0061","Actual","Low",_SPECIFICvarPubDate)</f>
        <v>330</v>
      </c>
      <c r="C210" s="23">
        <f t="array" ref="C210">_xll.GetPrice("FP-PNL-0062","Actual","Low",_SPECIFICvarPubDate)</f>
        <v>330</v>
      </c>
      <c r="D210" s="23">
        <f t="array" ref="D210">_xll.GetPrice("FP-PNL-0063","Actual","Low",_SPECIFICvarPubDate)</f>
        <v>360</v>
      </c>
      <c r="E210" s="23">
        <f t="array" ref="E210">_xll.GetPrice("FP-PNL-0064","Actual","Low",_SPECIFICvarPubDate)</f>
        <v>380</v>
      </c>
      <c r="F210" s="23">
        <f t="array" ref="F210">_xll.GetPrice("FP-PNL-0065","Actual","Low",_SPECIFICvarPubDate)</f>
        <v>505</v>
      </c>
      <c r="G210" s="23">
        <f t="array" ref="G210">_xll.GetPrice("FP-PNL-0066","Actual","Low",_SPECIFICvarPubDate)</f>
        <v>620</v>
      </c>
      <c r="K210" s="8" t="s">
        <v>123</v>
      </c>
      <c r="L210" s="23">
        <f t="array" ref="L210">_xll.GetPrice("FP-PNL-0422","Actual","Low",_SPECIFICvarPubDate)</f>
        <v>824</v>
      </c>
      <c r="M210" s="23">
        <f t="array" ref="M210">_xll.GetPrice("FP-PNL-0427","Actual","Low",_SPECIFICvarPubDate)</f>
        <v>844</v>
      </c>
      <c r="N210" s="23">
        <f t="array" ref="N210">_xll.GetPrice("FP-PNL-0432","Actual","Low",_SPECIFICvarPubDate)</f>
        <v>864</v>
      </c>
      <c r="O210" s="23">
        <f t="array" ref="O210">_xll.GetPrice("FP-PNL-0437","Actual","Low",_SPECIFICvarPubDate)</f>
        <v>877</v>
      </c>
      <c r="P210" s="23">
        <f t="array" ref="P210">_xll.GetPrice("FP-PNL-0441","Actual","Low",_SPECIFICvarPubDate)</f>
        <v>868</v>
      </c>
      <c r="Q210" s="23">
        <f t="array" ref="Q210">_xll.GetPrice("FP-PNL-0446","Actual","Low",_SPECIFICvarPubDate)</f>
        <v>881</v>
      </c>
      <c r="R210" s="23">
        <f t="array" ref="R210">_xll.GetPrice("FP-PNL-0451","Actual","Low",_SPECIFICvarPubDate)</f>
        <v>915</v>
      </c>
      <c r="S210" s="23">
        <f t="array" ref="S210">_xll.GetPrice("FP-PNL-0456","Actual","Low",_SPECIFICvarPubDate)</f>
        <v>928</v>
      </c>
    </row>
    <row r="211" spans="1:19" x14ac:dyDescent="0.2">
      <c r="A211" s="18" t="s">
        <v>124</v>
      </c>
      <c r="B211" s="23">
        <f t="array" ref="B211">_xll.GetPrice("FP-PNL-0067","Actual","Low",_SPECIFICvarPubDate)</f>
        <v>340</v>
      </c>
      <c r="C211" s="23">
        <f t="array" ref="C211">_xll.GetPrice("FP-PNL-0068","Actual","Low",_SPECIFICvarPubDate)</f>
        <v>340</v>
      </c>
      <c r="D211" s="23">
        <f t="array" ref="D211">_xll.GetPrice("FP-PNL-0069","Actual","Low",_SPECIFICvarPubDate)</f>
        <v>370</v>
      </c>
      <c r="E211" s="23">
        <f t="array" ref="E211">_xll.GetPrice("FP-PNL-0070","Actual","Low",_SPECIFICvarPubDate)</f>
        <v>390</v>
      </c>
      <c r="F211" s="23">
        <f t="array" ref="F211">_xll.GetPrice("FP-PNL-0071","Actual","Low",_SPECIFICvarPubDate)</f>
        <v>510</v>
      </c>
      <c r="G211" s="23">
        <f t="array" ref="G211">_xll.GetPrice("FP-PNL-0072","Actual","Low",_SPECIFICvarPubDate)</f>
        <v>630</v>
      </c>
      <c r="K211" s="8" t="s">
        <v>125</v>
      </c>
      <c r="L211" s="23">
        <f t="array" ref="L211">_xll.GetPrice("FP-PNL-0423","Actual","Low",_SPECIFICvarPubDate)</f>
        <v>1030</v>
      </c>
      <c r="M211" s="23">
        <f t="array" ref="M211">_xll.GetPrice("FP-PNL-0428","Actual","Low",_SPECIFICvarPubDate)</f>
        <v>1055</v>
      </c>
      <c r="N211" s="23">
        <f t="array" ref="N211">_xll.GetPrice("FP-PNL-0433","Actual","Low",_SPECIFICvarPubDate)</f>
        <v>1080</v>
      </c>
      <c r="O211" s="23">
        <f t="array" ref="O211">_xll.GetPrice("FP-PNL-0438","Actual","Low",_SPECIFICvarPubDate)</f>
        <v>1097</v>
      </c>
      <c r="P211" s="23">
        <f t="array" ref="P211">_xll.GetPrice("FP-PNL-0442","Actual","Low",_SPECIFICvarPubDate)</f>
        <v>1085</v>
      </c>
      <c r="Q211" s="23">
        <f t="array" ref="Q211">_xll.GetPrice("FP-PNL-0447","Actual","Low",_SPECIFICvarPubDate)</f>
        <v>1102</v>
      </c>
      <c r="R211" s="23">
        <f t="array" ref="R211">_xll.GetPrice("FP-PNL-0452","Actual","Low",_SPECIFICvarPubDate)</f>
        <v>1143</v>
      </c>
      <c r="S211" s="23">
        <f t="array" ref="S211">_xll.GetPrice("FP-PNL-0457","Actual","Low",_SPECIFICvarPubDate)</f>
        <v>1160</v>
      </c>
    </row>
    <row r="212" spans="1:19" x14ac:dyDescent="0.2">
      <c r="A212" s="18" t="s">
        <v>126</v>
      </c>
      <c r="B212" s="23">
        <f t="array" ref="B212">_xll.GetPrice("FP-PNL-0073","Actual","Low",_SPECIFICvarPubDate)</f>
        <v>315</v>
      </c>
      <c r="C212" s="23">
        <f t="array" ref="C212">_xll.GetPrice("FP-PNL-0074","Actual","Low",_SPECIFICvarPubDate)</f>
        <v>315</v>
      </c>
      <c r="D212" s="23">
        <f t="array" ref="D212">_xll.GetPrice("FP-PNL-0075","Actual","Low",_SPECIFICvarPubDate)</f>
        <v>345</v>
      </c>
      <c r="E212" s="23">
        <f t="array" ref="E212">_xll.GetPrice("FP-PNL-0076","Actual","Low",_SPECIFICvarPubDate)</f>
        <v>365</v>
      </c>
      <c r="F212" s="23">
        <f t="array" ref="F212">_xll.GetPrice("FP-PNL-0077","Actual","Low",_SPECIFICvarPubDate)</f>
        <v>495</v>
      </c>
      <c r="G212" s="23">
        <f t="array" ref="G212">_xll.GetPrice("FP-PNL-0078","Actual","Low",_SPECIFICvarPubDate)</f>
        <v>615</v>
      </c>
      <c r="K212" s="8" t="s">
        <v>127</v>
      </c>
      <c r="L212" s="23">
        <f t="array" ref="L212">_xll.GetPrice("FP-PNL-0424","Actual","Low",_SPECIFICvarPubDate)</f>
        <v>1236</v>
      </c>
      <c r="M212" s="23">
        <f t="array" ref="M212">_xll.GetPrice("FP-PNL-0429","Actual","Low",_SPECIFICvarPubDate)</f>
        <v>1266</v>
      </c>
      <c r="N212" s="23">
        <f t="array" ref="N212">_xll.GetPrice("FP-PNL-0434","Actual","Low",_SPECIFICvarPubDate)</f>
        <v>1296</v>
      </c>
      <c r="O212" s="23">
        <f t="array" ref="O212">_xll.GetPrice("FP-PNL-0439","Actual","Low",_SPECIFICvarPubDate)</f>
        <v>1316</v>
      </c>
      <c r="P212" s="23">
        <f t="array" ref="P212">_xll.GetPrice("FP-PNL-0443","Actual","Low",_SPECIFICvarPubDate)</f>
        <v>1302</v>
      </c>
      <c r="Q212" s="23">
        <f t="array" ref="Q212">_xll.GetPrice("FP-PNL-0448","Actual","Low",_SPECIFICvarPubDate)</f>
        <v>1322</v>
      </c>
      <c r="R212" s="23">
        <f t="array" ref="R212">_xll.GetPrice("FP-PNL-0453","Actual","Low",_SPECIFICvarPubDate)</f>
        <v>1372</v>
      </c>
      <c r="S212" s="23">
        <f t="array" ref="S212">_xll.GetPrice("FP-PNL-0458","Actual","Low",_SPECIFICvarPubDate)</f>
        <v>1392</v>
      </c>
    </row>
    <row r="213" spans="1:19" x14ac:dyDescent="0.2">
      <c r="A213" s="18" t="s">
        <v>128</v>
      </c>
      <c r="B213" s="23">
        <f t="array" ref="B213">_xll.GetPrice("FP-PNL-0079","Actual","Low",_SPECIFICvarPubDate)</f>
        <v>325</v>
      </c>
      <c r="C213" s="23">
        <f t="array" ref="C213">_xll.GetPrice("FP-PNL-0080","Actual","Low",_SPECIFICvarPubDate)</f>
        <v>325</v>
      </c>
      <c r="D213" s="23">
        <f t="array" ref="D213">_xll.GetPrice("FP-PNL-0081","Actual","Low",_SPECIFICvarPubDate)</f>
        <v>355</v>
      </c>
      <c r="E213" s="23">
        <f t="array" ref="E213">_xll.GetPrice("FP-PNL-0082","Actual","Low",_SPECIFICvarPubDate)</f>
        <v>375</v>
      </c>
      <c r="F213" s="23">
        <f t="array" ref="F213">_xll.GetPrice("FP-PNL-0083","Actual","Low",_SPECIFICvarPubDate)</f>
        <v>500</v>
      </c>
      <c r="G213" s="23">
        <f t="array" ref="G213">_xll.GetPrice("FP-PNL-0084","Actual","Low",_SPECIFICvarPubDate)</f>
        <v>620</v>
      </c>
      <c r="K213" s="8" t="s">
        <v>129</v>
      </c>
      <c r="L213" s="23">
        <f t="array" ref="L213">_xll.GetPrice("FP-PNL-0425","Actual","Low",_SPECIFICvarPubDate)</f>
        <v>1870</v>
      </c>
      <c r="M213" s="23">
        <f t="array" ref="M213">_xll.GetPrice("FP-PNL-0430","Actual","Low",_SPECIFICvarPubDate)</f>
        <v>1911</v>
      </c>
      <c r="N213" s="23">
        <f t="array" ref="N213">_xll.GetPrice("FP-PNL-0435","Actual","Low",_SPECIFICvarPubDate)</f>
        <v>1951</v>
      </c>
      <c r="O213" s="23">
        <f t="array" ref="O213">_xll.GetPrice("FP-PNL-0440","Actual","Low",_SPECIFICvarPubDate)</f>
        <v>1977</v>
      </c>
      <c r="P213" s="23">
        <f t="array" ref="P213">_xll.GetPrice("FP-PNL-0444","Actual","Low",_SPECIFICvarPubDate)</f>
        <v>1953</v>
      </c>
      <c r="Q213" s="23">
        <f t="array" ref="Q213">_xll.GetPrice("FP-PNL-0449","Actual","Low",_SPECIFICvarPubDate)</f>
        <v>1980</v>
      </c>
      <c r="R213" s="23">
        <f t="array" ref="R213">_xll.GetPrice("FP-PNL-0454","Actual","Low",_SPECIFICvarPubDate)</f>
        <v>2046</v>
      </c>
      <c r="S213" s="23">
        <f t="array" ref="S213">_xll.GetPrice("FP-PNL-0459","Actual","Low",_SPECIFICvarPubDate)</f>
        <v>2073</v>
      </c>
    </row>
    <row r="214" spans="1:19" x14ac:dyDescent="0.2">
      <c r="A214" s="18" t="s">
        <v>130</v>
      </c>
      <c r="B214" s="23">
        <f t="array" ref="B214">_xll.GetPrice("FP-PNL-0085","Actual","Low",_SPECIFICvarPubDate)</f>
        <v>330</v>
      </c>
      <c r="C214" s="23">
        <f t="array" ref="C214">_xll.GetPrice("FP-PNL-0086","Actual","Low",_SPECIFICvarPubDate)</f>
        <v>335</v>
      </c>
      <c r="D214" s="23">
        <f t="array" ref="D214">_xll.GetPrice("FP-PNL-0087","Actual","Low",_SPECIFICvarPubDate)</f>
        <v>355</v>
      </c>
      <c r="E214" s="23">
        <f t="array" ref="E214">_xll.GetPrice("FP-PNL-0088","Actual","Low",_SPECIFICvarPubDate)</f>
        <v>375</v>
      </c>
      <c r="F214" s="23">
        <f t="array" ref="F214">_xll.GetPrice("FP-PNL-0089","Actual","Low",_SPECIFICvarPubDate)</f>
        <v>510</v>
      </c>
      <c r="G214" s="23">
        <f t="array" ref="G214">_xll.GetPrice("FP-PNL-0090","Actual","Low",_SPECIFICvarPubDate)</f>
        <v>620</v>
      </c>
      <c r="K214" s="35" t="s">
        <v>131</v>
      </c>
      <c r="M214" s="23">
        <f t="array" ref="M214">_xll.GetPrice("FP-PNL-0339","Actual","Low",_SPECIFICvarPubDate)</f>
        <v>60</v>
      </c>
    </row>
    <row r="215" spans="1:19" x14ac:dyDescent="0.2">
      <c r="A215" s="18" t="s">
        <v>132</v>
      </c>
      <c r="B215" s="23">
        <f t="array" ref="B215">_xll.GetPrice("FP-PNL-0091","Actual","Low",_SPECIFICvarPubDate)</f>
        <v>360</v>
      </c>
      <c r="C215" s="23">
        <f t="array" ref="C215">_xll.GetPrice("FP-PNL-0092","Actual","Low",_SPECIFICvarPubDate)</f>
        <v>360</v>
      </c>
      <c r="D215" s="23">
        <f t="array" ref="D215">_xll.GetPrice("FP-PNL-0093","Actual","Low",_SPECIFICvarPubDate)</f>
        <v>380</v>
      </c>
      <c r="E215" s="23">
        <f t="array" ref="E215">_xll.GetPrice("FP-PNL-0094","Actual","Low",_SPECIFICvarPubDate)</f>
        <v>400</v>
      </c>
      <c r="F215" s="23">
        <f t="array" ref="F215">_xll.GetPrice("FP-PNL-0095","Actual","Low",_SPECIFICvarPubDate)</f>
        <v>555</v>
      </c>
      <c r="G215" s="23">
        <f t="array" ref="G215">_xll.GetPrice("FP-PNL-0096","Actual","Low",_SPECIFICvarPubDate)</f>
        <v>660</v>
      </c>
      <c r="K215" s="35" t="s">
        <v>133</v>
      </c>
      <c r="M215" s="23">
        <f t="array" ref="M215">_xll.GetPrice("FP-PNL-0340","Actual","Low",_SPECIFICvarPubDate)</f>
        <v>20</v>
      </c>
    </row>
    <row r="216" spans="1:19" x14ac:dyDescent="0.2">
      <c r="A216" s="18" t="s">
        <v>134</v>
      </c>
      <c r="B216" s="23">
        <f t="array" ref="B216">_xll.GetPrice("FP-PNL-0097","Actual","Low",_SPECIFICvarPubDate)</f>
        <v>377</v>
      </c>
      <c r="C216" s="23">
        <f t="array" ref="C216">_xll.GetPrice("FP-PNL-0098","Actual","Low",_SPECIFICvarPubDate)</f>
        <v>377</v>
      </c>
      <c r="D216" s="23">
        <f t="array" ref="D216">_xll.GetPrice("FP-PNL-0099","Actual","Low",_SPECIFICvarPubDate)</f>
        <v>402</v>
      </c>
      <c r="E216" s="23">
        <f t="array" ref="E216">_xll.GetPrice("FP-PNL-0100","Actual","Low",_SPECIFICvarPubDate)</f>
        <v>422</v>
      </c>
      <c r="F216" s="23">
        <f t="array" ref="F216">_xll.GetPrice("FP-PNL-0101","Actual","Low",_SPECIFICvarPubDate)</f>
        <v>574</v>
      </c>
      <c r="G216" s="23">
        <f t="array" ref="G216">_xll.GetPrice("FP-PNL-0102","Actual","Low",_SPECIFICvarPubDate)</f>
        <v>679</v>
      </c>
    </row>
    <row r="217" spans="1:19" x14ac:dyDescent="0.2">
      <c r="A217" s="18" t="s">
        <v>135</v>
      </c>
      <c r="B217" s="23">
        <f t="array" ref="B217">_xll.GetPrice("FP-PNL-0103","Actual","Low",_SPECIFICvarPubDate)</f>
        <v>382</v>
      </c>
      <c r="C217" s="23">
        <f t="array" ref="C217">_xll.GetPrice("FP-PNL-0104","Actual","Low",_SPECIFICvarPubDate)</f>
        <v>382</v>
      </c>
      <c r="D217" s="23">
        <f t="array" ref="D217">_xll.GetPrice("FP-PNL-0105","Actual","Low",_SPECIFICvarPubDate)</f>
        <v>407</v>
      </c>
      <c r="E217" s="23">
        <f t="array" ref="E217">_xll.GetPrice("FP-PNL-0106","Actual","Low",_SPECIFICvarPubDate)</f>
        <v>427</v>
      </c>
      <c r="F217" s="23">
        <f t="array" ref="F217">_xll.GetPrice("FP-PNL-0107","Actual","Low",_SPECIFICvarPubDate)</f>
        <v>579</v>
      </c>
      <c r="G217" s="23">
        <f t="array" ref="G217">_xll.GetPrice("FP-PNL-0108","Actual","Low",_SPECIFICvarPubDate)</f>
        <v>684</v>
      </c>
    </row>
    <row r="218" spans="1:19" x14ac:dyDescent="0.2">
      <c r="K218" s="4" t="s">
        <v>136</v>
      </c>
      <c r="L218" s="4"/>
      <c r="M218" s="4"/>
    </row>
    <row r="219" spans="1:19" x14ac:dyDescent="0.2">
      <c r="L219" s="8" t="s">
        <v>112</v>
      </c>
      <c r="M219" s="8" t="s">
        <v>113</v>
      </c>
      <c r="N219" s="8" t="s">
        <v>114</v>
      </c>
      <c r="O219" s="8" t="s">
        <v>115</v>
      </c>
      <c r="P219" s="8" t="s">
        <v>116</v>
      </c>
      <c r="Q219" s="8" t="s">
        <v>117</v>
      </c>
      <c r="R219" s="8" t="s">
        <v>118</v>
      </c>
      <c r="S219" s="8" t="s">
        <v>119</v>
      </c>
    </row>
    <row r="220" spans="1:19" x14ac:dyDescent="0.2">
      <c r="K220" s="8" t="s">
        <v>121</v>
      </c>
      <c r="L220" s="23">
        <f t="array" ref="L220">_xll.GetPrice("FP-PNL-0460","Actual","Low",_SPECIFICvarPubDate)</f>
        <v>618</v>
      </c>
      <c r="M220" s="23">
        <f t="array" ref="M220">_xll.GetPrice("FP-PNL-0465","Actual","Low",_SPECIFICvarPubDate)</f>
        <v>633</v>
      </c>
      <c r="N220" s="23">
        <f t="array" ref="N220">_xll.GetPrice("FP-PNL-0470","Actual","Low",_SPECIFICvarPubDate)</f>
        <v>648</v>
      </c>
      <c r="O220" s="23">
        <f t="array" ref="O220">_xll.GetPrice("FP-PNL-0475","Actual","Low",_SPECIFICvarPubDate)</f>
        <v>658</v>
      </c>
      <c r="P220" s="23">
        <f t="array" ref="P220">_xll.GetPrice("FP-PNL-0338","Actual","Low",_SPECIFICvarPubDate)</f>
        <v>651</v>
      </c>
      <c r="Q220" s="23">
        <f t="array" ref="Q220">_xll.GetPrice("FP-PNL-0484","Actual","Low",_SPECIFICvarPubDate)</f>
        <v>661</v>
      </c>
      <c r="R220" s="23">
        <f t="array" ref="R220">_xll.GetPrice("FP-PNL-0489","Actual","Low",_SPECIFICvarPubDate)</f>
        <v>686</v>
      </c>
      <c r="S220" s="23">
        <f t="array" ref="S220">_xll.GetPrice("FP-PNL-0494","Actual","Low",_SPECIFICvarPubDate)</f>
        <v>696</v>
      </c>
    </row>
    <row r="221" spans="1:19" x14ac:dyDescent="0.2">
      <c r="K221" s="8" t="s">
        <v>123</v>
      </c>
      <c r="L221" s="23">
        <f t="array" ref="L221">_xll.GetPrice("FP-PNL-0461","Actual","Low",_SPECIFICvarPubDate)</f>
        <v>824</v>
      </c>
      <c r="M221" s="23">
        <f t="array" ref="M221">_xll.GetPrice("FP-PNL-0466","Actual","Low",_SPECIFICvarPubDate)</f>
        <v>844</v>
      </c>
      <c r="N221" s="23">
        <f t="array" ref="N221">_xll.GetPrice("FP-PNL-0471","Actual","Low",_SPECIFICvarPubDate)</f>
        <v>864</v>
      </c>
      <c r="O221" s="23">
        <f t="array" ref="O221">_xll.GetPrice("FP-PNL-0476","Actual","Low",_SPECIFICvarPubDate)</f>
        <v>877</v>
      </c>
      <c r="P221" s="23">
        <f t="array" ref="P221">_xll.GetPrice("FP-PNL-0480","Actual","Low",_SPECIFICvarPubDate)</f>
        <v>868</v>
      </c>
      <c r="Q221" s="23">
        <f t="array" ref="Q221">_xll.GetPrice("FP-PNL-0485","Actual","Low",_SPECIFICvarPubDate)</f>
        <v>881</v>
      </c>
      <c r="R221" s="23">
        <f t="array" ref="R221">_xll.GetPrice("FP-PNL-0490","Actual","Low",_SPECIFICvarPubDate)</f>
        <v>915</v>
      </c>
      <c r="S221" s="23">
        <f t="array" ref="S221">_xll.GetPrice("FP-PNL-0495","Actual","Low",_SPECIFICvarPubDate)</f>
        <v>928</v>
      </c>
    </row>
    <row r="222" spans="1:19" x14ac:dyDescent="0.2">
      <c r="K222" s="8" t="s">
        <v>125</v>
      </c>
      <c r="L222" s="23">
        <f t="array" ref="L222">_xll.GetPrice("FP-PNL-0462","Actual","Low",_SPECIFICvarPubDate)</f>
        <v>1030</v>
      </c>
      <c r="M222" s="23">
        <f t="array" ref="M222">_xll.GetPrice("FP-PNL-0467","Actual","Low",_SPECIFICvarPubDate)</f>
        <v>1055</v>
      </c>
      <c r="N222" s="23">
        <f t="array" ref="N222">_xll.GetPrice("FP-PNL-0472","Actual","Low",_SPECIFICvarPubDate)</f>
        <v>1080</v>
      </c>
      <c r="O222" s="23">
        <f t="array" ref="O222">_xll.GetPrice("FP-PNL-0477","Actual","Low",_SPECIFICvarPubDate)</f>
        <v>1097</v>
      </c>
      <c r="P222" s="23">
        <f t="array" ref="P222">_xll.GetPrice("FP-PNL-0481","Actual","Low",_SPECIFICvarPubDate)</f>
        <v>1085</v>
      </c>
      <c r="Q222" s="23">
        <f t="array" ref="Q222">_xll.GetPrice("FP-PNL-0486","Actual","Low",_SPECIFICvarPubDate)</f>
        <v>1102</v>
      </c>
      <c r="R222" s="23">
        <f t="array" ref="R222">_xll.GetPrice("FP-PNL-0491","Actual","Low",_SPECIFICvarPubDate)</f>
        <v>1143</v>
      </c>
      <c r="S222" s="23">
        <f t="array" ref="S222">_xll.GetPrice("FP-PNL-0496","Actual","Low",_SPECIFICvarPubDate)</f>
        <v>1160</v>
      </c>
    </row>
    <row r="223" spans="1:19" x14ac:dyDescent="0.2">
      <c r="K223" s="8" t="s">
        <v>127</v>
      </c>
      <c r="L223" s="23">
        <f t="array" ref="L223">_xll.GetPrice("FP-PNL-0463","Actual","Low",_SPECIFICvarPubDate)</f>
        <v>1236</v>
      </c>
      <c r="M223" s="23">
        <f t="array" ref="M223">_xll.GetPrice("FP-PNL-0468","Actual","Low",_SPECIFICvarPubDate)</f>
        <v>1266</v>
      </c>
      <c r="N223" s="23">
        <f t="array" ref="N223">_xll.GetPrice("FP-PNL-0473","Actual","Low",_SPECIFICvarPubDate)</f>
        <v>1296</v>
      </c>
      <c r="O223" s="23">
        <f t="array" ref="O223">_xll.GetPrice("FP-PNL-0478","Actual","Low",_SPECIFICvarPubDate)</f>
        <v>1316</v>
      </c>
      <c r="P223" s="23">
        <f t="array" ref="P223">_xll.GetPrice("FP-PNL-0482","Actual","Low",_SPECIFICvarPubDate)</f>
        <v>1302</v>
      </c>
      <c r="Q223" s="23">
        <f t="array" ref="Q223">_xll.GetPrice("FP-PNL-0487","Actual","Low",_SPECIFICvarPubDate)</f>
        <v>1322</v>
      </c>
      <c r="R223" s="23">
        <f t="array" ref="R223">_xll.GetPrice("FP-PNL-0492","Actual","Low",_SPECIFICvarPubDate)</f>
        <v>1372</v>
      </c>
      <c r="S223" s="23">
        <f t="array" ref="S223">_xll.GetPrice("FP-PNL-0497","Actual","Low",_SPECIFICvarPubDate)</f>
        <v>1392</v>
      </c>
    </row>
    <row r="224" spans="1:19" x14ac:dyDescent="0.2">
      <c r="K224" s="8" t="s">
        <v>137</v>
      </c>
      <c r="L224" s="23">
        <f t="array" ref="L224">_xll.GetPrice("FP-PNL-0464","Actual","Low",_SPECIFICvarPubDate)</f>
        <v>1870</v>
      </c>
      <c r="M224" s="23">
        <f t="array" ref="M224">_xll.GetPrice("FP-PNL-0469","Actual","Low",_SPECIFICvarPubDate)</f>
        <v>1911</v>
      </c>
      <c r="N224" s="23">
        <f t="array" ref="N224">_xll.GetPrice("FP-PNL-0474","Actual","Low",_SPECIFICvarPubDate)</f>
        <v>1951</v>
      </c>
      <c r="O224" s="23">
        <f t="array" ref="O224">_xll.GetPrice("FP-PNL-0479","Actual","Low",_SPECIFICvarPubDate)</f>
        <v>1977</v>
      </c>
      <c r="P224" s="23">
        <f t="array" ref="P224">_xll.GetPrice("FP-PNL-0483","Actual","Low",_SPECIFICvarPubDate)</f>
        <v>1953</v>
      </c>
      <c r="Q224" s="23">
        <f t="array" ref="Q224">_xll.GetPrice("FP-PNL-0488","Actual","Low",_SPECIFICvarPubDate)</f>
        <v>1980</v>
      </c>
      <c r="R224" s="23">
        <f t="array" ref="R224">_xll.GetPrice("FP-PNL-0493","Actual","Low",_SPECIFICvarPubDate)</f>
        <v>2046</v>
      </c>
      <c r="S224" s="23">
        <f t="array" ref="S224">_xll.GetPrice("FP-PNL-0498","Actual","Low",_SPECIFICvarPubDate)</f>
        <v>2073</v>
      </c>
    </row>
    <row r="225" spans="11:13" x14ac:dyDescent="0.2">
      <c r="K225" s="35" t="s">
        <v>138</v>
      </c>
      <c r="L225" s="35"/>
      <c r="M225" s="23">
        <f t="array" ref="M225">_xll.GetPrice("FP-PNL-0341","Actual","Low",_SPECIFICvarPubDate)</f>
        <v>60</v>
      </c>
    </row>
    <row r="226" spans="11:13" x14ac:dyDescent="0.2">
      <c r="K226" s="35" t="s">
        <v>133</v>
      </c>
      <c r="L226" s="35"/>
      <c r="M226" s="23">
        <f t="array" ref="M226">_xll.GetPrice("FP-PNL-0342","Actual","Low",_SPECIFICvarPubDate)</f>
        <v>20</v>
      </c>
    </row>
    <row r="301" spans="1:14" ht="15" x14ac:dyDescent="0.2">
      <c r="A301" s="31">
        <f>_SPECIFICvarPubDate</f>
        <v>45849</v>
      </c>
      <c r="B301" s="21" t="s">
        <v>0</v>
      </c>
      <c r="C301" s="29"/>
      <c r="D301" s="29"/>
      <c r="E301" s="29"/>
      <c r="F301" s="29"/>
      <c r="G301" s="29"/>
      <c r="H301" s="2" t="s">
        <v>139</v>
      </c>
      <c r="L301" s="44"/>
      <c r="N301" s="44"/>
    </row>
    <row r="302" spans="1:14" x14ac:dyDescent="0.2">
      <c r="L302" s="44"/>
      <c r="M302" s="1"/>
      <c r="N302" s="44"/>
    </row>
    <row r="303" spans="1:14" x14ac:dyDescent="0.2">
      <c r="F303" s="36" t="s">
        <v>140</v>
      </c>
      <c r="G303" s="36" t="s">
        <v>141</v>
      </c>
      <c r="H303" s="36" t="s">
        <v>142</v>
      </c>
      <c r="L303" s="48"/>
      <c r="N303" s="48"/>
    </row>
    <row r="304" spans="1:14" x14ac:dyDescent="0.2">
      <c r="A304" s="37" t="s">
        <v>143</v>
      </c>
      <c r="F304" s="23">
        <f t="array" ref="F304">_xll.GetPrice("FP-PNL-0499","Actual","Low",_SPECIFICvarPubDate)</f>
        <v>444</v>
      </c>
      <c r="G304" s="23">
        <f t="array" ref="G304">_xll.GetPrice("FP-PNL-0499","Actual","Low",_SPECIFICvarPrvWk)</f>
        <v>450</v>
      </c>
      <c r="H304" s="23">
        <f t="array" ref="H304">_xll.GetPrice("FP-PNL-0499","Actual","Low",_SPECIFICvarPrvYr)</f>
        <v>514</v>
      </c>
    </row>
    <row r="305" spans="1:8" x14ac:dyDescent="0.2">
      <c r="A305" s="38" t="s">
        <v>144</v>
      </c>
      <c r="F305" s="23">
        <f t="array" ref="F305">_xll.GetPrice("FP-PNL-0500","Actual","Low",_SPECIFICvarPubDate)</f>
        <v>260</v>
      </c>
      <c r="G305" s="23">
        <f t="array" ref="G305">_xll.GetPrice("FP-PNL-0500","Actual","Low",_SPECIFICvarPrvWk)</f>
        <v>261</v>
      </c>
      <c r="H305" s="23">
        <f t="array" ref="H305">_xll.GetPrice("FP-PNL-0500","Actual","Low",_SPECIFICvarPrvYr)</f>
        <v>352</v>
      </c>
    </row>
    <row r="306" spans="1:8" x14ac:dyDescent="0.2">
      <c r="A306" s="38" t="s">
        <v>145</v>
      </c>
      <c r="F306" s="23">
        <f t="array" ref="F306">_xll.GetPrice("FP-PNL-0501","Actual","Low",_SPECIFICvarPubDate)</f>
        <v>679</v>
      </c>
      <c r="G306" s="23">
        <f t="array" ref="G306">_xll.GetPrice("FP-PNL-0501","Actual","Low",_SPECIFICvarPrvWk)</f>
        <v>689</v>
      </c>
      <c r="H306" s="23">
        <f t="array" ref="H306">_xll.GetPrice("FP-PNL-0501","Actual","Low",_SPECIFICvarPrvYr)</f>
        <v>677</v>
      </c>
    </row>
    <row r="307" spans="1:8" x14ac:dyDescent="0.2">
      <c r="A307" s="38" t="s">
        <v>146</v>
      </c>
      <c r="F307" s="23">
        <f t="array" ref="F307">_xll.GetPrice("FP-PNL-0502","Actual","Low",_SPECIFICvarPubDate)</f>
        <v>949</v>
      </c>
      <c r="G307" s="23">
        <f t="array" ref="G307">_xll.GetPrice("FP-PNL-0502","Actual","Low",_SPECIFICvarPrvWk)</f>
        <v>955</v>
      </c>
      <c r="H307" s="23">
        <f t="array" ref="H307">_xll.GetPrice("FP-PNL-0502","Actual","Low",_SPECIFICvarPrvYr)</f>
        <v>996</v>
      </c>
    </row>
    <row r="308" spans="1:8" x14ac:dyDescent="0.2">
      <c r="A308" s="38" t="s">
        <v>147</v>
      </c>
      <c r="F308" s="23">
        <f t="array" ref="F308">_xll.GetPrice("FP-PNL-0503","Actual","Low",_SPECIFICvarPubDate)</f>
        <v>676</v>
      </c>
      <c r="G308" s="23">
        <f t="array" ref="G308">_xll.GetPrice("FP-PNL-0503","Actual","Low",_SPECIFICvarPrvWk)</f>
        <v>676</v>
      </c>
      <c r="H308" s="23">
        <f t="array" ref="H308">_xll.GetPrice("FP-PNL-0503","Actual","Low",_SPECIFICvarPrvYr)</f>
        <v>677</v>
      </c>
    </row>
    <row r="484" ht="12.75" customHeight="1" x14ac:dyDescent="0.2"/>
    <row r="485" ht="15" customHeight="1" x14ac:dyDescent="0.2"/>
    <row r="486" ht="15" customHeight="1" x14ac:dyDescent="0.2"/>
    <row r="487" ht="15" customHeight="1" x14ac:dyDescent="0.2"/>
    <row r="488" ht="12.75" customHeight="1" x14ac:dyDescent="0.2"/>
    <row r="490" ht="12.75" customHeight="1" x14ac:dyDescent="0.2"/>
    <row r="491" ht="13.5" customHeight="1" x14ac:dyDescent="0.2"/>
    <row r="493" ht="12.75" customHeight="1" x14ac:dyDescent="0.2"/>
    <row r="500" ht="13.5" customHeight="1" x14ac:dyDescent="0.2"/>
    <row r="1561" ht="12" customHeight="1" x14ac:dyDescent="0.2"/>
  </sheetData>
  <phoneticPr fontId="11" type="noConversion"/>
  <printOptions horizontalCentered="1" verticalCentered="1" headings="1" gridLines="1"/>
  <pageMargins left="0.5" right="0.5" top="0.5" bottom="0.5" header="0" footer="0"/>
  <pageSetup scale="1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7BFD7DDE2EAE49AAC78A68AB7AA4C6" ma:contentTypeVersion="18" ma:contentTypeDescription="Create a new document." ma:contentTypeScope="" ma:versionID="f204cc806845aa2af1fdfa580804559a">
  <xsd:schema xmlns:xsd="http://www.w3.org/2001/XMLSchema" xmlns:xs="http://www.w3.org/2001/XMLSchema" xmlns:p="http://schemas.microsoft.com/office/2006/metadata/properties" xmlns:ns2="37a4200c-0ed5-4d27-bdfb-343e8c4f4810" xmlns:ns3="de5281ab-0e43-4ae6-a18f-9b82c26df0e2" targetNamespace="http://schemas.microsoft.com/office/2006/metadata/properties" ma:root="true" ma:fieldsID="613ec300197912e5dd627532e1197081" ns2:_="" ns3:_="">
    <xsd:import namespace="37a4200c-0ed5-4d27-bdfb-343e8c4f4810"/>
    <xsd:import namespace="de5281ab-0e43-4ae6-a18f-9b82c26df0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4200c-0ed5-4d27-bdfb-343e8c4f481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281ab-0e43-4ae6-a18f-9b82c26df0e2"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BE117B-FEE5-416E-9B79-384726170730}">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37a4200c-0ed5-4d27-bdfb-343e8c4f4810"/>
    <ds:schemaRef ds:uri="de5281ab-0e43-4ae6-a18f-9b82c26df0e2"/>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3C361220-8E2C-4980-85DC-741EDAEA5A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4200c-0ed5-4d27-bdfb-343e8c4f4810"/>
    <ds:schemaRef ds:uri="de5281ab-0e43-4ae6-a18f-9b82c26df0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F3B20C-C86F-4818-81D4-A3026993F5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818</vt:i4>
      </vt:variant>
    </vt:vector>
  </HeadingPairs>
  <TitlesOfParts>
    <vt:vector size="820" baseType="lpstr">
      <vt:lpstr>Panel assessments-Latest price</vt:lpstr>
      <vt:lpstr>Panel assessments-Specific date</vt:lpstr>
      <vt:lpstr>'Panel assessments-Latest price'!__Comp</vt:lpstr>
      <vt:lpstr>__Comp</vt:lpstr>
      <vt:lpstr>'Panel assessments-Latest price'!__RptP12</vt:lpstr>
      <vt:lpstr>__RptP12</vt:lpstr>
      <vt:lpstr>'Panel assessments-Latest price'!__RptP13</vt:lpstr>
      <vt:lpstr>__RptP13</vt:lpstr>
      <vt:lpstr>'Panel assessments-Latest price'!_LATESTvarPrvWk</vt:lpstr>
      <vt:lpstr>'Panel assessments-Latest price'!_LATESTvarPrvYr</vt:lpstr>
      <vt:lpstr>'Panel assessments-Latest price'!_LATESTvarPrvYrWithMid</vt:lpstr>
      <vt:lpstr>'Panel assessments-Latest price'!_LATESTvarPrvYrWithMidPrvDate</vt:lpstr>
      <vt:lpstr>'Panel assessments-Latest price'!_LATESTvarPubDate</vt:lpstr>
      <vt:lpstr>_SPECIFICvarPrvWk</vt:lpstr>
      <vt:lpstr>_SPECIFICvarPrvYr</vt:lpstr>
      <vt:lpstr>_SPECIFICvarPrvYrWithMid</vt:lpstr>
      <vt:lpstr>_SPECIFICvarPrvYrWithMidPrvDate</vt:lpstr>
      <vt:lpstr>_SPECIFICvarPubDate</vt:lpstr>
      <vt:lpstr>'Panel assessments-Latest price'!PAAB</vt:lpstr>
      <vt:lpstr>PAAB</vt:lpstr>
      <vt:lpstr>'Panel assessments-Latest price'!PAAC</vt:lpstr>
      <vt:lpstr>PAAC</vt:lpstr>
      <vt:lpstr>'Panel assessments-Latest price'!PAAD</vt:lpstr>
      <vt:lpstr>PAAD</vt:lpstr>
      <vt:lpstr>'Panel assessments-Latest price'!PAAE</vt:lpstr>
      <vt:lpstr>PAAE</vt:lpstr>
      <vt:lpstr>'Panel assessments-Latest price'!PAAF</vt:lpstr>
      <vt:lpstr>PAAF</vt:lpstr>
      <vt:lpstr>'Panel assessments-Latest price'!PAAG</vt:lpstr>
      <vt:lpstr>PAAG</vt:lpstr>
      <vt:lpstr>'Panel assessments-Latest price'!PAAH</vt:lpstr>
      <vt:lpstr>PAAH</vt:lpstr>
      <vt:lpstr>'Panel assessments-Latest price'!PAAI</vt:lpstr>
      <vt:lpstr>PAAI</vt:lpstr>
      <vt:lpstr>'Panel assessments-Latest price'!PAAJ</vt:lpstr>
      <vt:lpstr>PAAJ</vt:lpstr>
      <vt:lpstr>'Panel assessments-Latest price'!PAAK</vt:lpstr>
      <vt:lpstr>PAAK</vt:lpstr>
      <vt:lpstr>'Panel assessments-Latest price'!PAAL</vt:lpstr>
      <vt:lpstr>PAAL</vt:lpstr>
      <vt:lpstr>'Panel assessments-Latest price'!PAAM</vt:lpstr>
      <vt:lpstr>PAAM</vt:lpstr>
      <vt:lpstr>'Panel assessments-Latest price'!PAAN</vt:lpstr>
      <vt:lpstr>PAAN</vt:lpstr>
      <vt:lpstr>'Panel assessments-Latest price'!PAAO</vt:lpstr>
      <vt:lpstr>PAAO</vt:lpstr>
      <vt:lpstr>'Panel assessments-Latest price'!PAAP</vt:lpstr>
      <vt:lpstr>PAAP</vt:lpstr>
      <vt:lpstr>'Panel assessments-Latest price'!PAAR</vt:lpstr>
      <vt:lpstr>PAAR</vt:lpstr>
      <vt:lpstr>'Panel assessments-Latest price'!PAAS</vt:lpstr>
      <vt:lpstr>PAAS</vt:lpstr>
      <vt:lpstr>'Panel assessments-Latest price'!PAAT</vt:lpstr>
      <vt:lpstr>PAAT</vt:lpstr>
      <vt:lpstr>'Panel assessments-Latest price'!PAAU</vt:lpstr>
      <vt:lpstr>PAAU</vt:lpstr>
      <vt:lpstr>'Panel assessments-Latest price'!PAAV</vt:lpstr>
      <vt:lpstr>PAAV</vt:lpstr>
      <vt:lpstr>'Panel assessments-Latest price'!PAAW</vt:lpstr>
      <vt:lpstr>PAAW</vt:lpstr>
      <vt:lpstr>'Panel assessments-Latest price'!PAAX</vt:lpstr>
      <vt:lpstr>PAAX</vt:lpstr>
      <vt:lpstr>'Panel assessments-Latest price'!PAAY</vt:lpstr>
      <vt:lpstr>PAAY</vt:lpstr>
      <vt:lpstr>'Panel assessments-Latest price'!PAAZ</vt:lpstr>
      <vt:lpstr>PAAZ</vt:lpstr>
      <vt:lpstr>'Panel assessments-Latest price'!PABA</vt:lpstr>
      <vt:lpstr>PABA</vt:lpstr>
      <vt:lpstr>'Panel assessments-Latest price'!PABB</vt:lpstr>
      <vt:lpstr>PABB</vt:lpstr>
      <vt:lpstr>'Panel assessments-Latest price'!PABC</vt:lpstr>
      <vt:lpstr>PABC</vt:lpstr>
      <vt:lpstr>'Panel assessments-Latest price'!PABD</vt:lpstr>
      <vt:lpstr>PABD</vt:lpstr>
      <vt:lpstr>'Panel assessments-Latest price'!PABE</vt:lpstr>
      <vt:lpstr>PABE</vt:lpstr>
      <vt:lpstr>'Panel assessments-Latest price'!PABG</vt:lpstr>
      <vt:lpstr>PABG</vt:lpstr>
      <vt:lpstr>'Panel assessments-Latest price'!PABH</vt:lpstr>
      <vt:lpstr>PABH</vt:lpstr>
      <vt:lpstr>'Panel assessments-Latest price'!PABI</vt:lpstr>
      <vt:lpstr>PABI</vt:lpstr>
      <vt:lpstr>'Panel assessments-Latest price'!PABJ</vt:lpstr>
      <vt:lpstr>PABJ</vt:lpstr>
      <vt:lpstr>'Panel assessments-Latest price'!PABK</vt:lpstr>
      <vt:lpstr>PABK</vt:lpstr>
      <vt:lpstr>'Panel assessments-Latest price'!PABL</vt:lpstr>
      <vt:lpstr>PABL</vt:lpstr>
      <vt:lpstr>'Panel assessments-Latest price'!PABM</vt:lpstr>
      <vt:lpstr>PABM</vt:lpstr>
      <vt:lpstr>'Panel assessments-Latest price'!PABW</vt:lpstr>
      <vt:lpstr>PABW</vt:lpstr>
      <vt:lpstr>'Panel assessments-Latest price'!PABX</vt:lpstr>
      <vt:lpstr>PABX</vt:lpstr>
      <vt:lpstr>'Panel assessments-Latest price'!PABY</vt:lpstr>
      <vt:lpstr>PABY</vt:lpstr>
      <vt:lpstr>'Panel assessments-Latest price'!PABZ</vt:lpstr>
      <vt:lpstr>PABZ</vt:lpstr>
      <vt:lpstr>'Panel assessments-Latest price'!PACA</vt:lpstr>
      <vt:lpstr>PACA</vt:lpstr>
      <vt:lpstr>'Panel assessments-Latest price'!PACB</vt:lpstr>
      <vt:lpstr>PACB</vt:lpstr>
      <vt:lpstr>'Panel assessments-Latest price'!PACC</vt:lpstr>
      <vt:lpstr>PACC</vt:lpstr>
      <vt:lpstr>'Panel assessments-Latest price'!PACD</vt:lpstr>
      <vt:lpstr>PACD</vt:lpstr>
      <vt:lpstr>'Panel assessments-Latest price'!PACL</vt:lpstr>
      <vt:lpstr>PACL</vt:lpstr>
      <vt:lpstr>'Panel assessments-Latest price'!PACM</vt:lpstr>
      <vt:lpstr>PACM</vt:lpstr>
      <vt:lpstr>'Panel assessments-Latest price'!PACN</vt:lpstr>
      <vt:lpstr>PACN</vt:lpstr>
      <vt:lpstr>'Panel assessments-Latest price'!PACO</vt:lpstr>
      <vt:lpstr>PACO</vt:lpstr>
      <vt:lpstr>'Panel assessments-Latest price'!PACP</vt:lpstr>
      <vt:lpstr>PACP</vt:lpstr>
      <vt:lpstr>'Panel assessments-Latest price'!PACR</vt:lpstr>
      <vt:lpstr>PACR</vt:lpstr>
      <vt:lpstr>'Panel assessments-Latest price'!PACS</vt:lpstr>
      <vt:lpstr>PACS</vt:lpstr>
      <vt:lpstr>'Panel assessments-Latest price'!PACT</vt:lpstr>
      <vt:lpstr>PACT</vt:lpstr>
      <vt:lpstr>'Panel assessments-Latest price'!PACU</vt:lpstr>
      <vt:lpstr>PACU</vt:lpstr>
      <vt:lpstr>'Panel assessments-Latest price'!PACV</vt:lpstr>
      <vt:lpstr>PACV</vt:lpstr>
      <vt:lpstr>'Panel assessments-Latest price'!PACW</vt:lpstr>
      <vt:lpstr>PACW</vt:lpstr>
      <vt:lpstr>'Panel assessments-Latest price'!PACX</vt:lpstr>
      <vt:lpstr>PACX</vt:lpstr>
      <vt:lpstr>'Panel assessments-Latest price'!PACY</vt:lpstr>
      <vt:lpstr>PACY</vt:lpstr>
      <vt:lpstr>'Panel assessments-Latest price'!PACZ</vt:lpstr>
      <vt:lpstr>PACZ</vt:lpstr>
      <vt:lpstr>'Panel assessments-Latest price'!PADA</vt:lpstr>
      <vt:lpstr>PADA</vt:lpstr>
      <vt:lpstr>'Panel assessments-Latest price'!PADB</vt:lpstr>
      <vt:lpstr>PADB</vt:lpstr>
      <vt:lpstr>'Panel assessments-Latest price'!PADC</vt:lpstr>
      <vt:lpstr>PADC</vt:lpstr>
      <vt:lpstr>'Panel assessments-Latest price'!PADD</vt:lpstr>
      <vt:lpstr>PADD</vt:lpstr>
      <vt:lpstr>'Panel assessments-Latest price'!PADE</vt:lpstr>
      <vt:lpstr>PADE</vt:lpstr>
      <vt:lpstr>'Panel assessments-Latest price'!PADH</vt:lpstr>
      <vt:lpstr>PADH</vt:lpstr>
      <vt:lpstr>'Panel assessments-Latest price'!PADI</vt:lpstr>
      <vt:lpstr>PADI</vt:lpstr>
      <vt:lpstr>'Panel assessments-Latest price'!PADJ</vt:lpstr>
      <vt:lpstr>PADJ</vt:lpstr>
      <vt:lpstr>'Panel assessments-Latest price'!PADK</vt:lpstr>
      <vt:lpstr>PADK</vt:lpstr>
      <vt:lpstr>'Panel assessments-Latest price'!PADL</vt:lpstr>
      <vt:lpstr>PADL</vt:lpstr>
      <vt:lpstr>'Panel assessments-Latest price'!PADM</vt:lpstr>
      <vt:lpstr>PADM</vt:lpstr>
      <vt:lpstr>'Panel assessments-Latest price'!PADN</vt:lpstr>
      <vt:lpstr>PADN</vt:lpstr>
      <vt:lpstr>'Panel assessments-Latest price'!PADO</vt:lpstr>
      <vt:lpstr>PADO</vt:lpstr>
      <vt:lpstr>'Panel assessments-Latest price'!PADP</vt:lpstr>
      <vt:lpstr>PADP</vt:lpstr>
      <vt:lpstr>'Panel assessments-Latest price'!PADR</vt:lpstr>
      <vt:lpstr>PADR</vt:lpstr>
      <vt:lpstr>'Panel assessments-Latest price'!PADS</vt:lpstr>
      <vt:lpstr>PADS</vt:lpstr>
      <vt:lpstr>'Panel assessments-Latest price'!PADT</vt:lpstr>
      <vt:lpstr>PADT</vt:lpstr>
      <vt:lpstr>'Panel assessments-Latest price'!PADU</vt:lpstr>
      <vt:lpstr>PADU</vt:lpstr>
      <vt:lpstr>'Panel assessments-Latest price'!PADV</vt:lpstr>
      <vt:lpstr>PADV</vt:lpstr>
      <vt:lpstr>'Panel assessments-Latest price'!PADW</vt:lpstr>
      <vt:lpstr>PADW</vt:lpstr>
      <vt:lpstr>'Panel assessments-Latest price'!PADX</vt:lpstr>
      <vt:lpstr>PADX</vt:lpstr>
      <vt:lpstr>'Panel assessments-Latest price'!PADY</vt:lpstr>
      <vt:lpstr>PADY</vt:lpstr>
      <vt:lpstr>'Panel assessments-Latest price'!PADZ</vt:lpstr>
      <vt:lpstr>PADZ</vt:lpstr>
      <vt:lpstr>'Panel assessments-Latest price'!PAEA</vt:lpstr>
      <vt:lpstr>PAEA</vt:lpstr>
      <vt:lpstr>'Panel assessments-Latest price'!PAEB</vt:lpstr>
      <vt:lpstr>PAEB</vt:lpstr>
      <vt:lpstr>'Panel assessments-Latest price'!PAEC</vt:lpstr>
      <vt:lpstr>PAEC</vt:lpstr>
      <vt:lpstr>'Panel assessments-Latest price'!PAED</vt:lpstr>
      <vt:lpstr>PAED</vt:lpstr>
      <vt:lpstr>'Panel assessments-Latest price'!PAEE</vt:lpstr>
      <vt:lpstr>PAEE</vt:lpstr>
      <vt:lpstr>'Panel assessments-Latest price'!PAEQ</vt:lpstr>
      <vt:lpstr>PAEQ</vt:lpstr>
      <vt:lpstr>'Panel assessments-Latest price'!PAER</vt:lpstr>
      <vt:lpstr>PAER</vt:lpstr>
      <vt:lpstr>'Panel assessments-Latest price'!PAES</vt:lpstr>
      <vt:lpstr>PAES</vt:lpstr>
      <vt:lpstr>'Panel assessments-Latest price'!PAET</vt:lpstr>
      <vt:lpstr>PAET</vt:lpstr>
      <vt:lpstr>'Panel assessments-Latest price'!PAEU</vt:lpstr>
      <vt:lpstr>PAEU</vt:lpstr>
      <vt:lpstr>'Panel assessments-Latest price'!PAEV</vt:lpstr>
      <vt:lpstr>PAEV</vt:lpstr>
      <vt:lpstr>'Panel assessments-Latest price'!PAEW</vt:lpstr>
      <vt:lpstr>PAEW</vt:lpstr>
      <vt:lpstr>'Panel assessments-Latest price'!PAEX</vt:lpstr>
      <vt:lpstr>PAEX</vt:lpstr>
      <vt:lpstr>'Panel assessments-Latest price'!PAEZ</vt:lpstr>
      <vt:lpstr>PAEZ</vt:lpstr>
      <vt:lpstr>'Panel assessments-Latest price'!PAFA</vt:lpstr>
      <vt:lpstr>PAFA</vt:lpstr>
      <vt:lpstr>'Panel assessments-Latest price'!PAFB</vt:lpstr>
      <vt:lpstr>PAFB</vt:lpstr>
      <vt:lpstr>'Panel assessments-Latest price'!PAFC</vt:lpstr>
      <vt:lpstr>PAFC</vt:lpstr>
      <vt:lpstr>'Panel assessments-Latest price'!PAFI</vt:lpstr>
      <vt:lpstr>PAFI</vt:lpstr>
      <vt:lpstr>'Panel assessments-Latest price'!PAFJ</vt:lpstr>
      <vt:lpstr>PAFJ</vt:lpstr>
      <vt:lpstr>'Panel assessments-Latest price'!PAFK</vt:lpstr>
      <vt:lpstr>PAFK</vt:lpstr>
      <vt:lpstr>'Panel assessments-Latest price'!PAFO</vt:lpstr>
      <vt:lpstr>PAFO</vt:lpstr>
      <vt:lpstr>'Panel assessments-Latest price'!PAFP</vt:lpstr>
      <vt:lpstr>PAFP</vt:lpstr>
      <vt:lpstr>'Panel assessments-Latest price'!PAFQ</vt:lpstr>
      <vt:lpstr>PAFQ</vt:lpstr>
      <vt:lpstr>'Panel assessments-Latest price'!PAFR</vt:lpstr>
      <vt:lpstr>PAFR</vt:lpstr>
      <vt:lpstr>'Panel assessments-Latest price'!PAFS</vt:lpstr>
      <vt:lpstr>PAFS</vt:lpstr>
      <vt:lpstr>'Panel assessments-Latest price'!PAFT</vt:lpstr>
      <vt:lpstr>PAFT</vt:lpstr>
      <vt:lpstr>'Panel assessments-Latest price'!PAFV</vt:lpstr>
      <vt:lpstr>PAFV</vt:lpstr>
      <vt:lpstr>'Panel assessments-Latest price'!PAFX</vt:lpstr>
      <vt:lpstr>PAFX</vt:lpstr>
      <vt:lpstr>'Panel assessments-Latest price'!PAFY</vt:lpstr>
      <vt:lpstr>PAFY</vt:lpstr>
      <vt:lpstr>'Panel assessments-Latest price'!PAFZ</vt:lpstr>
      <vt:lpstr>PAFZ</vt:lpstr>
      <vt:lpstr>'Panel assessments-Latest price'!PAGF</vt:lpstr>
      <vt:lpstr>PAGF</vt:lpstr>
      <vt:lpstr>'Panel assessments-Latest price'!PAGG</vt:lpstr>
      <vt:lpstr>PAGG</vt:lpstr>
      <vt:lpstr>'Panel assessments-Latest price'!PAGH</vt:lpstr>
      <vt:lpstr>PAGH</vt:lpstr>
      <vt:lpstr>'Panel assessments-Latest price'!PAGP</vt:lpstr>
      <vt:lpstr>PAGP</vt:lpstr>
      <vt:lpstr>'Panel assessments-Latest price'!PAGQ</vt:lpstr>
      <vt:lpstr>PAGQ</vt:lpstr>
      <vt:lpstr>'Panel assessments-Latest price'!PAGR</vt:lpstr>
      <vt:lpstr>PAGR</vt:lpstr>
      <vt:lpstr>'Panel assessments-Latest price'!PAGS</vt:lpstr>
      <vt:lpstr>PAGS</vt:lpstr>
      <vt:lpstr>'Panel assessments-Latest price'!PAGT</vt:lpstr>
      <vt:lpstr>PAGT</vt:lpstr>
      <vt:lpstr>'Panel assessments-Latest price'!PAGU</vt:lpstr>
      <vt:lpstr>PAGU</vt:lpstr>
      <vt:lpstr>'Panel assessments-Latest price'!PAGV</vt:lpstr>
      <vt:lpstr>PAGV</vt:lpstr>
      <vt:lpstr>'Panel assessments-Latest price'!PAGW</vt:lpstr>
      <vt:lpstr>PAGW</vt:lpstr>
      <vt:lpstr>'Panel assessments-Latest price'!PAGX</vt:lpstr>
      <vt:lpstr>PAGX</vt:lpstr>
      <vt:lpstr>'Panel assessments-Latest price'!PAGY</vt:lpstr>
      <vt:lpstr>PAGY</vt:lpstr>
      <vt:lpstr>'Panel assessments-Latest price'!PAGZ</vt:lpstr>
      <vt:lpstr>PAGZ</vt:lpstr>
      <vt:lpstr>'Panel assessments-Latest price'!PAHA</vt:lpstr>
      <vt:lpstr>PAHA</vt:lpstr>
      <vt:lpstr>'Panel assessments-Latest price'!PAHB</vt:lpstr>
      <vt:lpstr>PAHB</vt:lpstr>
      <vt:lpstr>'Panel assessments-Latest price'!PAHC</vt:lpstr>
      <vt:lpstr>PAHC</vt:lpstr>
      <vt:lpstr>'Panel assessments-Latest price'!PAHD</vt:lpstr>
      <vt:lpstr>PAHD</vt:lpstr>
      <vt:lpstr>'Panel assessments-Latest price'!PAHE</vt:lpstr>
      <vt:lpstr>PAHE</vt:lpstr>
      <vt:lpstr>'Panel assessments-Latest price'!PAHF</vt:lpstr>
      <vt:lpstr>PAHF</vt:lpstr>
      <vt:lpstr>'Panel assessments-Latest price'!PAHJ</vt:lpstr>
      <vt:lpstr>PAHJ</vt:lpstr>
      <vt:lpstr>'Panel assessments-Latest price'!PAHK</vt:lpstr>
      <vt:lpstr>PAHK</vt:lpstr>
      <vt:lpstr>'Panel assessments-Latest price'!PAHL</vt:lpstr>
      <vt:lpstr>PAHL</vt:lpstr>
      <vt:lpstr>'Panel assessments-Latest price'!PAHM</vt:lpstr>
      <vt:lpstr>PAHM</vt:lpstr>
      <vt:lpstr>'Panel assessments-Latest price'!PAHN</vt:lpstr>
      <vt:lpstr>PAHN</vt:lpstr>
      <vt:lpstr>'Panel assessments-Latest price'!PAHO</vt:lpstr>
      <vt:lpstr>PAHO</vt:lpstr>
      <vt:lpstr>'Panel assessments-Latest price'!PAHP</vt:lpstr>
      <vt:lpstr>PAHP</vt:lpstr>
      <vt:lpstr>'Panel assessments-Latest price'!PAHQ</vt:lpstr>
      <vt:lpstr>PAHQ</vt:lpstr>
      <vt:lpstr>'Panel assessments-Latest price'!PAHR</vt:lpstr>
      <vt:lpstr>PAHR</vt:lpstr>
      <vt:lpstr>'Panel assessments-Latest price'!PAHS</vt:lpstr>
      <vt:lpstr>PAHS</vt:lpstr>
      <vt:lpstr>'Panel assessments-Latest price'!PAHT</vt:lpstr>
      <vt:lpstr>PAHT</vt:lpstr>
      <vt:lpstr>'Panel assessments-Latest price'!PAHU</vt:lpstr>
      <vt:lpstr>PAHU</vt:lpstr>
      <vt:lpstr>'Panel assessments-Latest price'!PAHV</vt:lpstr>
      <vt:lpstr>PAHV</vt:lpstr>
      <vt:lpstr>'Panel assessments-Latest price'!PAHW</vt:lpstr>
      <vt:lpstr>PAHW</vt:lpstr>
      <vt:lpstr>'Panel assessments-Latest price'!PAHX</vt:lpstr>
      <vt:lpstr>PAHX</vt:lpstr>
      <vt:lpstr>'Panel assessments-Latest price'!PAHY</vt:lpstr>
      <vt:lpstr>PAHY</vt:lpstr>
      <vt:lpstr>'Panel assessments-Latest price'!PAHZ</vt:lpstr>
      <vt:lpstr>PAHZ</vt:lpstr>
      <vt:lpstr>'Panel assessments-Latest price'!PAID</vt:lpstr>
      <vt:lpstr>PAID</vt:lpstr>
      <vt:lpstr>'Panel assessments-Latest price'!PAIE</vt:lpstr>
      <vt:lpstr>PAIE</vt:lpstr>
      <vt:lpstr>'Panel assessments-Latest price'!PAIF</vt:lpstr>
      <vt:lpstr>PAIF</vt:lpstr>
      <vt:lpstr>'Panel assessments-Latest price'!PAIG</vt:lpstr>
      <vt:lpstr>PAIG</vt:lpstr>
      <vt:lpstr>'Panel assessments-Latest price'!PAIH</vt:lpstr>
      <vt:lpstr>PAIH</vt:lpstr>
      <vt:lpstr>'Panel assessments-Latest price'!PAII</vt:lpstr>
      <vt:lpstr>PAII</vt:lpstr>
      <vt:lpstr>'Panel assessments-Latest price'!PAIJ</vt:lpstr>
      <vt:lpstr>PAIJ</vt:lpstr>
      <vt:lpstr>'Panel assessments-Latest price'!PAIK</vt:lpstr>
      <vt:lpstr>PAIK</vt:lpstr>
      <vt:lpstr>'Panel assessments-Latest price'!PAIL</vt:lpstr>
      <vt:lpstr>PAIL</vt:lpstr>
      <vt:lpstr>'Panel assessments-Latest price'!PAIM</vt:lpstr>
      <vt:lpstr>PAIM</vt:lpstr>
      <vt:lpstr>'Panel assessments-Latest price'!PAIN</vt:lpstr>
      <vt:lpstr>PAIN</vt:lpstr>
      <vt:lpstr>'Panel assessments-Latest price'!PAIO</vt:lpstr>
      <vt:lpstr>PAIO</vt:lpstr>
      <vt:lpstr>'Panel assessments-Latest price'!PAIP</vt:lpstr>
      <vt:lpstr>PAIP</vt:lpstr>
      <vt:lpstr>'Panel assessments-Latest price'!PAIQ</vt:lpstr>
      <vt:lpstr>PAIQ</vt:lpstr>
      <vt:lpstr>'Panel assessments-Latest price'!PAIR</vt:lpstr>
      <vt:lpstr>PAIR</vt:lpstr>
      <vt:lpstr>'Panel assessments-Latest price'!PAIW</vt:lpstr>
      <vt:lpstr>PAIW</vt:lpstr>
      <vt:lpstr>'Panel assessments-Latest price'!PAIX</vt:lpstr>
      <vt:lpstr>PAIX</vt:lpstr>
      <vt:lpstr>'Panel assessments-Latest price'!PAIY</vt:lpstr>
      <vt:lpstr>PAIY</vt:lpstr>
      <vt:lpstr>'Panel assessments-Latest price'!PAIZ</vt:lpstr>
      <vt:lpstr>PAIZ</vt:lpstr>
      <vt:lpstr>'Panel assessments-Latest price'!PAJA</vt:lpstr>
      <vt:lpstr>PAJA</vt:lpstr>
      <vt:lpstr>'Panel assessments-Latest price'!PAJB</vt:lpstr>
      <vt:lpstr>PAJB</vt:lpstr>
      <vt:lpstr>'Panel assessments-Latest price'!PAJC</vt:lpstr>
      <vt:lpstr>PAJC</vt:lpstr>
      <vt:lpstr>'Panel assessments-Latest price'!PAJD</vt:lpstr>
      <vt:lpstr>PAJD</vt:lpstr>
      <vt:lpstr>'Panel assessments-Latest price'!PAJE</vt:lpstr>
      <vt:lpstr>PAJE</vt:lpstr>
      <vt:lpstr>'Panel assessments-Latest price'!PAJF</vt:lpstr>
      <vt:lpstr>PAJF</vt:lpstr>
      <vt:lpstr>'Panel assessments-Latest price'!PAJG</vt:lpstr>
      <vt:lpstr>PAJG</vt:lpstr>
      <vt:lpstr>'Panel assessments-Latest price'!PAJH</vt:lpstr>
      <vt:lpstr>PAJH</vt:lpstr>
      <vt:lpstr>'Panel assessments-Latest price'!PAJI</vt:lpstr>
      <vt:lpstr>PAJI</vt:lpstr>
      <vt:lpstr>'Panel assessments-Latest price'!PAJJ</vt:lpstr>
      <vt:lpstr>PAJJ</vt:lpstr>
      <vt:lpstr>'Panel assessments-Latest price'!PAJK</vt:lpstr>
      <vt:lpstr>PAJK</vt:lpstr>
      <vt:lpstr>'Panel assessments-Latest price'!PAJP</vt:lpstr>
      <vt:lpstr>PAJP</vt:lpstr>
      <vt:lpstr>'Panel assessments-Latest price'!PAJQ</vt:lpstr>
      <vt:lpstr>PAJQ</vt:lpstr>
      <vt:lpstr>'Panel assessments-Latest price'!PAJR</vt:lpstr>
      <vt:lpstr>PAJR</vt:lpstr>
      <vt:lpstr>'Panel assessments-Latest price'!PAJS</vt:lpstr>
      <vt:lpstr>PAJS</vt:lpstr>
      <vt:lpstr>'Panel assessments-Latest price'!PAJT</vt:lpstr>
      <vt:lpstr>PAJT</vt:lpstr>
      <vt:lpstr>'Panel assessments-Latest price'!PAJU</vt:lpstr>
      <vt:lpstr>PAJU</vt:lpstr>
      <vt:lpstr>'Panel assessments-Latest price'!PAJV</vt:lpstr>
      <vt:lpstr>PAJV</vt:lpstr>
      <vt:lpstr>'Panel assessments-Latest price'!PAJW</vt:lpstr>
      <vt:lpstr>PAJW</vt:lpstr>
      <vt:lpstr>'Panel assessments-Latest price'!PAJX</vt:lpstr>
      <vt:lpstr>PAJX</vt:lpstr>
      <vt:lpstr>'Panel assessments-Latest price'!PAJZ</vt:lpstr>
      <vt:lpstr>PAJZ</vt:lpstr>
      <vt:lpstr>'Panel assessments-Latest price'!PAKA</vt:lpstr>
      <vt:lpstr>PAKA</vt:lpstr>
      <vt:lpstr>'Panel assessments-Latest price'!PAKB</vt:lpstr>
      <vt:lpstr>PAKB</vt:lpstr>
      <vt:lpstr>'Panel assessments-Latest price'!PAKC</vt:lpstr>
      <vt:lpstr>PAKC</vt:lpstr>
      <vt:lpstr>'Panel assessments-Latest price'!PAKD</vt:lpstr>
      <vt:lpstr>PAKD</vt:lpstr>
      <vt:lpstr>'Panel assessments-Latest price'!PAKE</vt:lpstr>
      <vt:lpstr>PAKE</vt:lpstr>
      <vt:lpstr>'Panel assessments-Latest price'!PAKF</vt:lpstr>
      <vt:lpstr>PAKF</vt:lpstr>
      <vt:lpstr>'Panel assessments-Latest price'!PAKG</vt:lpstr>
      <vt:lpstr>PAKG</vt:lpstr>
      <vt:lpstr>'Panel assessments-Latest price'!PAKH</vt:lpstr>
      <vt:lpstr>PAKH</vt:lpstr>
      <vt:lpstr>'Panel assessments-Latest price'!PAKK</vt:lpstr>
      <vt:lpstr>PAKK</vt:lpstr>
      <vt:lpstr>'Panel assessments-Latest price'!PAKL</vt:lpstr>
      <vt:lpstr>PAKL</vt:lpstr>
      <vt:lpstr>'Panel assessments-Latest price'!PAKN</vt:lpstr>
      <vt:lpstr>PAKN</vt:lpstr>
      <vt:lpstr>'Panel assessments-Latest price'!PAKO</vt:lpstr>
      <vt:lpstr>PAKO</vt:lpstr>
      <vt:lpstr>'Panel assessments-Latest price'!PAKP</vt:lpstr>
      <vt:lpstr>PAKP</vt:lpstr>
      <vt:lpstr>'Panel assessments-Latest price'!PAKQ</vt:lpstr>
      <vt:lpstr>PAKQ</vt:lpstr>
      <vt:lpstr>'Panel assessments-Latest price'!PAKT</vt:lpstr>
      <vt:lpstr>PAKT</vt:lpstr>
      <vt:lpstr>'Panel assessments-Latest price'!PAKU</vt:lpstr>
      <vt:lpstr>PAKU</vt:lpstr>
      <vt:lpstr>'Panel assessments-Latest price'!PAKV</vt:lpstr>
      <vt:lpstr>PAKV</vt:lpstr>
      <vt:lpstr>'Panel assessments-Latest price'!PAKW</vt:lpstr>
      <vt:lpstr>PAKW</vt:lpstr>
      <vt:lpstr>'Panel assessments-Latest price'!PAKX</vt:lpstr>
      <vt:lpstr>PAKX</vt:lpstr>
      <vt:lpstr>'Panel assessments-Latest price'!PAKY</vt:lpstr>
      <vt:lpstr>PAKY</vt:lpstr>
      <vt:lpstr>'Panel assessments-Latest price'!PALA</vt:lpstr>
      <vt:lpstr>PALA</vt:lpstr>
      <vt:lpstr>'Panel assessments-Latest price'!PALB</vt:lpstr>
      <vt:lpstr>PALB</vt:lpstr>
      <vt:lpstr>'Panel assessments-Latest price'!PALC</vt:lpstr>
      <vt:lpstr>PALC</vt:lpstr>
      <vt:lpstr>'Panel assessments-Latest price'!PALD</vt:lpstr>
      <vt:lpstr>PALD</vt:lpstr>
      <vt:lpstr>'Panel assessments-Latest price'!PALE</vt:lpstr>
      <vt:lpstr>PALE</vt:lpstr>
      <vt:lpstr>'Panel assessments-Latest price'!PALF</vt:lpstr>
      <vt:lpstr>PALF</vt:lpstr>
      <vt:lpstr>'Panel assessments-Latest price'!PALH</vt:lpstr>
      <vt:lpstr>PALH</vt:lpstr>
      <vt:lpstr>'Panel assessments-Latest price'!PALI</vt:lpstr>
      <vt:lpstr>PALI</vt:lpstr>
      <vt:lpstr>'Panel assessments-Latest price'!PALJ</vt:lpstr>
      <vt:lpstr>PALJ</vt:lpstr>
      <vt:lpstr>'Panel assessments-Latest price'!PALK</vt:lpstr>
      <vt:lpstr>PALK</vt:lpstr>
      <vt:lpstr>'Panel assessments-Latest price'!PALL</vt:lpstr>
      <vt:lpstr>PALL</vt:lpstr>
      <vt:lpstr>'Panel assessments-Latest price'!PALM</vt:lpstr>
      <vt:lpstr>PALM</vt:lpstr>
      <vt:lpstr>'Panel assessments-Latest price'!PALN</vt:lpstr>
      <vt:lpstr>PALN</vt:lpstr>
      <vt:lpstr>'Panel assessments-Latest price'!PALO</vt:lpstr>
      <vt:lpstr>PALO</vt:lpstr>
      <vt:lpstr>'Panel assessments-Latest price'!PALP</vt:lpstr>
      <vt:lpstr>PALP</vt:lpstr>
      <vt:lpstr>'Panel assessments-Latest price'!PALQ</vt:lpstr>
      <vt:lpstr>PALQ</vt:lpstr>
      <vt:lpstr>'Panel assessments-Latest price'!PALS</vt:lpstr>
      <vt:lpstr>PALS</vt:lpstr>
      <vt:lpstr>'Panel assessments-Latest price'!PALT</vt:lpstr>
      <vt:lpstr>PALT</vt:lpstr>
      <vt:lpstr>'Panel assessments-Latest price'!PALV</vt:lpstr>
      <vt:lpstr>PALV</vt:lpstr>
      <vt:lpstr>'Panel assessments-Latest price'!PALW</vt:lpstr>
      <vt:lpstr>PALW</vt:lpstr>
      <vt:lpstr>'Panel assessments-Latest price'!PALX</vt:lpstr>
      <vt:lpstr>PALX</vt:lpstr>
      <vt:lpstr>'Panel assessments-Latest price'!PALY</vt:lpstr>
      <vt:lpstr>PALY</vt:lpstr>
      <vt:lpstr>'Panel assessments-Latest price'!PALZ</vt:lpstr>
      <vt:lpstr>PALZ</vt:lpstr>
      <vt:lpstr>'Panel assessments-Latest price'!PAMA</vt:lpstr>
      <vt:lpstr>PAMA</vt:lpstr>
      <vt:lpstr>'Panel assessments-Latest price'!PAMB</vt:lpstr>
      <vt:lpstr>PAMB</vt:lpstr>
      <vt:lpstr>'Panel assessments-Latest price'!PAMC</vt:lpstr>
      <vt:lpstr>PAMC</vt:lpstr>
      <vt:lpstr>'Panel assessments-Latest price'!PAMD</vt:lpstr>
      <vt:lpstr>PAMD</vt:lpstr>
      <vt:lpstr>'Panel assessments-Latest price'!PAME</vt:lpstr>
      <vt:lpstr>PAME</vt:lpstr>
      <vt:lpstr>'Panel assessments-Latest price'!PAMF</vt:lpstr>
      <vt:lpstr>PAMF</vt:lpstr>
      <vt:lpstr>'Panel assessments-Latest price'!PAMG</vt:lpstr>
      <vt:lpstr>PAMG</vt:lpstr>
      <vt:lpstr>'Panel assessments-Latest price'!PAMH</vt:lpstr>
      <vt:lpstr>PAMH</vt:lpstr>
      <vt:lpstr>'Panel assessments-Latest price'!PAMI</vt:lpstr>
      <vt:lpstr>PAMI</vt:lpstr>
      <vt:lpstr>'Panel assessments-Latest price'!PAMJ</vt:lpstr>
      <vt:lpstr>PAMJ</vt:lpstr>
      <vt:lpstr>'Panel assessments-Latest price'!PAMK</vt:lpstr>
      <vt:lpstr>PAMK</vt:lpstr>
      <vt:lpstr>'Panel assessments-Latest price'!PAML</vt:lpstr>
      <vt:lpstr>PAML</vt:lpstr>
      <vt:lpstr>'Panel assessments-Latest price'!PAMM</vt:lpstr>
      <vt:lpstr>PAMM</vt:lpstr>
      <vt:lpstr>'Panel assessments-Latest price'!PAMN</vt:lpstr>
      <vt:lpstr>PAMN</vt:lpstr>
      <vt:lpstr>'Panel assessments-Latest price'!PAMP</vt:lpstr>
      <vt:lpstr>PAMP</vt:lpstr>
      <vt:lpstr>'Panel assessments-Latest price'!PAMQ</vt:lpstr>
      <vt:lpstr>PAMQ</vt:lpstr>
      <vt:lpstr>'Panel assessments-Latest price'!PAMR</vt:lpstr>
      <vt:lpstr>PAMR</vt:lpstr>
      <vt:lpstr>'Panel assessments-Latest price'!PAMS</vt:lpstr>
      <vt:lpstr>PAMS</vt:lpstr>
      <vt:lpstr>'Panel assessments-Latest price'!PAMT</vt:lpstr>
      <vt:lpstr>PAMT</vt:lpstr>
      <vt:lpstr>'Panel assessments-Latest price'!PAMU</vt:lpstr>
      <vt:lpstr>PAMU</vt:lpstr>
      <vt:lpstr>'Panel assessments-Latest price'!PAMV</vt:lpstr>
      <vt:lpstr>PAMV</vt:lpstr>
      <vt:lpstr>'Panel assessments-Latest price'!PAMW</vt:lpstr>
      <vt:lpstr>PAMW</vt:lpstr>
      <vt:lpstr>'Panel assessments-Latest price'!PAMX</vt:lpstr>
      <vt:lpstr>PAMX</vt:lpstr>
      <vt:lpstr>'Panel assessments-Latest price'!PAMY</vt:lpstr>
      <vt:lpstr>PAMY</vt:lpstr>
      <vt:lpstr>'Panel assessments-Latest price'!PAND</vt:lpstr>
      <vt:lpstr>PAND</vt:lpstr>
      <vt:lpstr>'Panel assessments-Latest price'!PANE</vt:lpstr>
      <vt:lpstr>PANE</vt:lpstr>
      <vt:lpstr>'Panel assessments-Latest price'!PANF</vt:lpstr>
      <vt:lpstr>PANF</vt:lpstr>
      <vt:lpstr>'Panel assessments-Latest price'!PANG</vt:lpstr>
      <vt:lpstr>PANG</vt:lpstr>
      <vt:lpstr>'Panel assessments-Latest price'!PANH</vt:lpstr>
      <vt:lpstr>PANH</vt:lpstr>
      <vt:lpstr>'Panel assessments-Latest price'!PANI</vt:lpstr>
      <vt:lpstr>PANI</vt:lpstr>
      <vt:lpstr>'Panel assessments-Latest price'!PANJ</vt:lpstr>
      <vt:lpstr>PANJ</vt:lpstr>
      <vt:lpstr>'Panel assessments-Latest price'!PANK</vt:lpstr>
      <vt:lpstr>PANK</vt:lpstr>
      <vt:lpstr>'Panel assessments-Latest price'!PANL</vt:lpstr>
      <vt:lpstr>PANL</vt:lpstr>
      <vt:lpstr>'Panel assessments-Latest price'!PANM</vt:lpstr>
      <vt:lpstr>PANM</vt:lpstr>
      <vt:lpstr>'Panel assessments-Latest price'!PANN</vt:lpstr>
      <vt:lpstr>PANN</vt:lpstr>
      <vt:lpstr>'Panel assessments-Latest price'!PANR</vt:lpstr>
      <vt:lpstr>PANR</vt:lpstr>
      <vt:lpstr>'Panel assessments-Latest price'!PANS</vt:lpstr>
      <vt:lpstr>PANS</vt:lpstr>
      <vt:lpstr>'Panel assessments-Latest price'!PANT</vt:lpstr>
      <vt:lpstr>PANT</vt:lpstr>
      <vt:lpstr>'Panel assessments-Latest price'!PANU</vt:lpstr>
      <vt:lpstr>PANU</vt:lpstr>
      <vt:lpstr>'Panel assessments-Latest price'!PANV</vt:lpstr>
      <vt:lpstr>PANV</vt:lpstr>
      <vt:lpstr>'Panel assessments-Latest price'!PANW</vt:lpstr>
      <vt:lpstr>PANW</vt:lpstr>
      <vt:lpstr>'Panel assessments-Latest price'!PANX</vt:lpstr>
      <vt:lpstr>PANX</vt:lpstr>
      <vt:lpstr>'Panel assessments-Latest price'!PANY</vt:lpstr>
      <vt:lpstr>PANY</vt:lpstr>
      <vt:lpstr>'Panel assessments-Latest price'!PANZ</vt:lpstr>
      <vt:lpstr>PANZ</vt:lpstr>
      <vt:lpstr>'Panel assessments-Latest price'!PAOA</vt:lpstr>
      <vt:lpstr>PAOA</vt:lpstr>
      <vt:lpstr>'Panel assessments-Latest price'!PAOB</vt:lpstr>
      <vt:lpstr>PAOB</vt:lpstr>
      <vt:lpstr>'Panel assessments-Latest price'!PAOC</vt:lpstr>
      <vt:lpstr>PAOC</vt:lpstr>
      <vt:lpstr>'Panel assessments-Latest price'!PAOD</vt:lpstr>
      <vt:lpstr>PAOD</vt:lpstr>
      <vt:lpstr>'Panel assessments-Latest price'!PAOE</vt:lpstr>
      <vt:lpstr>PAOE</vt:lpstr>
      <vt:lpstr>'Panel assessments-Latest price'!PAOF</vt:lpstr>
      <vt:lpstr>PAOF</vt:lpstr>
      <vt:lpstr>'Panel assessments-Latest price'!PAOG</vt:lpstr>
      <vt:lpstr>PAOG</vt:lpstr>
      <vt:lpstr>'Panel assessments-Latest price'!PAOH</vt:lpstr>
      <vt:lpstr>PAOH</vt:lpstr>
      <vt:lpstr>'Panel assessments-Latest price'!PAOI</vt:lpstr>
      <vt:lpstr>PAOI</vt:lpstr>
      <vt:lpstr>'Panel assessments-Latest price'!PAOJ</vt:lpstr>
      <vt:lpstr>PAOJ</vt:lpstr>
      <vt:lpstr>'Panel assessments-Latest price'!PAOK</vt:lpstr>
      <vt:lpstr>PAOK</vt:lpstr>
      <vt:lpstr>'Panel assessments-Latest price'!PAOL</vt:lpstr>
      <vt:lpstr>PAOL</vt:lpstr>
      <vt:lpstr>'Panel assessments-Latest price'!PAOM</vt:lpstr>
      <vt:lpstr>PAOM</vt:lpstr>
      <vt:lpstr>'Panel assessments-Latest price'!PAON</vt:lpstr>
      <vt:lpstr>PAON</vt:lpstr>
      <vt:lpstr>'Panel assessments-Latest price'!PAOO</vt:lpstr>
      <vt:lpstr>PAOO</vt:lpstr>
      <vt:lpstr>'Panel assessments-Latest price'!PAOP</vt:lpstr>
      <vt:lpstr>PAOP</vt:lpstr>
      <vt:lpstr>'Panel assessments-Latest price'!PAOQ</vt:lpstr>
      <vt:lpstr>PAOQ</vt:lpstr>
      <vt:lpstr>'Panel assessments-Latest price'!PAOR</vt:lpstr>
      <vt:lpstr>PAOR</vt:lpstr>
      <vt:lpstr>'Panel assessments-Latest price'!PAOS</vt:lpstr>
      <vt:lpstr>PAOS</vt:lpstr>
      <vt:lpstr>'Panel assessments-Latest price'!PAOT</vt:lpstr>
      <vt:lpstr>PAOT</vt:lpstr>
      <vt:lpstr>'Panel assessments-Latest price'!PAOU</vt:lpstr>
      <vt:lpstr>PAOU</vt:lpstr>
      <vt:lpstr>'Panel assessments-Latest price'!PAOV</vt:lpstr>
      <vt:lpstr>PAOV</vt:lpstr>
      <vt:lpstr>'Panel assessments-Latest price'!PAOW</vt:lpstr>
      <vt:lpstr>PAOW</vt:lpstr>
      <vt:lpstr>'Panel assessments-Latest price'!PAOX</vt:lpstr>
      <vt:lpstr>PAOX</vt:lpstr>
      <vt:lpstr>'Panel assessments-Latest price'!PAOY</vt:lpstr>
      <vt:lpstr>PAOY</vt:lpstr>
      <vt:lpstr>'Panel assessments-Latest price'!PAOZ</vt:lpstr>
      <vt:lpstr>PAOZ</vt:lpstr>
      <vt:lpstr>'Panel assessments-Latest price'!PAPA</vt:lpstr>
      <vt:lpstr>PAPA</vt:lpstr>
      <vt:lpstr>'Panel assessments-Latest price'!PAPB</vt:lpstr>
      <vt:lpstr>PAPB</vt:lpstr>
      <vt:lpstr>'Panel assessments-Latest price'!PAPC</vt:lpstr>
      <vt:lpstr>PAPC</vt:lpstr>
      <vt:lpstr>'Panel assessments-Latest price'!PAPD</vt:lpstr>
      <vt:lpstr>PAPD</vt:lpstr>
      <vt:lpstr>'Panel assessments-Latest price'!PAPE</vt:lpstr>
      <vt:lpstr>PAPE</vt:lpstr>
      <vt:lpstr>'Panel assessments-Latest price'!PAPF</vt:lpstr>
      <vt:lpstr>PAPF</vt:lpstr>
      <vt:lpstr>'Panel assessments-Latest price'!PAPG</vt:lpstr>
      <vt:lpstr>PAPG</vt:lpstr>
      <vt:lpstr>'Panel assessments-Latest price'!PAPH</vt:lpstr>
      <vt:lpstr>PAPH</vt:lpstr>
      <vt:lpstr>'Panel assessments-Latest price'!PAPI</vt:lpstr>
      <vt:lpstr>PAPI</vt:lpstr>
      <vt:lpstr>'Panel assessments-Latest price'!PAPJ</vt:lpstr>
      <vt:lpstr>PAPJ</vt:lpstr>
      <vt:lpstr>'Panel assessments-Latest price'!PAPK</vt:lpstr>
      <vt:lpstr>PAPK</vt:lpstr>
      <vt:lpstr>'Panel assessments-Latest price'!PAPL</vt:lpstr>
      <vt:lpstr>PAPL</vt:lpstr>
      <vt:lpstr>'Panel assessments-Latest price'!PAPM</vt:lpstr>
      <vt:lpstr>PAPM</vt:lpstr>
      <vt:lpstr>'Panel assessments-Latest price'!PAPN</vt:lpstr>
      <vt:lpstr>PAPN</vt:lpstr>
      <vt:lpstr>'Panel assessments-Latest price'!PAPO</vt:lpstr>
      <vt:lpstr>PAPO</vt:lpstr>
      <vt:lpstr>'Panel assessments-Latest price'!PAPP</vt:lpstr>
      <vt:lpstr>PAPP</vt:lpstr>
      <vt:lpstr>'Panel assessments-Latest price'!PAPQ</vt:lpstr>
      <vt:lpstr>PAPQ</vt:lpstr>
      <vt:lpstr>'Panel assessments-Latest price'!PAPR</vt:lpstr>
      <vt:lpstr>PAPR</vt:lpstr>
      <vt:lpstr>'Panel assessments-Latest price'!PAPS</vt:lpstr>
      <vt:lpstr>PAPS</vt:lpstr>
      <vt:lpstr>'Panel assessments-Latest price'!PAPT</vt:lpstr>
      <vt:lpstr>PAPT</vt:lpstr>
      <vt:lpstr>'Panel assessments-Latest price'!PAPU</vt:lpstr>
      <vt:lpstr>PAPU</vt:lpstr>
      <vt:lpstr>'Panel assessments-Latest price'!PAPV</vt:lpstr>
      <vt:lpstr>PAPV</vt:lpstr>
      <vt:lpstr>'Panel assessments-Latest price'!PAPW</vt:lpstr>
      <vt:lpstr>PAPW</vt:lpstr>
      <vt:lpstr>'Panel assessments-Latest price'!PAPX</vt:lpstr>
      <vt:lpstr>PAPX</vt:lpstr>
      <vt:lpstr>'Panel assessments-Latest price'!PAPY</vt:lpstr>
      <vt:lpstr>PAPY</vt:lpstr>
      <vt:lpstr>'Panel assessments-Latest price'!PAPZ</vt:lpstr>
      <vt:lpstr>PAPZ</vt:lpstr>
      <vt:lpstr>'Panel assessments-Latest price'!PAQA</vt:lpstr>
      <vt:lpstr>PAQA</vt:lpstr>
      <vt:lpstr>'Panel assessments-Latest price'!PAQB</vt:lpstr>
      <vt:lpstr>PAQB</vt:lpstr>
      <vt:lpstr>'Panel assessments-Latest price'!PAQC</vt:lpstr>
      <vt:lpstr>PAQC</vt:lpstr>
      <vt:lpstr>'Panel assessments-Latest price'!PAQD</vt:lpstr>
      <vt:lpstr>PAQD</vt:lpstr>
      <vt:lpstr>'Panel assessments-Latest price'!PAQE</vt:lpstr>
      <vt:lpstr>PAQE</vt:lpstr>
      <vt:lpstr>'Panel assessments-Latest price'!PAQF</vt:lpstr>
      <vt:lpstr>PAQF</vt:lpstr>
      <vt:lpstr>'Panel assessments-Latest price'!PAQG</vt:lpstr>
      <vt:lpstr>PAQG</vt:lpstr>
      <vt:lpstr>'Panel assessments-Latest price'!PAQH</vt:lpstr>
      <vt:lpstr>PAQH</vt:lpstr>
      <vt:lpstr>'Panel assessments-Latest price'!PAQI</vt:lpstr>
      <vt:lpstr>PAQI</vt:lpstr>
      <vt:lpstr>'Panel assessments-Latest price'!PAQJ</vt:lpstr>
      <vt:lpstr>PAQJ</vt:lpstr>
      <vt:lpstr>'Panel assessments-Latest price'!PAQK</vt:lpstr>
      <vt:lpstr>PAQK</vt:lpstr>
      <vt:lpstr>'Panel assessments-Latest price'!PAQL</vt:lpstr>
      <vt:lpstr>PAQL</vt:lpstr>
      <vt:lpstr>'Panel assessments-Latest price'!PAQM</vt:lpstr>
      <vt:lpstr>PAQM</vt:lpstr>
      <vt:lpstr>'Panel assessments-Latest price'!PAQN</vt:lpstr>
      <vt:lpstr>PAQN</vt:lpstr>
      <vt:lpstr>'Panel assessments-Latest price'!PAQO</vt:lpstr>
      <vt:lpstr>PAQO</vt:lpstr>
      <vt:lpstr>'Panel assessments-Latest price'!PAQP</vt:lpstr>
      <vt:lpstr>PAQP</vt:lpstr>
      <vt:lpstr>'Panel assessments-Latest price'!PAQQ</vt:lpstr>
      <vt:lpstr>PAQQ</vt:lpstr>
      <vt:lpstr>'Panel assessments-Latest price'!PAQR</vt:lpstr>
      <vt:lpstr>PAQR</vt:lpstr>
      <vt:lpstr>'Panel assessments-Latest price'!PAQS</vt:lpstr>
      <vt:lpstr>PAQS</vt:lpstr>
      <vt:lpstr>'Panel assessments-Latest price'!PAQT</vt:lpstr>
      <vt:lpstr>PAQT</vt:lpstr>
      <vt:lpstr>'Panel assessments-Latest price'!PAQU</vt:lpstr>
      <vt:lpstr>PAQU</vt:lpstr>
      <vt:lpstr>'Panel assessments-Latest price'!PAQV</vt:lpstr>
      <vt:lpstr>PAQV</vt:lpstr>
      <vt:lpstr>'Panel assessments-Latest price'!PAQW</vt:lpstr>
      <vt:lpstr>PAQW</vt:lpstr>
      <vt:lpstr>'Panel assessments-Latest price'!PAQX</vt:lpstr>
      <vt:lpstr>PAQX</vt:lpstr>
      <vt:lpstr>'Panel assessments-Latest price'!PAQY</vt:lpstr>
      <vt:lpstr>PAQY</vt:lpstr>
      <vt:lpstr>'Panel assessments-Latest price'!PAQZ</vt:lpstr>
      <vt:lpstr>PAQZ</vt:lpstr>
      <vt:lpstr>'Panel assessments-Latest price'!PARA</vt:lpstr>
      <vt:lpstr>PARA</vt:lpstr>
      <vt:lpstr>'Panel assessments-Latest price'!PARB</vt:lpstr>
      <vt:lpstr>PARB</vt:lpstr>
      <vt:lpstr>'Panel assessments-Latest price'!PARC</vt:lpstr>
      <vt:lpstr>PARC</vt:lpstr>
      <vt:lpstr>'Panel assessments-Latest price'!PARD</vt:lpstr>
      <vt:lpstr>PARD</vt:lpstr>
      <vt:lpstr>'Panel assessments-Latest price'!PARE</vt:lpstr>
      <vt:lpstr>PARE</vt:lpstr>
      <vt:lpstr>'Panel assessments-Latest price'!PARF</vt:lpstr>
      <vt:lpstr>PARF</vt:lpstr>
      <vt:lpstr>'Panel assessments-Latest price'!PARG</vt:lpstr>
      <vt:lpstr>PARG</vt:lpstr>
      <vt:lpstr>'Panel assessments-Latest price'!PARH</vt:lpstr>
      <vt:lpstr>PARH</vt:lpstr>
      <vt:lpstr>'Panel assessments-Latest price'!PARI</vt:lpstr>
      <vt:lpstr>PARI</vt:lpstr>
      <vt:lpstr>'Panel assessments-Latest price'!PARJ</vt:lpstr>
      <vt:lpstr>PARJ</vt:lpstr>
      <vt:lpstr>'Panel assessments-Latest price'!PARK</vt:lpstr>
      <vt:lpstr>PARK</vt:lpstr>
      <vt:lpstr>'Panel assessments-Latest price'!PARL</vt:lpstr>
      <vt:lpstr>PARL</vt:lpstr>
      <vt:lpstr>'Panel assessments-Latest price'!PARM</vt:lpstr>
      <vt:lpstr>PARM</vt:lpstr>
      <vt:lpstr>'Panel assessments-Latest price'!PARN</vt:lpstr>
      <vt:lpstr>PARN</vt:lpstr>
      <vt:lpstr>'Panel assessments-Latest price'!PARO</vt:lpstr>
      <vt:lpstr>PARO</vt:lpstr>
      <vt:lpstr>'Panel assessments-Latest price'!PARP</vt:lpstr>
      <vt:lpstr>PARP</vt:lpstr>
      <vt:lpstr>'Panel assessments-Latest price'!PARQ</vt:lpstr>
      <vt:lpstr>PARQ</vt:lpstr>
      <vt:lpstr>'Panel assessments-Latest price'!PARR</vt:lpstr>
      <vt:lpstr>PARR</vt:lpstr>
      <vt:lpstr>'Panel assessments-Latest price'!PARS</vt:lpstr>
      <vt:lpstr>PARS</vt:lpstr>
      <vt:lpstr>'Panel assessments-Latest price'!PART</vt:lpstr>
      <vt:lpstr>PART</vt:lpstr>
      <vt:lpstr>'Panel assessments-Latest price'!PARU</vt:lpstr>
      <vt:lpstr>PARU</vt:lpstr>
      <vt:lpstr>'Panel assessments-Latest price'!PARV</vt:lpstr>
      <vt:lpstr>PARV</vt:lpstr>
      <vt:lpstr>'Panel assessments-Latest price'!PARW</vt:lpstr>
      <vt:lpstr>PARW</vt:lpstr>
      <vt:lpstr>'Panel assessments-Latest price'!PARX</vt:lpstr>
      <vt:lpstr>PARX</vt:lpstr>
      <vt:lpstr>'Panel assessments-Latest price'!PARY</vt:lpstr>
      <vt:lpstr>PARY</vt:lpstr>
      <vt:lpstr>'Panel assessments-Latest price'!PARZ</vt:lpstr>
      <vt:lpstr>PARZ</vt:lpstr>
      <vt:lpstr>'Panel assessments-Latest price'!PASA</vt:lpstr>
      <vt:lpstr>PASA</vt:lpstr>
      <vt:lpstr>'Panel assessments-Latest price'!PASB</vt:lpstr>
      <vt:lpstr>PASB</vt:lpstr>
      <vt:lpstr>'Panel assessments-Latest price'!PASC</vt:lpstr>
      <vt:lpstr>PASC</vt:lpstr>
      <vt:lpstr>'Panel assessments-Latest price'!PASD</vt:lpstr>
      <vt:lpstr>PASD</vt:lpstr>
      <vt:lpstr>'Panel assessments-Latest price'!PASE</vt:lpstr>
      <vt:lpstr>PASE</vt:lpstr>
      <vt:lpstr>'Panel assessments-Latest price'!PASF</vt:lpstr>
      <vt:lpstr>PASF</vt:lpstr>
      <vt:lpstr>'Panel assessments-Latest price'!PASG</vt:lpstr>
      <vt:lpstr>PASG</vt:lpstr>
      <vt:lpstr>'Panel assessments-Latest price'!PASH</vt:lpstr>
      <vt:lpstr>PASH</vt:lpstr>
      <vt:lpstr>'Panel assessments-Latest price'!PASI</vt:lpstr>
      <vt:lpstr>PASI</vt:lpstr>
      <vt:lpstr>'Panel assessments-Latest price'!PASJ</vt:lpstr>
      <vt:lpstr>PASJ</vt:lpstr>
      <vt:lpstr>'Panel assessments-Latest price'!PASK</vt:lpstr>
      <vt:lpstr>PASK</vt:lpstr>
      <vt:lpstr>'Panel assessments-Latest price'!PASL</vt:lpstr>
      <vt:lpstr>PASL</vt:lpstr>
      <vt:lpstr>'Panel assessments-Latest price'!PASM</vt:lpstr>
      <vt:lpstr>PASM</vt:lpstr>
      <vt:lpstr>'Panel assessments-Latest price'!PASN</vt:lpstr>
      <vt:lpstr>PASN</vt:lpstr>
      <vt:lpstr>'Panel assessments-Latest price'!PASO</vt:lpstr>
      <vt:lpstr>PASO</vt:lpstr>
      <vt:lpstr>'Panel assessments-Latest price'!PASP</vt:lpstr>
      <vt:lpstr>PASP</vt:lpstr>
      <vt:lpstr>'Panel assessments-Latest price'!PASQ</vt:lpstr>
      <vt:lpstr>PASQ</vt:lpstr>
      <vt:lpstr>'Panel assessments-Latest price'!PASR</vt:lpstr>
      <vt:lpstr>PASR</vt:lpstr>
      <vt:lpstr>'Panel assessments-Latest price'!PASS</vt:lpstr>
      <vt:lpstr>PASS</vt:lpstr>
      <vt:lpstr>'Panel assessments-Latest price'!PAST</vt:lpstr>
      <vt:lpstr>PAST</vt:lpstr>
      <vt:lpstr>'Panel assessments-Latest price'!PASU</vt:lpstr>
      <vt:lpstr>PASU</vt:lpstr>
      <vt:lpstr>'Panel assessments-Latest price'!PASV</vt:lpstr>
      <vt:lpstr>PASV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RL Panel Price Guide</dc:title>
  <dc:subject/>
  <dc:creator>Debbie Norman</dc:creator>
  <cp:keywords/>
  <dc:description/>
  <cp:lastModifiedBy>Fitzgerald, Amber (UK)</cp:lastModifiedBy>
  <cp:revision/>
  <dcterms:created xsi:type="dcterms:W3CDTF">1997-09-23T22:28:29Z</dcterms:created>
  <dcterms:modified xsi:type="dcterms:W3CDTF">2025-07-15T13:17:20Z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6e81d9b9-86c5-4287-85cd-364de3fa3b05</vt:lpwstr>
  </property>
  <property fmtid="{D5CDD505-2E9C-101B-9397-08002B2CF9AE}" pid="3" name="ContentTypeId">
    <vt:lpwstr>0x0101002E7BFD7DDE2EAE49AAC78A68AB7AA4C6</vt:lpwstr>
  </property>
  <property fmtid="{D5CDD505-2E9C-101B-9397-08002B2CF9AE}" pid="4" name="Order">
    <vt:r8>1400</vt:r8>
  </property>
  <property fmtid="{D5CDD505-2E9C-101B-9397-08002B2CF9AE}" pid="5" name="_ExtendedDescription">
    <vt:lpwstr/>
  </property>
</Properties>
</file>